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mc:AlternateContent xmlns:mc="http://schemas.openxmlformats.org/markup-compatibility/2006">
    <mc:Choice Requires="x15">
      <x15ac:absPath xmlns:x15ac="http://schemas.microsoft.com/office/spreadsheetml/2010/11/ac" url="C:\Users\takas\・個人フォルダー\01_サッカー関係\・（一社）大分県サッカー協会　第四種　ジュニアHP\2026\99.Rabbit_Cup\"/>
    </mc:Choice>
  </mc:AlternateContent>
  <xr:revisionPtr revIDLastSave="0" documentId="13_ncr:1_{C5903ADC-152D-48D9-929F-7D3C811E5856}" xr6:coauthVersionLast="47" xr6:coauthVersionMax="47" xr10:uidLastSave="{00000000-0000-0000-0000-000000000000}"/>
  <bookViews>
    <workbookView xWindow="-120" yWindow="-120" windowWidth="29040" windowHeight="15720" xr2:uid="{00000000-000D-0000-FFFF-FFFF00000000}"/>
  </bookViews>
  <sheets>
    <sheet name="抽選会資料" sheetId="1" r:id="rId1"/>
    <sheet name="大会要項" sheetId="2" r:id="rId2"/>
    <sheet name="MCM資料" sheetId="3" r:id="rId3"/>
    <sheet name="累積警告・退場" sheetId="4" state="veryHidden" r:id="rId4"/>
    <sheet name="組合せ抽選用" sheetId="5" state="veryHidden" r:id="rId5"/>
    <sheet name="予選リーグ" sheetId="6" r:id="rId6"/>
    <sheet name="予選リーグ (2)" sheetId="7" state="veryHidden" r:id="rId7"/>
    <sheet name="予選リーグ公式記録(サブA-Aコート)" sheetId="8" state="veryHidden" r:id="rId8"/>
    <sheet name="予選リーグ公式記録(サブA-Bコート)" sheetId="9" state="veryHidden" r:id="rId9"/>
    <sheet name="予選リーグ公式記録(サブB-Cコート)" sheetId="10" state="veryHidden" r:id="rId10"/>
    <sheet name="予選リーグ公式記録(サブB-Dコート)" sheetId="11" state="veryHidden" r:id="rId11"/>
    <sheet name="決勝トーナメント" sheetId="12" r:id="rId12"/>
    <sheet name="決勝T公式記録" sheetId="13" state="veryHidden" r:id="rId13"/>
    <sheet name="決勝公式記録 No,33" sheetId="14" state="veryHidden" r:id="rId14"/>
    <sheet name="項目" sheetId="15" state="veryHidden" r:id="rId15"/>
    <sheet name="選手名簿" sheetId="16" state="veryHidden" r:id="rId16"/>
    <sheet name="審判員" sheetId="17" state="veryHidden" r:id="rId17"/>
  </sheets>
  <definedNames>
    <definedName name="_xlnm._FilterDatabase" localSheetId="16" hidden="1">審判員!$A$1:$F$2609</definedName>
    <definedName name="_xlnm._FilterDatabase" localSheetId="15" hidden="1">選手名簿!$A$1:$I$339</definedName>
    <definedName name="_xlnm._FilterDatabase" localSheetId="3" hidden="1">累積警告・退場!$A$4:$AB$4</definedName>
    <definedName name="OLE_LINK1" localSheetId="1">大会要項!$A$56</definedName>
    <definedName name="_xlnm.Print_Area" localSheetId="12">決勝T公式記録!$A$5:$N$28,決勝T公式記録!$A$33:$N$56,決勝T公式記録!$P$61:$AC$86,決勝T公式記録!$P$91:$AC$116,決勝T公式記録!$P$5:$AC$28,決勝T公式記録!$P$33:$AC$56,決勝T公式記録!$A$61:$N$86,決勝T公式記録!$A$91:$N$116</definedName>
    <definedName name="_xlnm.Print_Area" localSheetId="13">'決勝公式記録 No,33'!$A$1:$AJ$73</definedName>
    <definedName name="_xlnm.Print_Area" localSheetId="4">組合せ抽選用!$B$2:$O$35</definedName>
    <definedName name="_xlnm.Print_Area" localSheetId="1">大会要項!$A$1:$J$85</definedName>
    <definedName name="_xlnm.Print_Area" localSheetId="5">予選リーグ!$A$1:$N$32</definedName>
    <definedName name="_xlnm.Print_Area" localSheetId="6">'予選リーグ (2)'!$A$1:$AA$24,'予選リーグ (2)'!$AC$1:$BC$24,'予選リーグ (2)'!$A$43:$AA$75,'予選リーグ (2)'!$AC$43:$BC$75</definedName>
    <definedName name="_xlnm.Print_Area" localSheetId="7">'予選リーグ公式記録(サブA-Aコート)'!$A$10:$N$31,'予選リーグ公式記録(サブA-Aコート)'!$A$39:$N$60,'予選リーグ公式記録(サブA-Aコート)'!$A$68:$N$89,'予選リーグ公式記録(サブA-Aコート)'!$P$10:$AC$31,'予選リーグ公式記録(サブA-Aコート)'!$P$39:$AC$60,'予選リーグ公式記録(サブA-Aコート)'!$P$68:$AC$89</definedName>
    <definedName name="_xlnm.Print_Area" localSheetId="8">'予選リーグ公式記録(サブA-Bコート)'!$A$10:$N$31,'予選リーグ公式記録(サブA-Bコート)'!$A$39:$N$60,'予選リーグ公式記録(サブA-Bコート)'!$A$68:$N$89,'予選リーグ公式記録(サブA-Bコート)'!$P$10:$AC$31,'予選リーグ公式記録(サブA-Bコート)'!$P$39:$AC$60,'予選リーグ公式記録(サブA-Bコート)'!$P$68:$AC$89</definedName>
    <definedName name="_xlnm.Print_Area" localSheetId="9">'予選リーグ公式記録(サブB-Cコート)'!$A$10:$N$31,'予選リーグ公式記録(サブB-Cコート)'!$A$39:$N$60,'予選リーグ公式記録(サブB-Cコート)'!$A$68:$N$89,'予選リーグ公式記録(サブB-Cコート)'!$P$10:$AC$31,'予選リーグ公式記録(サブB-Cコート)'!$P$39:$AC$60,'予選リーグ公式記録(サブB-Cコート)'!$P$68:$AC$89</definedName>
    <definedName name="_xlnm.Print_Area" localSheetId="10">'予選リーグ公式記録(サブB-Dコート)'!$A$10:$N$31,'予選リーグ公式記録(サブB-Dコート)'!$A$39:$N$60,'予選リーグ公式記録(サブB-Dコート)'!$A$68:$N$89,'予選リーグ公式記録(サブB-Dコート)'!$P$10:$AC$31,'予選リーグ公式記録(サブB-Dコート)'!$P$39:$AC$60,'予選リーグ公式記録(サブB-Dコート)'!$P$68:$AC$89</definedName>
    <definedName name="_xlnm.Print_Area" localSheetId="3">累積警告・退場!$B$1:$W$28</definedName>
    <definedName name="_xlnm.Print_Titles" localSheetId="12">決勝T公式記録!$1:$4</definedName>
    <definedName name="_xlnm.Print_Titles" localSheetId="7">'予選リーグ公式記録(サブA-Aコート)'!$1:$9</definedName>
    <definedName name="_xlnm.Print_Titles" localSheetId="8">'予選リーグ公式記録(サブA-Bコート)'!$1:$9</definedName>
    <definedName name="_xlnm.Print_Titles" localSheetId="9">'予選リーグ公式記録(サブB-Cコート)'!$1:$9</definedName>
    <definedName name="_xlnm.Print_Titles" localSheetId="10">'予選リーグ公式記録(サブB-Dコート)'!$1:$9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U5" i="5" l="1"/>
  <c r="U6" i="5"/>
  <c r="U7" i="5"/>
  <c r="U8" i="5"/>
  <c r="U9" i="5"/>
  <c r="U10" i="5"/>
  <c r="U11" i="5"/>
  <c r="U12" i="5"/>
  <c r="U13" i="5"/>
  <c r="U14" i="5"/>
  <c r="U21" i="5"/>
  <c r="U22" i="5"/>
  <c r="U23" i="5"/>
  <c r="U24" i="5"/>
  <c r="U25" i="5"/>
  <c r="U26" i="5"/>
  <c r="U27" i="5"/>
  <c r="U28" i="5"/>
  <c r="U29" i="5"/>
  <c r="U30" i="5"/>
  <c r="U31" i="5"/>
  <c r="U32" i="5"/>
  <c r="C17" i="4"/>
  <c r="C18" i="4"/>
  <c r="C19" i="4"/>
  <c r="C20" i="4"/>
  <c r="C21" i="4"/>
  <c r="C22" i="4"/>
  <c r="C23" i="4"/>
  <c r="C24" i="4"/>
  <c r="C25" i="4"/>
  <c r="C26" i="4"/>
  <c r="C27" i="4"/>
  <c r="C28" i="4"/>
  <c r="B5" i="1" l="1"/>
  <c r="B3" i="1"/>
  <c r="E13" i="3" l="1"/>
  <c r="A1" i="2"/>
  <c r="I1438" i="16"/>
  <c r="I1437" i="16"/>
  <c r="I1436" i="16"/>
  <c r="I1435" i="16"/>
  <c r="I1434" i="16"/>
  <c r="I1433" i="16"/>
  <c r="I1432" i="16"/>
  <c r="I1431" i="16"/>
  <c r="I1430" i="16"/>
  <c r="I1429" i="16"/>
  <c r="I1428" i="16"/>
  <c r="I1427" i="16"/>
  <c r="I1426" i="16"/>
  <c r="I1425" i="16"/>
  <c r="I1424" i="16"/>
  <c r="I1423" i="16"/>
  <c r="I1422" i="16"/>
  <c r="I1421" i="16"/>
  <c r="I1420" i="16"/>
  <c r="I1419" i="16"/>
  <c r="I1418" i="16"/>
  <c r="I1417" i="16"/>
  <c r="I1416" i="16"/>
  <c r="I1415" i="16"/>
  <c r="I1414" i="16"/>
  <c r="I1413" i="16"/>
  <c r="I1412" i="16"/>
  <c r="I1411" i="16"/>
  <c r="I1410" i="16"/>
  <c r="I1409" i="16"/>
  <c r="I1408" i="16"/>
  <c r="I1407" i="16"/>
  <c r="I1406" i="16"/>
  <c r="I1405" i="16"/>
  <c r="I1404" i="16"/>
  <c r="I1403" i="16"/>
  <c r="I1402" i="16"/>
  <c r="I1401" i="16"/>
  <c r="I1400" i="16"/>
  <c r="I1399" i="16"/>
  <c r="I1398" i="16"/>
  <c r="I1397" i="16"/>
  <c r="I1396" i="16"/>
  <c r="I1395" i="16"/>
  <c r="I1394" i="16"/>
  <c r="I1393" i="16"/>
  <c r="I1392" i="16"/>
  <c r="I1391" i="16"/>
  <c r="I1390" i="16"/>
  <c r="I1389" i="16"/>
  <c r="I1388" i="16"/>
  <c r="I1387" i="16"/>
  <c r="I1386" i="16"/>
  <c r="I1385" i="16"/>
  <c r="I1384" i="16"/>
  <c r="I1383" i="16"/>
  <c r="I1382" i="16"/>
  <c r="I1381" i="16"/>
  <c r="I1380" i="16"/>
  <c r="I1379" i="16"/>
  <c r="I1378" i="16"/>
  <c r="I1377" i="16"/>
  <c r="I1376" i="16"/>
  <c r="I1375" i="16"/>
  <c r="I1374" i="16"/>
  <c r="I1373" i="16"/>
  <c r="I1372" i="16"/>
  <c r="I1371" i="16"/>
  <c r="I1370" i="16"/>
  <c r="I1369" i="16"/>
  <c r="I1368" i="16"/>
  <c r="I1367" i="16"/>
  <c r="I1366" i="16"/>
  <c r="I1365" i="16"/>
  <c r="I1364" i="16"/>
  <c r="I1363" i="16"/>
  <c r="I1362" i="16"/>
  <c r="I1361" i="16"/>
  <c r="I1360" i="16"/>
  <c r="I1359" i="16"/>
  <c r="I1358" i="16"/>
  <c r="I1357" i="16"/>
  <c r="I1356" i="16"/>
  <c r="I1355" i="16"/>
  <c r="I1354" i="16"/>
  <c r="I1353" i="16"/>
  <c r="I1352" i="16"/>
  <c r="I1351" i="16"/>
  <c r="I1350" i="16"/>
  <c r="I1349" i="16"/>
  <c r="I1348" i="16"/>
  <c r="I1347" i="16"/>
  <c r="I1346" i="16"/>
  <c r="I1345" i="16"/>
  <c r="I1344" i="16"/>
  <c r="I1343" i="16"/>
  <c r="I1342" i="16"/>
  <c r="I1341" i="16"/>
  <c r="I1340" i="16"/>
  <c r="I1339" i="16"/>
  <c r="I1338" i="16"/>
  <c r="I1337" i="16"/>
  <c r="I1336" i="16"/>
  <c r="I1335" i="16"/>
  <c r="I1334" i="16"/>
  <c r="I1333" i="16"/>
  <c r="I1332" i="16"/>
  <c r="I1331" i="16"/>
  <c r="I1330" i="16"/>
  <c r="I1329" i="16"/>
  <c r="I1328" i="16"/>
  <c r="I1327" i="16"/>
  <c r="I1326" i="16"/>
  <c r="I1325" i="16"/>
  <c r="I1324" i="16"/>
  <c r="I1323" i="16"/>
  <c r="I1322" i="16"/>
  <c r="I1321" i="16"/>
  <c r="I1320" i="16"/>
  <c r="I1319" i="16"/>
  <c r="I1318" i="16"/>
  <c r="I1317" i="16"/>
  <c r="I1316" i="16"/>
  <c r="I1315" i="16"/>
  <c r="I1314" i="16"/>
  <c r="I1313" i="16"/>
  <c r="I1312" i="16"/>
  <c r="I1311" i="16"/>
  <c r="I1310" i="16"/>
  <c r="I1309" i="16"/>
  <c r="I1308" i="16"/>
  <c r="I1307" i="16"/>
  <c r="I1306" i="16"/>
  <c r="I1305" i="16"/>
  <c r="I1304" i="16"/>
  <c r="I1303" i="16"/>
  <c r="I1302" i="16"/>
  <c r="I1301" i="16"/>
  <c r="I1300" i="16"/>
  <c r="I1299" i="16"/>
  <c r="I1298" i="16"/>
  <c r="I1297" i="16"/>
  <c r="I1296" i="16"/>
  <c r="I1295" i="16"/>
  <c r="I1294" i="16"/>
  <c r="I1293" i="16"/>
  <c r="I1292" i="16"/>
  <c r="I1291" i="16"/>
  <c r="I1290" i="16"/>
  <c r="I1289" i="16"/>
  <c r="I1288" i="16"/>
  <c r="I1287" i="16"/>
  <c r="I1286" i="16"/>
  <c r="I1285" i="16"/>
  <c r="I1284" i="16"/>
  <c r="I1283" i="16"/>
  <c r="I1282" i="16"/>
  <c r="I1281" i="16"/>
  <c r="I1280" i="16"/>
  <c r="I1279" i="16"/>
  <c r="I1278" i="16"/>
  <c r="I1277" i="16"/>
  <c r="I1276" i="16"/>
  <c r="I1275" i="16"/>
  <c r="I1274" i="16"/>
  <c r="I1273" i="16"/>
  <c r="I1272" i="16"/>
  <c r="I1271" i="16"/>
  <c r="I1270" i="16"/>
  <c r="I1269" i="16"/>
  <c r="I1268" i="16"/>
  <c r="I1267" i="16"/>
  <c r="I1266" i="16"/>
  <c r="I1265" i="16"/>
  <c r="I1264" i="16"/>
  <c r="I1263" i="16"/>
  <c r="I1262" i="16"/>
  <c r="I1261" i="16"/>
  <c r="I1260" i="16"/>
  <c r="I1259" i="16"/>
  <c r="I1258" i="16"/>
  <c r="I1257" i="16"/>
  <c r="I1256" i="16"/>
  <c r="I1255" i="16"/>
  <c r="I1254" i="16"/>
  <c r="I1253" i="16"/>
  <c r="I1252" i="16"/>
  <c r="I1251" i="16"/>
  <c r="I1250" i="16"/>
  <c r="I1249" i="16"/>
  <c r="I1248" i="16"/>
  <c r="I1247" i="16"/>
  <c r="I1246" i="16"/>
  <c r="I1245" i="16"/>
  <c r="I1244" i="16"/>
  <c r="I1243" i="16"/>
  <c r="I1242" i="16"/>
  <c r="I1241" i="16"/>
  <c r="I1240" i="16"/>
  <c r="I1239" i="16"/>
  <c r="I1238" i="16"/>
  <c r="I1237" i="16"/>
  <c r="I1236" i="16"/>
  <c r="I1235" i="16"/>
  <c r="I1234" i="16"/>
  <c r="I1233" i="16"/>
  <c r="I1232" i="16"/>
  <c r="I1231" i="16"/>
  <c r="I1230" i="16"/>
  <c r="I1229" i="16"/>
  <c r="I1228" i="16"/>
  <c r="I1227" i="16"/>
  <c r="I1226" i="16"/>
  <c r="I1225" i="16"/>
  <c r="I1224" i="16"/>
  <c r="I1223" i="16"/>
  <c r="I1222" i="16"/>
  <c r="I1221" i="16"/>
  <c r="I1220" i="16"/>
  <c r="I1219" i="16"/>
  <c r="I1218" i="16"/>
  <c r="I1217" i="16"/>
  <c r="I1216" i="16"/>
  <c r="I1215" i="16"/>
  <c r="I1214" i="16"/>
  <c r="I1213" i="16"/>
  <c r="I1212" i="16"/>
  <c r="I1211" i="16"/>
  <c r="I1210" i="16"/>
  <c r="I1209" i="16"/>
  <c r="I1208" i="16"/>
  <c r="I1207" i="16"/>
  <c r="I1206" i="16"/>
  <c r="I1205" i="16"/>
  <c r="I1204" i="16"/>
  <c r="I1203" i="16"/>
  <c r="I1202" i="16"/>
  <c r="I1201" i="16"/>
  <c r="I1200" i="16"/>
  <c r="I1199" i="16"/>
  <c r="I1198" i="16"/>
  <c r="I1197" i="16"/>
  <c r="I1196" i="16"/>
  <c r="I1195" i="16"/>
  <c r="I1194" i="16"/>
  <c r="I1193" i="16"/>
  <c r="I1192" i="16"/>
  <c r="I1191" i="16"/>
  <c r="I1190" i="16"/>
  <c r="I1189" i="16"/>
  <c r="I1188" i="16"/>
  <c r="I1187" i="16"/>
  <c r="I1186" i="16"/>
  <c r="I1185" i="16"/>
  <c r="I1184" i="16"/>
  <c r="I1183" i="16"/>
  <c r="I1182" i="16"/>
  <c r="I1181" i="16"/>
  <c r="I1180" i="16"/>
  <c r="I1179" i="16"/>
  <c r="I1178" i="16"/>
  <c r="I1177" i="16"/>
  <c r="I1176" i="16"/>
  <c r="I1175" i="16"/>
  <c r="I1174" i="16"/>
  <c r="I1173" i="16"/>
  <c r="I1172" i="16"/>
  <c r="I1171" i="16"/>
  <c r="I1170" i="16"/>
  <c r="I1169" i="16"/>
  <c r="I1168" i="16"/>
  <c r="I1167" i="16"/>
  <c r="I1166" i="16"/>
  <c r="I1165" i="16"/>
  <c r="I1164" i="16"/>
  <c r="I1163" i="16"/>
  <c r="I1162" i="16"/>
  <c r="I1161" i="16"/>
  <c r="I1160" i="16"/>
  <c r="I1159" i="16"/>
  <c r="I1158" i="16"/>
  <c r="I1157" i="16"/>
  <c r="I1156" i="16"/>
  <c r="I1155" i="16"/>
  <c r="I1154" i="16"/>
  <c r="I1153" i="16"/>
  <c r="I1152" i="16"/>
  <c r="I1151" i="16"/>
  <c r="I1150" i="16"/>
  <c r="I1149" i="16"/>
  <c r="I1148" i="16"/>
  <c r="I1147" i="16"/>
  <c r="I1146" i="16"/>
  <c r="I1145" i="16"/>
  <c r="I1144" i="16"/>
  <c r="I1143" i="16"/>
  <c r="I1142" i="16"/>
  <c r="I1141" i="16"/>
  <c r="I1140" i="16"/>
  <c r="I1139" i="16"/>
  <c r="I1138" i="16"/>
  <c r="I1137" i="16"/>
  <c r="I1136" i="16"/>
  <c r="I1135" i="16"/>
  <c r="I1134" i="16"/>
  <c r="I1133" i="16"/>
  <c r="I1132" i="16"/>
  <c r="I1131" i="16"/>
  <c r="I1130" i="16"/>
  <c r="I1129" i="16"/>
  <c r="I1128" i="16"/>
  <c r="I1127" i="16"/>
  <c r="I1126" i="16"/>
  <c r="I1125" i="16"/>
  <c r="I1124" i="16"/>
  <c r="I1123" i="16"/>
  <c r="I1122" i="16"/>
  <c r="I1121" i="16"/>
  <c r="I1120" i="16"/>
  <c r="I1119" i="16"/>
  <c r="I1118" i="16"/>
  <c r="I1117" i="16"/>
  <c r="I1116" i="16"/>
  <c r="I1115" i="16"/>
  <c r="I1114" i="16"/>
  <c r="I1113" i="16"/>
  <c r="I1112" i="16"/>
  <c r="I1111" i="16"/>
  <c r="I1110" i="16"/>
  <c r="I1109" i="16"/>
  <c r="I1108" i="16"/>
  <c r="I1107" i="16"/>
  <c r="I1106" i="16"/>
  <c r="I1105" i="16"/>
  <c r="I1104" i="16"/>
  <c r="I1103" i="16"/>
  <c r="I1102" i="16"/>
  <c r="I1101" i="16"/>
  <c r="I1100" i="16"/>
  <c r="I1099" i="16"/>
  <c r="I1098" i="16"/>
  <c r="I1097" i="16"/>
  <c r="I1096" i="16"/>
  <c r="I1095" i="16"/>
  <c r="I1094" i="16"/>
  <c r="I1093" i="16"/>
  <c r="I1092" i="16"/>
  <c r="I1091" i="16"/>
  <c r="I1090" i="16"/>
  <c r="I1089" i="16"/>
  <c r="I1088" i="16"/>
  <c r="I1087" i="16"/>
  <c r="I1086" i="16"/>
  <c r="I1085" i="16"/>
  <c r="I1084" i="16"/>
  <c r="I1083" i="16"/>
  <c r="I1082" i="16"/>
  <c r="I1081" i="16"/>
  <c r="I1080" i="16"/>
  <c r="I1079" i="16"/>
  <c r="I1078" i="16"/>
  <c r="I1077" i="16"/>
  <c r="I1076" i="16"/>
  <c r="I1075" i="16"/>
  <c r="I1074" i="16"/>
  <c r="I1073" i="16"/>
  <c r="I1072" i="16"/>
  <c r="I1071" i="16"/>
  <c r="I1070" i="16"/>
  <c r="I1069" i="16"/>
  <c r="I1068" i="16"/>
  <c r="I1067" i="16"/>
  <c r="I1066" i="16"/>
  <c r="I1065" i="16"/>
  <c r="I1064" i="16"/>
  <c r="I1063" i="16"/>
  <c r="I1062" i="16"/>
  <c r="I1061" i="16"/>
  <c r="I1060" i="16"/>
  <c r="I1059" i="16"/>
  <c r="I1058" i="16"/>
  <c r="I1057" i="16"/>
  <c r="I1056" i="16"/>
  <c r="I1055" i="16"/>
  <c r="I1054" i="16"/>
  <c r="I1053" i="16"/>
  <c r="I1052" i="16"/>
  <c r="I1051" i="16"/>
  <c r="I1050" i="16"/>
  <c r="I1049" i="16"/>
  <c r="I1048" i="16"/>
  <c r="I1047" i="16"/>
  <c r="I1046" i="16"/>
  <c r="I1045" i="16"/>
  <c r="I1044" i="16"/>
  <c r="I1043" i="16"/>
  <c r="I1042" i="16"/>
  <c r="I1041" i="16"/>
  <c r="I1040" i="16"/>
  <c r="I1039" i="16"/>
  <c r="I1038" i="16"/>
  <c r="I1037" i="16"/>
  <c r="I1036" i="16"/>
  <c r="I1035" i="16"/>
  <c r="I1034" i="16"/>
  <c r="I1033" i="16"/>
  <c r="I1032" i="16"/>
  <c r="I1031" i="16"/>
  <c r="I1030" i="16"/>
  <c r="I1029" i="16"/>
  <c r="I1028" i="16"/>
  <c r="I1027" i="16"/>
  <c r="I1026" i="16"/>
  <c r="I1025" i="16"/>
  <c r="I1024" i="16"/>
  <c r="I1023" i="16"/>
  <c r="I1022" i="16"/>
  <c r="I1021" i="16"/>
  <c r="I1020" i="16"/>
  <c r="I1019" i="16"/>
  <c r="I1018" i="16"/>
  <c r="I1017" i="16"/>
  <c r="I1016" i="16"/>
  <c r="I1015" i="16"/>
  <c r="I1014" i="16"/>
  <c r="I1013" i="16"/>
  <c r="I1012" i="16"/>
  <c r="I1011" i="16"/>
  <c r="I1010" i="16"/>
  <c r="I1009" i="16"/>
  <c r="I1008" i="16"/>
  <c r="I1007" i="16"/>
  <c r="I1006" i="16"/>
  <c r="I1005" i="16"/>
  <c r="I1004" i="16"/>
  <c r="I1003" i="16"/>
  <c r="I1002" i="16"/>
  <c r="I1001" i="16"/>
  <c r="I1000" i="16"/>
  <c r="I999" i="16"/>
  <c r="I998" i="16"/>
  <c r="I997" i="16"/>
  <c r="I996" i="16"/>
  <c r="I995" i="16"/>
  <c r="I994" i="16"/>
  <c r="I993" i="16"/>
  <c r="I992" i="16"/>
  <c r="I991" i="16"/>
  <c r="I990" i="16"/>
  <c r="I989" i="16"/>
  <c r="I988" i="16"/>
  <c r="I987" i="16"/>
  <c r="I986" i="16"/>
  <c r="I985" i="16"/>
  <c r="I984" i="16"/>
  <c r="I983" i="16"/>
  <c r="I982" i="16"/>
  <c r="I981" i="16"/>
  <c r="I980" i="16"/>
  <c r="I979" i="16"/>
  <c r="I978" i="16"/>
  <c r="I977" i="16"/>
  <c r="I976" i="16"/>
  <c r="I975" i="16"/>
  <c r="I974" i="16"/>
  <c r="I973" i="16"/>
  <c r="I972" i="16"/>
  <c r="I971" i="16"/>
  <c r="I970" i="16"/>
  <c r="I969" i="16"/>
  <c r="I968" i="16"/>
  <c r="I967" i="16"/>
  <c r="I966" i="16"/>
  <c r="I965" i="16"/>
  <c r="I964" i="16"/>
  <c r="I963" i="16"/>
  <c r="I962" i="16"/>
  <c r="I961" i="16"/>
  <c r="I960" i="16"/>
  <c r="I959" i="16"/>
  <c r="I958" i="16"/>
  <c r="I957" i="16"/>
  <c r="I956" i="16"/>
  <c r="I955" i="16"/>
  <c r="I954" i="16"/>
  <c r="I953" i="16"/>
  <c r="I952" i="16"/>
  <c r="I951" i="16"/>
  <c r="I950" i="16"/>
  <c r="I949" i="16"/>
  <c r="I948" i="16"/>
  <c r="I947" i="16"/>
  <c r="I946" i="16"/>
  <c r="I945" i="16"/>
  <c r="I944" i="16"/>
  <c r="I943" i="16"/>
  <c r="I942" i="16"/>
  <c r="I941" i="16"/>
  <c r="I940" i="16"/>
  <c r="I939" i="16"/>
  <c r="I938" i="16"/>
  <c r="I937" i="16"/>
  <c r="I936" i="16"/>
  <c r="I935" i="16"/>
  <c r="I934" i="16"/>
  <c r="I933" i="16"/>
  <c r="I932" i="16"/>
  <c r="I931" i="16"/>
  <c r="I930" i="16"/>
  <c r="I929" i="16"/>
  <c r="I928" i="16"/>
  <c r="I927" i="16"/>
  <c r="I926" i="16"/>
  <c r="I925" i="16"/>
  <c r="I924" i="16"/>
  <c r="I923" i="16"/>
  <c r="I922" i="16"/>
  <c r="I921" i="16"/>
  <c r="I920" i="16"/>
  <c r="I919" i="16"/>
  <c r="I918" i="16"/>
  <c r="I917" i="16"/>
  <c r="I916" i="16"/>
  <c r="I915" i="16"/>
  <c r="I914" i="16"/>
  <c r="I913" i="16"/>
  <c r="I912" i="16"/>
  <c r="I911" i="16"/>
  <c r="I910" i="16"/>
  <c r="I909" i="16"/>
  <c r="I908" i="16"/>
  <c r="I907" i="16"/>
  <c r="I906" i="16"/>
  <c r="I905" i="16"/>
  <c r="I904" i="16"/>
  <c r="I903" i="16"/>
  <c r="I902" i="16"/>
  <c r="I901" i="16"/>
  <c r="I900" i="16"/>
  <c r="I899" i="16"/>
  <c r="I898" i="16"/>
  <c r="I897" i="16"/>
  <c r="I896" i="16"/>
  <c r="I895" i="16"/>
  <c r="I894" i="16"/>
  <c r="I893" i="16"/>
  <c r="I892" i="16"/>
  <c r="I891" i="16"/>
  <c r="I890" i="16"/>
  <c r="I889" i="16"/>
  <c r="I888" i="16"/>
  <c r="I887" i="16"/>
  <c r="I886" i="16"/>
  <c r="I885" i="16"/>
  <c r="I884" i="16"/>
  <c r="I883" i="16"/>
  <c r="I882" i="16"/>
  <c r="I881" i="16"/>
  <c r="I880" i="16"/>
  <c r="I879" i="16"/>
  <c r="I878" i="16"/>
  <c r="I877" i="16"/>
  <c r="I876" i="16"/>
  <c r="I875" i="16"/>
  <c r="I874" i="16"/>
  <c r="I873" i="16"/>
  <c r="I872" i="16"/>
  <c r="I871" i="16"/>
  <c r="I870" i="16"/>
  <c r="I869" i="16"/>
  <c r="I868" i="16"/>
  <c r="I867" i="16"/>
  <c r="I866" i="16"/>
  <c r="I865" i="16"/>
  <c r="I864" i="16"/>
  <c r="I863" i="16"/>
  <c r="I862" i="16"/>
  <c r="I861" i="16"/>
  <c r="I860" i="16"/>
  <c r="I859" i="16"/>
  <c r="I858" i="16"/>
  <c r="I857" i="16"/>
  <c r="I856" i="16"/>
  <c r="I855" i="16"/>
  <c r="I854" i="16"/>
  <c r="I853" i="16"/>
  <c r="I852" i="16"/>
  <c r="I851" i="16"/>
  <c r="I850" i="16"/>
  <c r="I849" i="16"/>
  <c r="I848" i="16"/>
  <c r="I847" i="16"/>
  <c r="I846" i="16"/>
  <c r="I845" i="16"/>
  <c r="I844" i="16"/>
  <c r="I843" i="16"/>
  <c r="I842" i="16"/>
  <c r="I841" i="16"/>
  <c r="I840" i="16"/>
  <c r="I839" i="16"/>
  <c r="I838" i="16"/>
  <c r="I837" i="16"/>
  <c r="I836" i="16"/>
  <c r="I835" i="16"/>
  <c r="I834" i="16"/>
  <c r="I833" i="16"/>
  <c r="I832" i="16"/>
  <c r="I831" i="16"/>
  <c r="I830" i="16"/>
  <c r="I829" i="16"/>
  <c r="I828" i="16"/>
  <c r="I827" i="16"/>
  <c r="I826" i="16"/>
  <c r="I825" i="16"/>
  <c r="I824" i="16"/>
  <c r="I823" i="16"/>
  <c r="I822" i="16"/>
  <c r="I821" i="16"/>
  <c r="I820" i="16"/>
  <c r="I819" i="16"/>
  <c r="I818" i="16"/>
  <c r="I817" i="16"/>
  <c r="I816" i="16"/>
  <c r="I815" i="16"/>
  <c r="I814" i="16"/>
  <c r="I813" i="16"/>
  <c r="I812" i="16"/>
  <c r="I811" i="16"/>
  <c r="I810" i="16"/>
  <c r="I809" i="16"/>
  <c r="I808" i="16"/>
  <c r="I807" i="16"/>
  <c r="I806" i="16"/>
  <c r="I805" i="16"/>
  <c r="I804" i="16"/>
  <c r="I803" i="16"/>
  <c r="I802" i="16"/>
  <c r="I801" i="16"/>
  <c r="I800" i="16"/>
  <c r="I799" i="16"/>
  <c r="I798" i="16"/>
  <c r="I797" i="16"/>
  <c r="I796" i="16"/>
  <c r="I795" i="16"/>
  <c r="I794" i="16"/>
  <c r="I793" i="16"/>
  <c r="I792" i="16"/>
  <c r="I791" i="16"/>
  <c r="I790" i="16"/>
  <c r="I789" i="16"/>
  <c r="I788" i="16"/>
  <c r="I787" i="16"/>
  <c r="I786" i="16"/>
  <c r="I785" i="16"/>
  <c r="I784" i="16"/>
  <c r="I783" i="16"/>
  <c r="I782" i="16"/>
  <c r="I781" i="16"/>
  <c r="I780" i="16"/>
  <c r="I779" i="16"/>
  <c r="I778" i="16"/>
  <c r="I777" i="16"/>
  <c r="I776" i="16"/>
  <c r="I775" i="16"/>
  <c r="I774" i="16"/>
  <c r="I773" i="16"/>
  <c r="I772" i="16"/>
  <c r="I771" i="16"/>
  <c r="I770" i="16"/>
  <c r="I769" i="16"/>
  <c r="I768" i="16"/>
  <c r="I767" i="16"/>
  <c r="I766" i="16"/>
  <c r="I765" i="16"/>
  <c r="I764" i="16"/>
  <c r="I763" i="16"/>
  <c r="I762" i="16"/>
  <c r="I761" i="16"/>
  <c r="I760" i="16"/>
  <c r="I759" i="16"/>
  <c r="I758" i="16"/>
  <c r="I757" i="16"/>
  <c r="I756" i="16"/>
  <c r="I755" i="16"/>
  <c r="I754" i="16"/>
  <c r="I753" i="16"/>
  <c r="I752" i="16"/>
  <c r="I751" i="16"/>
  <c r="I750" i="16"/>
  <c r="I749" i="16"/>
  <c r="I748" i="16"/>
  <c r="I747" i="16"/>
  <c r="I746" i="16"/>
  <c r="I745" i="16"/>
  <c r="I744" i="16"/>
  <c r="I743" i="16"/>
  <c r="I742" i="16"/>
  <c r="I741" i="16"/>
  <c r="I740" i="16"/>
  <c r="I739" i="16"/>
  <c r="I738" i="16"/>
  <c r="I737" i="16"/>
  <c r="I736" i="16"/>
  <c r="I735" i="16"/>
  <c r="I734" i="16"/>
  <c r="I733" i="16"/>
  <c r="I732" i="16"/>
  <c r="I731" i="16"/>
  <c r="I730" i="16"/>
  <c r="I729" i="16"/>
  <c r="I728" i="16"/>
  <c r="I727" i="16"/>
  <c r="I726" i="16"/>
  <c r="I725" i="16"/>
  <c r="I724" i="16"/>
  <c r="I723" i="16"/>
  <c r="I722" i="16"/>
  <c r="I721" i="16"/>
  <c r="I720" i="16"/>
  <c r="I719" i="16"/>
  <c r="I718" i="16"/>
  <c r="I717" i="16"/>
  <c r="I716" i="16"/>
  <c r="I715" i="16"/>
  <c r="I714" i="16"/>
  <c r="I713" i="16"/>
  <c r="I712" i="16"/>
  <c r="I711" i="16"/>
  <c r="I710" i="16"/>
  <c r="I709" i="16"/>
  <c r="I708" i="16"/>
  <c r="I707" i="16"/>
  <c r="I706" i="16"/>
  <c r="I705" i="16"/>
  <c r="I704" i="16"/>
  <c r="I703" i="16"/>
  <c r="I702" i="16"/>
  <c r="I701" i="16"/>
  <c r="I700" i="16"/>
  <c r="I699" i="16"/>
  <c r="I698" i="16"/>
  <c r="I697" i="16"/>
  <c r="I696" i="16"/>
  <c r="I695" i="16"/>
  <c r="I694" i="16"/>
  <c r="I693" i="16"/>
  <c r="I692" i="16"/>
  <c r="I691" i="16"/>
  <c r="I690" i="16"/>
  <c r="I689" i="16"/>
  <c r="I688" i="16"/>
  <c r="I687" i="16"/>
  <c r="I686" i="16"/>
  <c r="I685" i="16"/>
  <c r="I684" i="16"/>
  <c r="I683" i="16"/>
  <c r="I682" i="16"/>
  <c r="I681" i="16"/>
  <c r="I680" i="16"/>
  <c r="I679" i="16"/>
  <c r="I678" i="16"/>
  <c r="I677" i="16"/>
  <c r="I676" i="16"/>
  <c r="I675" i="16"/>
  <c r="I674" i="16"/>
  <c r="I673" i="16"/>
  <c r="I672" i="16"/>
  <c r="I671" i="16"/>
  <c r="I670" i="16"/>
  <c r="I669" i="16"/>
  <c r="I668" i="16"/>
  <c r="I667" i="16"/>
  <c r="I666" i="16"/>
  <c r="I665" i="16"/>
  <c r="I664" i="16"/>
  <c r="I663" i="16"/>
  <c r="I662" i="16"/>
  <c r="I661" i="16"/>
  <c r="I660" i="16"/>
  <c r="I659" i="16"/>
  <c r="I658" i="16"/>
  <c r="I657" i="16"/>
  <c r="I656" i="16"/>
  <c r="I655" i="16"/>
  <c r="I654" i="16"/>
  <c r="I653" i="16"/>
  <c r="I652" i="16"/>
  <c r="I651" i="16"/>
  <c r="I650" i="16"/>
  <c r="I649" i="16"/>
  <c r="I648" i="16"/>
  <c r="I647" i="16"/>
  <c r="I646" i="16"/>
  <c r="I645" i="16"/>
  <c r="I644" i="16"/>
  <c r="I643" i="16"/>
  <c r="I642" i="16"/>
  <c r="I641" i="16"/>
  <c r="I640" i="16"/>
  <c r="I639" i="16"/>
  <c r="I638" i="16"/>
  <c r="I637" i="16"/>
  <c r="I636" i="16"/>
  <c r="I635" i="16"/>
  <c r="I634" i="16"/>
  <c r="I633" i="16"/>
  <c r="I632" i="16"/>
  <c r="I631" i="16"/>
  <c r="I630" i="16"/>
  <c r="I629" i="16"/>
  <c r="I628" i="16"/>
  <c r="I627" i="16"/>
  <c r="I626" i="16"/>
  <c r="I625" i="16"/>
  <c r="I624" i="16"/>
  <c r="I623" i="16"/>
  <c r="I622" i="16"/>
  <c r="I621" i="16"/>
  <c r="I620" i="16"/>
  <c r="I619" i="16"/>
  <c r="I618" i="16"/>
  <c r="I617" i="16"/>
  <c r="I616" i="16"/>
  <c r="I615" i="16"/>
  <c r="I614" i="16"/>
  <c r="I613" i="16"/>
  <c r="I612" i="16"/>
  <c r="I611" i="16"/>
  <c r="I610" i="16"/>
  <c r="I609" i="16"/>
  <c r="I608" i="16"/>
  <c r="I607" i="16"/>
  <c r="I606" i="16"/>
  <c r="I605" i="16"/>
  <c r="I604" i="16"/>
  <c r="I603" i="16"/>
  <c r="I602" i="16"/>
  <c r="I601" i="16"/>
  <c r="I600" i="16"/>
  <c r="I599" i="16"/>
  <c r="I598" i="16"/>
  <c r="I597" i="16"/>
  <c r="I596" i="16"/>
  <c r="I595" i="16"/>
  <c r="I594" i="16"/>
  <c r="I593" i="16"/>
  <c r="I592" i="16"/>
  <c r="I591" i="16"/>
  <c r="I590" i="16"/>
  <c r="I589" i="16"/>
  <c r="I588" i="16"/>
  <c r="I587" i="16"/>
  <c r="I586" i="16"/>
  <c r="I585" i="16"/>
  <c r="I584" i="16"/>
  <c r="I583" i="16"/>
  <c r="I582" i="16"/>
  <c r="I581" i="16"/>
  <c r="I580" i="16"/>
  <c r="I579" i="16"/>
  <c r="I578" i="16"/>
  <c r="I577" i="16"/>
  <c r="I576" i="16"/>
  <c r="I575" i="16"/>
  <c r="I574" i="16"/>
  <c r="I573" i="16"/>
  <c r="I572" i="16"/>
  <c r="I571" i="16"/>
  <c r="I570" i="16"/>
  <c r="I569" i="16"/>
  <c r="I568" i="16"/>
  <c r="I567" i="16"/>
  <c r="I566" i="16"/>
  <c r="I565" i="16"/>
  <c r="I564" i="16"/>
  <c r="I563" i="16"/>
  <c r="I562" i="16"/>
  <c r="I561" i="16"/>
  <c r="I560" i="16"/>
  <c r="I559" i="16"/>
  <c r="I558" i="16"/>
  <c r="I557" i="16"/>
  <c r="I556" i="16"/>
  <c r="I555" i="16"/>
  <c r="I554" i="16"/>
  <c r="I553" i="16"/>
  <c r="I552" i="16"/>
  <c r="I551" i="16"/>
  <c r="I550" i="16"/>
  <c r="I549" i="16"/>
  <c r="I548" i="16"/>
  <c r="I547" i="16"/>
  <c r="I546" i="16"/>
  <c r="I545" i="16"/>
  <c r="I544" i="16"/>
  <c r="I543" i="16"/>
  <c r="I542" i="16"/>
  <c r="I541" i="16"/>
  <c r="I540" i="16"/>
  <c r="I539" i="16"/>
  <c r="I538" i="16"/>
  <c r="I537" i="16"/>
  <c r="I536" i="16"/>
  <c r="I535" i="16"/>
  <c r="I534" i="16"/>
  <c r="I533" i="16"/>
  <c r="I532" i="16"/>
  <c r="I531" i="16"/>
  <c r="I530" i="16"/>
  <c r="I529" i="16"/>
  <c r="I528" i="16"/>
  <c r="I527" i="16"/>
  <c r="I526" i="16"/>
  <c r="I525" i="16"/>
  <c r="I524" i="16"/>
  <c r="I523" i="16"/>
  <c r="I522" i="16"/>
  <c r="I521" i="16"/>
  <c r="I520" i="16"/>
  <c r="I519" i="16"/>
  <c r="I518" i="16"/>
  <c r="I517" i="16"/>
  <c r="I516" i="16"/>
  <c r="I515" i="16"/>
  <c r="I514" i="16"/>
  <c r="I513" i="16"/>
  <c r="I512" i="16"/>
  <c r="I511" i="16"/>
  <c r="I510" i="16"/>
  <c r="I509" i="16"/>
  <c r="I508" i="16"/>
  <c r="I507" i="16"/>
  <c r="I506" i="16"/>
  <c r="I505" i="16"/>
  <c r="I504" i="16"/>
  <c r="I503" i="16"/>
  <c r="I502" i="16"/>
  <c r="I501" i="16"/>
  <c r="I500" i="16"/>
  <c r="I499" i="16"/>
  <c r="I498" i="16"/>
  <c r="I497" i="16"/>
  <c r="I496" i="16"/>
  <c r="I495" i="16"/>
  <c r="I494" i="16"/>
  <c r="I493" i="16"/>
  <c r="I492" i="16"/>
  <c r="I491" i="16"/>
  <c r="I490" i="16"/>
  <c r="I489" i="16"/>
  <c r="I488" i="16"/>
  <c r="I487" i="16"/>
  <c r="I486" i="16"/>
  <c r="I485" i="16"/>
  <c r="I484" i="16"/>
  <c r="I483" i="16"/>
  <c r="I482" i="16"/>
  <c r="I481" i="16"/>
  <c r="I480" i="16"/>
  <c r="I479" i="16"/>
  <c r="I478" i="16"/>
  <c r="I477" i="16"/>
  <c r="I476" i="16"/>
  <c r="I475" i="16"/>
  <c r="I474" i="16"/>
  <c r="I473" i="16"/>
  <c r="I472" i="16"/>
  <c r="I471" i="16"/>
  <c r="I470" i="16"/>
  <c r="I469" i="16"/>
  <c r="I468" i="16"/>
  <c r="I467" i="16"/>
  <c r="I466" i="16"/>
  <c r="I465" i="16"/>
  <c r="I464" i="16"/>
  <c r="I463" i="16"/>
  <c r="I462" i="16"/>
  <c r="I461" i="16"/>
  <c r="I460" i="16"/>
  <c r="I459" i="16"/>
  <c r="I458" i="16"/>
  <c r="I457" i="16"/>
  <c r="I456" i="16"/>
  <c r="I455" i="16"/>
  <c r="I454" i="16"/>
  <c r="I453" i="16"/>
  <c r="I452" i="16"/>
  <c r="I451" i="16"/>
  <c r="I450" i="16"/>
  <c r="I449" i="16"/>
  <c r="I448" i="16"/>
  <c r="I447" i="16"/>
  <c r="I446" i="16"/>
  <c r="I445" i="16"/>
  <c r="I444" i="16"/>
  <c r="I443" i="16"/>
  <c r="I442" i="16"/>
  <c r="I441" i="16"/>
  <c r="I440" i="16"/>
  <c r="I439" i="16"/>
  <c r="I438" i="16"/>
  <c r="I437" i="16"/>
  <c r="I436" i="16"/>
  <c r="I435" i="16"/>
  <c r="I434" i="16"/>
  <c r="I433" i="16"/>
  <c r="I432" i="16"/>
  <c r="I431" i="16"/>
  <c r="I430" i="16"/>
  <c r="I429" i="16"/>
  <c r="I428" i="16"/>
  <c r="I427" i="16"/>
  <c r="I426" i="16"/>
  <c r="I425" i="16"/>
  <c r="I424" i="16"/>
  <c r="I423" i="16"/>
  <c r="I422" i="16"/>
  <c r="I421" i="16"/>
  <c r="I420" i="16"/>
  <c r="I419" i="16"/>
  <c r="I418" i="16"/>
  <c r="I417" i="16"/>
  <c r="I416" i="16"/>
  <c r="I415" i="16"/>
  <c r="I414" i="16"/>
  <c r="I413" i="16"/>
  <c r="I412" i="16"/>
  <c r="I411" i="16"/>
  <c r="I410" i="16"/>
  <c r="I409" i="16"/>
  <c r="I408" i="16"/>
  <c r="I407" i="16"/>
  <c r="I406" i="16"/>
  <c r="I405" i="16"/>
  <c r="I404" i="16"/>
  <c r="I403" i="16"/>
  <c r="I402" i="16"/>
  <c r="I401" i="16"/>
  <c r="I400" i="16"/>
  <c r="I399" i="16"/>
  <c r="I398" i="16"/>
  <c r="I397" i="16"/>
  <c r="I396" i="16"/>
  <c r="I395" i="16"/>
  <c r="I394" i="16"/>
  <c r="I393" i="16"/>
  <c r="I392" i="16"/>
  <c r="I391" i="16"/>
  <c r="I390" i="16"/>
  <c r="I389" i="16"/>
  <c r="I388" i="16"/>
  <c r="I387" i="16"/>
  <c r="I386" i="16"/>
  <c r="I385" i="16"/>
  <c r="I384" i="16"/>
  <c r="I383" i="16"/>
  <c r="I382" i="16"/>
  <c r="I381" i="16"/>
  <c r="I380" i="16"/>
  <c r="I379" i="16"/>
  <c r="I378" i="16"/>
  <c r="I377" i="16"/>
  <c r="I376" i="16"/>
  <c r="I375" i="16"/>
  <c r="I374" i="16"/>
  <c r="I373" i="16"/>
  <c r="I372" i="16"/>
  <c r="I371" i="16"/>
  <c r="I370" i="16"/>
  <c r="I369" i="16"/>
  <c r="I368" i="16"/>
  <c r="I367" i="16"/>
  <c r="I366" i="16"/>
  <c r="I365" i="16"/>
  <c r="I364" i="16"/>
  <c r="I363" i="16"/>
  <c r="I362" i="16"/>
  <c r="I361" i="16"/>
  <c r="I360" i="16"/>
  <c r="I359" i="16"/>
  <c r="I358" i="16"/>
  <c r="I357" i="16"/>
  <c r="I356" i="16"/>
  <c r="I355" i="16"/>
  <c r="I354" i="16"/>
  <c r="I353" i="16"/>
  <c r="I352" i="16"/>
  <c r="I351" i="16"/>
  <c r="I350" i="16"/>
  <c r="I349" i="16"/>
  <c r="I348" i="16"/>
  <c r="I347" i="16"/>
  <c r="I346" i="16"/>
  <c r="I345" i="16"/>
  <c r="I344" i="16"/>
  <c r="I343" i="16"/>
  <c r="I342" i="16"/>
  <c r="I341" i="16"/>
  <c r="I340" i="16"/>
  <c r="I339" i="16"/>
  <c r="I338" i="16"/>
  <c r="I337" i="16"/>
  <c r="I336" i="16"/>
  <c r="I335" i="16"/>
  <c r="I334" i="16"/>
  <c r="I333" i="16"/>
  <c r="I332" i="16"/>
  <c r="I331" i="16"/>
  <c r="I330" i="16"/>
  <c r="I329" i="16"/>
  <c r="I328" i="16"/>
  <c r="I327" i="16"/>
  <c r="I326" i="16"/>
  <c r="I325" i="16"/>
  <c r="I324" i="16"/>
  <c r="I323" i="16"/>
  <c r="I322" i="16"/>
  <c r="I321" i="16"/>
  <c r="I320" i="16"/>
  <c r="I319" i="16"/>
  <c r="I318" i="16"/>
  <c r="I317" i="16"/>
  <c r="I316" i="16"/>
  <c r="I315" i="16"/>
  <c r="I314" i="16"/>
  <c r="I313" i="16"/>
  <c r="I312" i="16"/>
  <c r="I311" i="16"/>
  <c r="I310" i="16"/>
  <c r="I309" i="16"/>
  <c r="I308" i="16"/>
  <c r="I307" i="16"/>
  <c r="I306" i="16"/>
  <c r="I305" i="16"/>
  <c r="I304" i="16"/>
  <c r="I303" i="16"/>
  <c r="I302" i="16"/>
  <c r="I301" i="16"/>
  <c r="I300" i="16"/>
  <c r="I299" i="16"/>
  <c r="I298" i="16"/>
  <c r="I297" i="16"/>
  <c r="I296" i="16"/>
  <c r="I295" i="16"/>
  <c r="I294" i="16"/>
  <c r="I293" i="16"/>
  <c r="I292" i="16"/>
  <c r="I291" i="16"/>
  <c r="I290" i="16"/>
  <c r="I289" i="16"/>
  <c r="I288" i="16"/>
  <c r="I287" i="16"/>
  <c r="I286" i="16"/>
  <c r="I285" i="16"/>
  <c r="I284" i="16"/>
  <c r="I283" i="16"/>
  <c r="I282" i="16"/>
  <c r="I281" i="16"/>
  <c r="I280" i="16"/>
  <c r="I279" i="16"/>
  <c r="I278" i="16"/>
  <c r="I277" i="16"/>
  <c r="I276" i="16"/>
  <c r="I275" i="16"/>
  <c r="I274" i="16"/>
  <c r="I273" i="16"/>
  <c r="I272" i="16"/>
  <c r="I271" i="16"/>
  <c r="I270" i="16"/>
  <c r="I269" i="16"/>
  <c r="I268" i="16"/>
  <c r="I267" i="16"/>
  <c r="I266" i="16"/>
  <c r="I265" i="16"/>
  <c r="I264" i="16"/>
  <c r="I263" i="16"/>
  <c r="I262" i="16"/>
  <c r="I261" i="16"/>
  <c r="I260" i="16"/>
  <c r="I259" i="16"/>
  <c r="I258" i="16"/>
  <c r="I257" i="16"/>
  <c r="I256" i="16"/>
  <c r="I255" i="16"/>
  <c r="I254" i="16"/>
  <c r="I253" i="16"/>
  <c r="I252" i="16"/>
  <c r="I251" i="16"/>
  <c r="I250" i="16"/>
  <c r="I249" i="16"/>
  <c r="I248" i="16"/>
  <c r="I247" i="16"/>
  <c r="I246" i="16"/>
  <c r="I245" i="16"/>
  <c r="I244" i="16"/>
  <c r="I243" i="16"/>
  <c r="I242" i="16"/>
  <c r="I241" i="16"/>
  <c r="I240" i="16"/>
  <c r="I239" i="16"/>
  <c r="I238" i="16"/>
  <c r="I237" i="16"/>
  <c r="I236" i="16"/>
  <c r="I235" i="16"/>
  <c r="I234" i="16"/>
  <c r="I233" i="16"/>
  <c r="I232" i="16"/>
  <c r="I231" i="16"/>
  <c r="I230" i="16"/>
  <c r="I229" i="16"/>
  <c r="I228" i="16"/>
  <c r="I227" i="16"/>
  <c r="I226" i="16"/>
  <c r="I225" i="16"/>
  <c r="I224" i="16"/>
  <c r="I223" i="16"/>
  <c r="I222" i="16"/>
  <c r="I221" i="16"/>
  <c r="I220" i="16"/>
  <c r="I219" i="16"/>
  <c r="I218" i="16"/>
  <c r="I217" i="16"/>
  <c r="I216" i="16"/>
  <c r="I215" i="16"/>
  <c r="I214" i="16"/>
  <c r="I213" i="16"/>
  <c r="I212" i="16"/>
  <c r="I211" i="16"/>
  <c r="I210" i="16"/>
  <c r="I209" i="16"/>
  <c r="I208" i="16"/>
  <c r="I207" i="16"/>
  <c r="I206" i="16"/>
  <c r="I205" i="16"/>
  <c r="I204" i="16"/>
  <c r="I203" i="16"/>
  <c r="I202" i="16"/>
  <c r="I201" i="16"/>
  <c r="I200" i="16"/>
  <c r="I199" i="16"/>
  <c r="I198" i="16"/>
  <c r="I197" i="16"/>
  <c r="I196" i="16"/>
  <c r="I195" i="16"/>
  <c r="I194" i="16"/>
  <c r="I193" i="16"/>
  <c r="I192" i="16"/>
  <c r="I191" i="16"/>
  <c r="I190" i="16"/>
  <c r="I189" i="16"/>
  <c r="I188" i="16"/>
  <c r="I187" i="16"/>
  <c r="I186" i="16"/>
  <c r="I185" i="16"/>
  <c r="I184" i="16"/>
  <c r="I183" i="16"/>
  <c r="I182" i="16"/>
  <c r="I181" i="16"/>
  <c r="I180" i="16"/>
  <c r="I179" i="16"/>
  <c r="I178" i="16"/>
  <c r="I177" i="16"/>
  <c r="I176" i="16"/>
  <c r="I175" i="16"/>
  <c r="I174" i="16"/>
  <c r="I173" i="16"/>
  <c r="I172" i="16"/>
  <c r="I171" i="16"/>
  <c r="I170" i="16"/>
  <c r="I169" i="16"/>
  <c r="I168" i="16"/>
  <c r="I167" i="16"/>
  <c r="I166" i="16"/>
  <c r="I165" i="16"/>
  <c r="I164" i="16"/>
  <c r="I163" i="16"/>
  <c r="I162" i="16"/>
  <c r="I161" i="16"/>
  <c r="I160" i="16"/>
  <c r="I159" i="16"/>
  <c r="I158" i="16"/>
  <c r="I157" i="16"/>
  <c r="I156" i="16"/>
  <c r="I155" i="16"/>
  <c r="I154" i="16"/>
  <c r="I153" i="16"/>
  <c r="I152" i="16"/>
  <c r="I151" i="16"/>
  <c r="I150" i="16"/>
  <c r="I149" i="16"/>
  <c r="I148" i="16"/>
  <c r="I147" i="16"/>
  <c r="I146" i="16"/>
  <c r="I145" i="16"/>
  <c r="I144" i="16"/>
  <c r="I143" i="16"/>
  <c r="I142" i="16"/>
  <c r="I141" i="16"/>
  <c r="I140" i="16"/>
  <c r="I139" i="16"/>
  <c r="I138" i="16"/>
  <c r="I137" i="16"/>
  <c r="I136" i="16"/>
  <c r="I135" i="16"/>
  <c r="I134" i="16"/>
  <c r="I133" i="16"/>
  <c r="I132" i="16"/>
  <c r="I131" i="16"/>
  <c r="I130" i="16"/>
  <c r="I129" i="16"/>
  <c r="I128" i="16"/>
  <c r="I127" i="16"/>
  <c r="I126" i="16"/>
  <c r="I125" i="16"/>
  <c r="I124" i="16"/>
  <c r="I123" i="16"/>
  <c r="I122" i="16"/>
  <c r="I121" i="16"/>
  <c r="I120" i="16"/>
  <c r="I119" i="16"/>
  <c r="I118" i="16"/>
  <c r="I117" i="16"/>
  <c r="I116" i="16"/>
  <c r="I115" i="16"/>
  <c r="I114" i="16"/>
  <c r="I113" i="16"/>
  <c r="I112" i="16"/>
  <c r="I111" i="16"/>
  <c r="I110" i="16"/>
  <c r="I109" i="16"/>
  <c r="I108" i="16"/>
  <c r="I107" i="16"/>
  <c r="I106" i="16"/>
  <c r="I105" i="16"/>
  <c r="I104" i="16"/>
  <c r="I103" i="16"/>
  <c r="I102" i="16"/>
  <c r="I101" i="16"/>
  <c r="I100" i="16"/>
  <c r="I99" i="16"/>
  <c r="I98" i="16"/>
  <c r="I97" i="16"/>
  <c r="I96" i="16"/>
  <c r="I95" i="16"/>
  <c r="I94" i="16"/>
  <c r="I93" i="16"/>
  <c r="I92" i="16"/>
  <c r="I91" i="16"/>
  <c r="I90" i="16"/>
  <c r="I89" i="16"/>
  <c r="I88" i="16"/>
  <c r="I87" i="16"/>
  <c r="I86" i="16"/>
  <c r="I85" i="16"/>
  <c r="I84" i="16"/>
  <c r="I83" i="16"/>
  <c r="I82" i="16"/>
  <c r="I81" i="16"/>
  <c r="I80" i="16"/>
  <c r="I79" i="16"/>
  <c r="I78" i="16"/>
  <c r="I77" i="16"/>
  <c r="I76" i="16"/>
  <c r="I75" i="16"/>
  <c r="I74" i="16"/>
  <c r="I73" i="16"/>
  <c r="I72" i="16"/>
  <c r="I71" i="16"/>
  <c r="I70" i="16"/>
  <c r="I69" i="16"/>
  <c r="I68" i="16"/>
  <c r="I67" i="16"/>
  <c r="I66" i="16"/>
  <c r="I65" i="16"/>
  <c r="I64" i="16"/>
  <c r="I63" i="16"/>
  <c r="I62" i="16"/>
  <c r="I61" i="16"/>
  <c r="I60" i="16"/>
  <c r="I59" i="16"/>
  <c r="I58" i="16"/>
  <c r="I57" i="16"/>
  <c r="I56" i="16"/>
  <c r="I55" i="16"/>
  <c r="I54" i="16"/>
  <c r="I53" i="16"/>
  <c r="I52" i="16"/>
  <c r="I51" i="16"/>
  <c r="I50" i="16"/>
  <c r="I49" i="16"/>
  <c r="I48" i="16"/>
  <c r="I47" i="16"/>
  <c r="I46" i="16"/>
  <c r="I45" i="16"/>
  <c r="I44" i="16"/>
  <c r="I43" i="16"/>
  <c r="I42" i="16"/>
  <c r="I41" i="16"/>
  <c r="I40" i="16"/>
  <c r="I39" i="16"/>
  <c r="I38" i="16"/>
  <c r="I37" i="16"/>
  <c r="I36" i="16"/>
  <c r="I35" i="16"/>
  <c r="I34" i="16"/>
  <c r="I33" i="16"/>
  <c r="I32" i="16"/>
  <c r="I31" i="16"/>
  <c r="I30" i="16"/>
  <c r="I29" i="16"/>
  <c r="I28" i="16"/>
  <c r="I27" i="16"/>
  <c r="I26" i="16"/>
  <c r="I25" i="16"/>
  <c r="I24" i="16"/>
  <c r="I23" i="16"/>
  <c r="I22" i="16"/>
  <c r="I21" i="16"/>
  <c r="I20" i="16"/>
  <c r="I19" i="16"/>
  <c r="I18" i="16"/>
  <c r="I17" i="16"/>
  <c r="I16" i="16"/>
  <c r="I15" i="16"/>
  <c r="I14" i="16"/>
  <c r="I13" i="16"/>
  <c r="I12" i="16"/>
  <c r="I11" i="16"/>
  <c r="I10" i="16"/>
  <c r="I9" i="16"/>
  <c r="I8" i="16"/>
  <c r="I7" i="16"/>
  <c r="I6" i="16"/>
  <c r="I5" i="16"/>
  <c r="I4" i="16"/>
  <c r="I3" i="16"/>
  <c r="I2" i="16"/>
  <c r="C1438" i="16"/>
  <c r="C1437" i="16"/>
  <c r="C1436" i="16"/>
  <c r="C1435" i="16"/>
  <c r="C1434" i="16"/>
  <c r="C1433" i="16"/>
  <c r="C1432" i="16"/>
  <c r="C1431" i="16"/>
  <c r="C1430" i="16"/>
  <c r="C1429" i="16"/>
  <c r="C1428" i="16"/>
  <c r="C1427" i="16"/>
  <c r="C1426" i="16"/>
  <c r="C1425" i="16"/>
  <c r="C1424" i="16"/>
  <c r="C1423" i="16"/>
  <c r="C1422" i="16"/>
  <c r="C1421" i="16"/>
  <c r="C1420" i="16"/>
  <c r="C1419" i="16"/>
  <c r="C1418" i="16"/>
  <c r="C1417" i="16"/>
  <c r="C1416" i="16"/>
  <c r="C1415" i="16"/>
  <c r="C1414" i="16"/>
  <c r="C1413" i="16"/>
  <c r="C1412" i="16"/>
  <c r="C1411" i="16"/>
  <c r="C1410" i="16"/>
  <c r="C1409" i="16"/>
  <c r="C1408" i="16"/>
  <c r="C1407" i="16"/>
  <c r="C1406" i="16"/>
  <c r="C1405" i="16"/>
  <c r="C1404" i="16"/>
  <c r="C1403" i="16"/>
  <c r="C1402" i="16"/>
  <c r="C1401" i="16"/>
  <c r="C1400" i="16"/>
  <c r="C1399" i="16"/>
  <c r="C1398" i="16"/>
  <c r="C1397" i="16"/>
  <c r="C1396" i="16"/>
  <c r="C1395" i="16"/>
  <c r="C1394" i="16"/>
  <c r="C1393" i="16"/>
  <c r="C1392" i="16"/>
  <c r="C1391" i="16"/>
  <c r="C1390" i="16"/>
  <c r="C1389" i="16"/>
  <c r="C1388" i="16"/>
  <c r="C1387" i="16"/>
  <c r="C1386" i="16"/>
  <c r="C1385" i="16"/>
  <c r="C1384" i="16"/>
  <c r="C1383" i="16"/>
  <c r="C1382" i="16"/>
  <c r="C1381" i="16"/>
  <c r="C1380" i="16"/>
  <c r="C1379" i="16"/>
  <c r="C1378" i="16"/>
  <c r="C1377" i="16"/>
  <c r="C1376" i="16"/>
  <c r="C1375" i="16"/>
  <c r="C1374" i="16"/>
  <c r="C1373" i="16"/>
  <c r="C1372" i="16"/>
  <c r="C1371" i="16"/>
  <c r="C1370" i="16"/>
  <c r="C1369" i="16"/>
  <c r="C1368" i="16"/>
  <c r="C1367" i="16"/>
  <c r="C1366" i="16"/>
  <c r="C1365" i="16"/>
  <c r="C1364" i="16"/>
  <c r="C1363" i="16"/>
  <c r="C1362" i="16"/>
  <c r="C1361" i="16"/>
  <c r="C1360" i="16"/>
  <c r="C1359" i="16"/>
  <c r="C1358" i="16"/>
  <c r="C1357" i="16"/>
  <c r="C1356" i="16"/>
  <c r="C1355" i="16"/>
  <c r="C1354" i="16"/>
  <c r="C1353" i="16"/>
  <c r="C1352" i="16"/>
  <c r="C1351" i="16"/>
  <c r="C1350" i="16"/>
  <c r="C1349" i="16"/>
  <c r="C1348" i="16"/>
  <c r="C1347" i="16"/>
  <c r="C1346" i="16"/>
  <c r="C1345" i="16"/>
  <c r="C1344" i="16"/>
  <c r="C1343" i="16"/>
  <c r="C1342" i="16"/>
  <c r="C1341" i="16"/>
  <c r="C1340" i="16"/>
  <c r="C1339" i="16"/>
  <c r="C1338" i="16"/>
  <c r="C1337" i="16"/>
  <c r="C1336" i="16"/>
  <c r="C1335" i="16"/>
  <c r="C1334" i="16"/>
  <c r="C1333" i="16"/>
  <c r="C1332" i="16"/>
  <c r="C1331" i="16"/>
  <c r="C1330" i="16"/>
  <c r="C1329" i="16"/>
  <c r="C1328" i="16"/>
  <c r="C1327" i="16"/>
  <c r="C1326" i="16"/>
  <c r="C1325" i="16"/>
  <c r="C1324" i="16"/>
  <c r="C1323" i="16"/>
  <c r="C1322" i="16"/>
  <c r="C1321" i="16"/>
  <c r="C1320" i="16"/>
  <c r="C1319" i="16"/>
  <c r="C1318" i="16"/>
  <c r="C1317" i="16"/>
  <c r="C1316" i="16"/>
  <c r="C1315" i="16"/>
  <c r="C1314" i="16"/>
  <c r="C1313" i="16"/>
  <c r="C1312" i="16"/>
  <c r="C1311" i="16"/>
  <c r="C1310" i="16"/>
  <c r="C1309" i="16"/>
  <c r="C1308" i="16"/>
  <c r="C1307" i="16"/>
  <c r="C1306" i="16"/>
  <c r="C1305" i="16"/>
  <c r="C1304" i="16"/>
  <c r="C1303" i="16"/>
  <c r="C1302" i="16"/>
  <c r="C1301" i="16"/>
  <c r="C1300" i="16"/>
  <c r="C1299" i="16"/>
  <c r="C1298" i="16"/>
  <c r="C1297" i="16"/>
  <c r="C1296" i="16"/>
  <c r="C1295" i="16"/>
  <c r="C1294" i="16"/>
  <c r="C1293" i="16"/>
  <c r="C1292" i="16"/>
  <c r="C1291" i="16"/>
  <c r="C1290" i="16"/>
  <c r="C1289" i="16"/>
  <c r="C1288" i="16"/>
  <c r="C1287" i="16"/>
  <c r="C1286" i="16"/>
  <c r="C1285" i="16"/>
  <c r="C1284" i="16"/>
  <c r="C1283" i="16"/>
  <c r="C1282" i="16"/>
  <c r="C1281" i="16"/>
  <c r="C1280" i="16"/>
  <c r="C1279" i="16"/>
  <c r="C1278" i="16"/>
  <c r="C1277" i="16"/>
  <c r="C1276" i="16"/>
  <c r="C1275" i="16"/>
  <c r="C1274" i="16"/>
  <c r="C1273" i="16"/>
  <c r="C1272" i="16"/>
  <c r="C1271" i="16"/>
  <c r="C1270" i="16"/>
  <c r="C1269" i="16"/>
  <c r="C1268" i="16"/>
  <c r="C1267" i="16"/>
  <c r="C1266" i="16"/>
  <c r="C1265" i="16"/>
  <c r="C1264" i="16"/>
  <c r="C1263" i="16"/>
  <c r="C1262" i="16"/>
  <c r="C1261" i="16"/>
  <c r="C1260" i="16"/>
  <c r="C1259" i="16"/>
  <c r="C1258" i="16"/>
  <c r="C1257" i="16"/>
  <c r="C1256" i="16"/>
  <c r="C1255" i="16"/>
  <c r="C1254" i="16"/>
  <c r="C1253" i="16"/>
  <c r="C1252" i="16"/>
  <c r="C1251" i="16"/>
  <c r="C1250" i="16"/>
  <c r="C1249" i="16"/>
  <c r="C1248" i="16"/>
  <c r="C1247" i="16"/>
  <c r="C1246" i="16"/>
  <c r="C1245" i="16"/>
  <c r="C1244" i="16"/>
  <c r="C1243" i="16"/>
  <c r="C1242" i="16"/>
  <c r="C1241" i="16"/>
  <c r="C1240" i="16"/>
  <c r="C1239" i="16"/>
  <c r="C1238" i="16"/>
  <c r="C1237" i="16"/>
  <c r="C1236" i="16"/>
  <c r="C1235" i="16"/>
  <c r="C1234" i="16"/>
  <c r="C1233" i="16"/>
  <c r="C1232" i="16"/>
  <c r="C1231" i="16"/>
  <c r="C1230" i="16"/>
  <c r="C1229" i="16"/>
  <c r="C1228" i="16"/>
  <c r="C1227" i="16"/>
  <c r="C1226" i="16"/>
  <c r="C1225" i="16"/>
  <c r="C1224" i="16"/>
  <c r="C1223" i="16"/>
  <c r="C1222" i="16"/>
  <c r="C1221" i="16"/>
  <c r="C1220" i="16"/>
  <c r="C1219" i="16"/>
  <c r="C1218" i="16"/>
  <c r="C1217" i="16"/>
  <c r="C1216" i="16"/>
  <c r="C1215" i="16"/>
  <c r="C1214" i="16"/>
  <c r="C1213" i="16"/>
  <c r="C1212" i="16"/>
  <c r="C1211" i="16"/>
  <c r="C1210" i="16"/>
  <c r="C1209" i="16"/>
  <c r="C1208" i="16"/>
  <c r="C1207" i="16"/>
  <c r="C1206" i="16"/>
  <c r="C1205" i="16"/>
  <c r="C1204" i="16"/>
  <c r="C1203" i="16"/>
  <c r="C1202" i="16"/>
  <c r="C1201" i="16"/>
  <c r="C1200" i="16"/>
  <c r="C1199" i="16"/>
  <c r="C1198" i="16"/>
  <c r="C1197" i="16"/>
  <c r="C1196" i="16"/>
  <c r="C1195" i="16"/>
  <c r="C1194" i="16"/>
  <c r="C1193" i="16"/>
  <c r="C1192" i="16"/>
  <c r="C1191" i="16"/>
  <c r="C1190" i="16"/>
  <c r="C1189" i="16"/>
  <c r="C1188" i="16"/>
  <c r="C1187" i="16"/>
  <c r="C1186" i="16"/>
  <c r="C1185" i="16"/>
  <c r="C1184" i="16"/>
  <c r="C1183" i="16"/>
  <c r="C1182" i="16"/>
  <c r="C1181" i="16"/>
  <c r="C1180" i="16"/>
  <c r="C1179" i="16"/>
  <c r="C1178" i="16"/>
  <c r="C1177" i="16"/>
  <c r="C1176" i="16"/>
  <c r="C1175" i="16"/>
  <c r="C1174" i="16"/>
  <c r="C1173" i="16"/>
  <c r="C1172" i="16"/>
  <c r="C1171" i="16"/>
  <c r="C1170" i="16"/>
  <c r="C1169" i="16"/>
  <c r="C1168" i="16"/>
  <c r="C1167" i="16"/>
  <c r="C1166" i="16"/>
  <c r="C1165" i="16"/>
  <c r="C1164" i="16"/>
  <c r="C1163" i="16"/>
  <c r="C1162" i="16"/>
  <c r="C1161" i="16"/>
  <c r="C1160" i="16"/>
  <c r="C1159" i="16"/>
  <c r="C1158" i="16"/>
  <c r="C1157" i="16"/>
  <c r="C1156" i="16"/>
  <c r="C1155" i="16"/>
  <c r="C1154" i="16"/>
  <c r="C1153" i="16"/>
  <c r="C1152" i="16"/>
  <c r="C1151" i="16"/>
  <c r="C1150" i="16"/>
  <c r="C1149" i="16"/>
  <c r="C1148" i="16"/>
  <c r="C1147" i="16"/>
  <c r="C1146" i="16"/>
  <c r="C1145" i="16"/>
  <c r="C1144" i="16"/>
  <c r="C1143" i="16"/>
  <c r="C1142" i="16"/>
  <c r="C1141" i="16"/>
  <c r="C1140" i="16"/>
  <c r="C1139" i="16"/>
  <c r="C1138" i="16"/>
  <c r="C1137" i="16"/>
  <c r="C1136" i="16"/>
  <c r="C1135" i="16"/>
  <c r="C1134" i="16"/>
  <c r="C1133" i="16"/>
  <c r="C1132" i="16"/>
  <c r="C1131" i="16"/>
  <c r="C1130" i="16"/>
  <c r="C1129" i="16"/>
  <c r="C1128" i="16"/>
  <c r="C1127" i="16"/>
  <c r="C1126" i="16"/>
  <c r="C1125" i="16"/>
  <c r="C1124" i="16"/>
  <c r="C1123" i="16"/>
  <c r="C1122" i="16"/>
  <c r="C1121" i="16"/>
  <c r="C1120" i="16"/>
  <c r="C1119" i="16"/>
  <c r="C1118" i="16"/>
  <c r="C1117" i="16"/>
  <c r="C1116" i="16"/>
  <c r="C1115" i="16"/>
  <c r="C1114" i="16"/>
  <c r="C1113" i="16"/>
  <c r="C1112" i="16"/>
  <c r="C1111" i="16"/>
  <c r="C1110" i="16"/>
  <c r="C1109" i="16"/>
  <c r="C1108" i="16"/>
  <c r="C1107" i="16"/>
  <c r="C1106" i="16"/>
  <c r="C1105" i="16"/>
  <c r="C1104" i="16"/>
  <c r="C1103" i="16"/>
  <c r="C1102" i="16"/>
  <c r="C1101" i="16"/>
  <c r="C1100" i="16"/>
  <c r="C1099" i="16"/>
  <c r="C1098" i="16"/>
  <c r="C1097" i="16"/>
  <c r="C1096" i="16"/>
  <c r="C1095" i="16"/>
  <c r="C1094" i="16"/>
  <c r="C1093" i="16"/>
  <c r="C1092" i="16"/>
  <c r="C1091" i="16"/>
  <c r="C1090" i="16"/>
  <c r="C1089" i="16"/>
  <c r="C1088" i="16"/>
  <c r="C1087" i="16"/>
  <c r="C1086" i="16"/>
  <c r="C1085" i="16"/>
  <c r="C1084" i="16"/>
  <c r="C1083" i="16"/>
  <c r="C1082" i="16"/>
  <c r="C1081" i="16"/>
  <c r="C1080" i="16"/>
  <c r="C1079" i="16"/>
  <c r="C1078" i="16"/>
  <c r="C1077" i="16"/>
  <c r="C1076" i="16"/>
  <c r="C1075" i="16"/>
  <c r="C1074" i="16"/>
  <c r="C1073" i="16"/>
  <c r="C1072" i="16"/>
  <c r="C1071" i="16"/>
  <c r="C1070" i="16"/>
  <c r="C1069" i="16"/>
  <c r="C1068" i="16"/>
  <c r="C1067" i="16"/>
  <c r="C1066" i="16"/>
  <c r="C1065" i="16"/>
  <c r="C1064" i="16"/>
  <c r="C1063" i="16"/>
  <c r="C1062" i="16"/>
  <c r="C1061" i="16"/>
  <c r="C1060" i="16"/>
  <c r="C1059" i="16"/>
  <c r="C1058" i="16"/>
  <c r="C1057" i="16"/>
  <c r="C1056" i="16"/>
  <c r="C1055" i="16"/>
  <c r="C1054" i="16"/>
  <c r="C1053" i="16"/>
  <c r="C1052" i="16"/>
  <c r="C1051" i="16"/>
  <c r="C1050" i="16"/>
  <c r="C1049" i="16"/>
  <c r="C1048" i="16"/>
  <c r="C1047" i="16"/>
  <c r="C1046" i="16"/>
  <c r="C1045" i="16"/>
  <c r="C1044" i="16"/>
  <c r="C1043" i="16"/>
  <c r="C1042" i="16"/>
  <c r="C1041" i="16"/>
  <c r="C1040" i="16"/>
  <c r="C1039" i="16"/>
  <c r="C1038" i="16"/>
  <c r="C1037" i="16"/>
  <c r="C1036" i="16"/>
  <c r="C1035" i="16"/>
  <c r="C1034" i="16"/>
  <c r="C1033" i="16"/>
  <c r="C1032" i="16"/>
  <c r="C1031" i="16"/>
  <c r="C1030" i="16"/>
  <c r="C1029" i="16"/>
  <c r="C1028" i="16"/>
  <c r="C1027" i="16"/>
  <c r="C1026" i="16"/>
  <c r="C1025" i="16"/>
  <c r="C1024" i="16"/>
  <c r="C1023" i="16"/>
  <c r="C1022" i="16"/>
  <c r="C1021" i="16"/>
  <c r="C1020" i="16"/>
  <c r="C1019" i="16"/>
  <c r="C1018" i="16"/>
  <c r="C1017" i="16"/>
  <c r="C1016" i="16"/>
  <c r="C1015" i="16"/>
  <c r="C1014" i="16"/>
  <c r="C1013" i="16"/>
  <c r="C1012" i="16"/>
  <c r="C1011" i="16"/>
  <c r="C1010" i="16"/>
  <c r="C1009" i="16"/>
  <c r="C1008" i="16"/>
  <c r="C1007" i="16"/>
  <c r="C1006" i="16"/>
  <c r="C1005" i="16"/>
  <c r="C1004" i="16"/>
  <c r="C1003" i="16"/>
  <c r="C1002" i="16"/>
  <c r="C1001" i="16"/>
  <c r="C1000" i="16"/>
  <c r="C999" i="16"/>
  <c r="C998" i="16"/>
  <c r="C997" i="16"/>
  <c r="C996" i="16"/>
  <c r="C995" i="16"/>
  <c r="C994" i="16"/>
  <c r="C993" i="16"/>
  <c r="C992" i="16"/>
  <c r="C991" i="16"/>
  <c r="C990" i="16"/>
  <c r="C989" i="16"/>
  <c r="C988" i="16"/>
  <c r="C987" i="16"/>
  <c r="C986" i="16"/>
  <c r="C985" i="16"/>
  <c r="C984" i="16"/>
  <c r="C983" i="16"/>
  <c r="C982" i="16"/>
  <c r="C981" i="16"/>
  <c r="C980" i="16"/>
  <c r="C979" i="16"/>
  <c r="C978" i="16"/>
  <c r="C977" i="16"/>
  <c r="C976" i="16"/>
  <c r="C975" i="16"/>
  <c r="C974" i="16"/>
  <c r="C973" i="16"/>
  <c r="C972" i="16"/>
  <c r="C971" i="16"/>
  <c r="C970" i="16"/>
  <c r="C969" i="16"/>
  <c r="C968" i="16"/>
  <c r="C967" i="16"/>
  <c r="C966" i="16"/>
  <c r="C965" i="16"/>
  <c r="C964" i="16"/>
  <c r="C963" i="16"/>
  <c r="C962" i="16"/>
  <c r="C961" i="16"/>
  <c r="C960" i="16"/>
  <c r="C959" i="16"/>
  <c r="C958" i="16"/>
  <c r="C957" i="16"/>
  <c r="C956" i="16"/>
  <c r="C955" i="16"/>
  <c r="C954" i="16"/>
  <c r="C953" i="16"/>
  <c r="C952" i="16"/>
  <c r="C951" i="16"/>
  <c r="C950" i="16"/>
  <c r="C949" i="16"/>
  <c r="C948" i="16"/>
  <c r="C947" i="16"/>
  <c r="C946" i="16"/>
  <c r="C945" i="16"/>
  <c r="C944" i="16"/>
  <c r="C943" i="16"/>
  <c r="C942" i="16"/>
  <c r="C941" i="16"/>
  <c r="C940" i="16"/>
  <c r="C939" i="16"/>
  <c r="C938" i="16"/>
  <c r="C937" i="16"/>
  <c r="C936" i="16"/>
  <c r="C935" i="16"/>
  <c r="C934" i="16"/>
  <c r="C933" i="16"/>
  <c r="C932" i="16"/>
  <c r="C931" i="16"/>
  <c r="C930" i="16"/>
  <c r="C929" i="16"/>
  <c r="C928" i="16"/>
  <c r="C927" i="16"/>
  <c r="C926" i="16"/>
  <c r="C925" i="16"/>
  <c r="C924" i="16"/>
  <c r="C923" i="16"/>
  <c r="C922" i="16"/>
  <c r="C921" i="16"/>
  <c r="C920" i="16"/>
  <c r="C919" i="16"/>
  <c r="C918" i="16"/>
  <c r="C917" i="16"/>
  <c r="C916" i="16"/>
  <c r="C915" i="16"/>
  <c r="C914" i="16"/>
  <c r="C913" i="16"/>
  <c r="C912" i="16"/>
  <c r="C911" i="16"/>
  <c r="C910" i="16"/>
  <c r="C909" i="16"/>
  <c r="C908" i="16"/>
  <c r="C907" i="16"/>
  <c r="C906" i="16"/>
  <c r="C905" i="16"/>
  <c r="C904" i="16"/>
  <c r="C903" i="16"/>
  <c r="C902" i="16"/>
  <c r="C901" i="16"/>
  <c r="C900" i="16"/>
  <c r="C899" i="16"/>
  <c r="C898" i="16"/>
  <c r="C897" i="16"/>
  <c r="C896" i="16"/>
  <c r="C895" i="16"/>
  <c r="C894" i="16"/>
  <c r="C893" i="16"/>
  <c r="C892" i="16"/>
  <c r="C891" i="16"/>
  <c r="C890" i="16"/>
  <c r="C889" i="16"/>
  <c r="C888" i="16"/>
  <c r="C887" i="16"/>
  <c r="C886" i="16"/>
  <c r="C885" i="16"/>
  <c r="C884" i="16"/>
  <c r="C883" i="16"/>
  <c r="C882" i="16"/>
  <c r="C881" i="16"/>
  <c r="C880" i="16"/>
  <c r="C879" i="16"/>
  <c r="C878" i="16"/>
  <c r="C877" i="16"/>
  <c r="C876" i="16"/>
  <c r="C875" i="16"/>
  <c r="C874" i="16"/>
  <c r="C873" i="16"/>
  <c r="C872" i="16"/>
  <c r="C871" i="16"/>
  <c r="C870" i="16"/>
  <c r="C869" i="16"/>
  <c r="C868" i="16"/>
  <c r="C867" i="16"/>
  <c r="C866" i="16"/>
  <c r="C865" i="16"/>
  <c r="C864" i="16"/>
  <c r="C863" i="16"/>
  <c r="C862" i="16"/>
  <c r="C861" i="16"/>
  <c r="C860" i="16"/>
  <c r="C859" i="16"/>
  <c r="C858" i="16"/>
  <c r="C857" i="16"/>
  <c r="C856" i="16"/>
  <c r="C855" i="16"/>
  <c r="C854" i="16"/>
  <c r="C853" i="16"/>
  <c r="C852" i="16"/>
  <c r="C851" i="16"/>
  <c r="C850" i="16"/>
  <c r="C849" i="16"/>
  <c r="C848" i="16"/>
  <c r="C847" i="16"/>
  <c r="C846" i="16"/>
  <c r="C845" i="16"/>
  <c r="C844" i="16"/>
  <c r="C843" i="16"/>
  <c r="C842" i="16"/>
  <c r="C841" i="16"/>
  <c r="C840" i="16"/>
  <c r="C839" i="16"/>
  <c r="C838" i="16"/>
  <c r="C837" i="16"/>
  <c r="C836" i="16"/>
  <c r="C835" i="16"/>
  <c r="C834" i="16"/>
  <c r="C833" i="16"/>
  <c r="C832" i="16"/>
  <c r="C831" i="16"/>
  <c r="C830" i="16"/>
  <c r="C829" i="16"/>
  <c r="C828" i="16"/>
  <c r="C827" i="16"/>
  <c r="C826" i="16"/>
  <c r="C825" i="16"/>
  <c r="C824" i="16"/>
  <c r="C823" i="16"/>
  <c r="C822" i="16"/>
  <c r="C821" i="16"/>
  <c r="C820" i="16"/>
  <c r="C819" i="16"/>
  <c r="C818" i="16"/>
  <c r="C817" i="16"/>
  <c r="C816" i="16"/>
  <c r="C815" i="16"/>
  <c r="C814" i="16"/>
  <c r="C813" i="16"/>
  <c r="C812" i="16"/>
  <c r="C811" i="16"/>
  <c r="C810" i="16"/>
  <c r="C809" i="16"/>
  <c r="C808" i="16"/>
  <c r="C807" i="16"/>
  <c r="C806" i="16"/>
  <c r="C805" i="16"/>
  <c r="C804" i="16"/>
  <c r="C803" i="16"/>
  <c r="C802" i="16"/>
  <c r="C801" i="16"/>
  <c r="C800" i="16"/>
  <c r="C799" i="16"/>
  <c r="C798" i="16"/>
  <c r="C797" i="16"/>
  <c r="C796" i="16"/>
  <c r="C795" i="16"/>
  <c r="C794" i="16"/>
  <c r="C793" i="16"/>
  <c r="C792" i="16"/>
  <c r="C791" i="16"/>
  <c r="C790" i="16"/>
  <c r="C789" i="16"/>
  <c r="C788" i="16"/>
  <c r="C787" i="16"/>
  <c r="C786" i="16"/>
  <c r="C785" i="16"/>
  <c r="C784" i="16"/>
  <c r="C783" i="16"/>
  <c r="C782" i="16"/>
  <c r="C781" i="16"/>
  <c r="C780" i="16"/>
  <c r="C779" i="16"/>
  <c r="C778" i="16"/>
  <c r="C777" i="16"/>
  <c r="C776" i="16"/>
  <c r="C775" i="16"/>
  <c r="C774" i="16"/>
  <c r="C773" i="16"/>
  <c r="C772" i="16"/>
  <c r="C771" i="16"/>
  <c r="C770" i="16"/>
  <c r="C769" i="16"/>
  <c r="C768" i="16"/>
  <c r="C767" i="16"/>
  <c r="C766" i="16"/>
  <c r="C765" i="16"/>
  <c r="C764" i="16"/>
  <c r="C763" i="16"/>
  <c r="C762" i="16"/>
  <c r="C761" i="16"/>
  <c r="C760" i="16"/>
  <c r="C759" i="16"/>
  <c r="C758" i="16"/>
  <c r="C757" i="16"/>
  <c r="C756" i="16"/>
  <c r="C755" i="16"/>
  <c r="C754" i="16"/>
  <c r="C753" i="16"/>
  <c r="C752" i="16"/>
  <c r="C751" i="16"/>
  <c r="C750" i="16"/>
  <c r="C749" i="16"/>
  <c r="C748" i="16"/>
  <c r="C747" i="16"/>
  <c r="C746" i="16"/>
  <c r="C745" i="16"/>
  <c r="C744" i="16"/>
  <c r="C743" i="16"/>
  <c r="C742" i="16"/>
  <c r="C741" i="16"/>
  <c r="C740" i="16"/>
  <c r="C739" i="16"/>
  <c r="C738" i="16"/>
  <c r="C737" i="16"/>
  <c r="C736" i="16"/>
  <c r="C735" i="16"/>
  <c r="C734" i="16"/>
  <c r="C733" i="16"/>
  <c r="C732" i="16"/>
  <c r="C731" i="16"/>
  <c r="C730" i="16"/>
  <c r="C729" i="16"/>
  <c r="C728" i="16"/>
  <c r="C727" i="16"/>
  <c r="C726" i="16"/>
  <c r="C725" i="16"/>
  <c r="C724" i="16"/>
  <c r="C723" i="16"/>
  <c r="C722" i="16"/>
  <c r="C721" i="16"/>
  <c r="C720" i="16"/>
  <c r="C719" i="16"/>
  <c r="C718" i="16"/>
  <c r="C717" i="16"/>
  <c r="C716" i="16"/>
  <c r="C715" i="16"/>
  <c r="C714" i="16"/>
  <c r="C713" i="16"/>
  <c r="C712" i="16"/>
  <c r="C711" i="16"/>
  <c r="C710" i="16"/>
  <c r="C709" i="16"/>
  <c r="C708" i="16"/>
  <c r="C707" i="16"/>
  <c r="C706" i="16"/>
  <c r="C705" i="16"/>
  <c r="C704" i="16"/>
  <c r="C703" i="16"/>
  <c r="C702" i="16"/>
  <c r="C701" i="16"/>
  <c r="C700" i="16"/>
  <c r="C699" i="16"/>
  <c r="C698" i="16"/>
  <c r="C697" i="16"/>
  <c r="C696" i="16"/>
  <c r="C695" i="16"/>
  <c r="C694" i="16"/>
  <c r="C693" i="16"/>
  <c r="C692" i="16"/>
  <c r="C691" i="16"/>
  <c r="C690" i="16"/>
  <c r="C689" i="16"/>
  <c r="C688" i="16"/>
  <c r="C687" i="16"/>
  <c r="C686" i="16"/>
  <c r="C685" i="16"/>
  <c r="C684" i="16"/>
  <c r="C683" i="16"/>
  <c r="C682" i="16"/>
  <c r="C681" i="16"/>
  <c r="C680" i="16"/>
  <c r="C679" i="16"/>
  <c r="C678" i="16"/>
  <c r="C677" i="16"/>
  <c r="C676" i="16"/>
  <c r="C675" i="16"/>
  <c r="C674" i="16"/>
  <c r="C673" i="16"/>
  <c r="C672" i="16"/>
  <c r="C671" i="16"/>
  <c r="C670" i="16"/>
  <c r="C669" i="16"/>
  <c r="C668" i="16"/>
  <c r="C667" i="16"/>
  <c r="C666" i="16"/>
  <c r="C665" i="16"/>
  <c r="C664" i="16"/>
  <c r="C663" i="16"/>
  <c r="C662" i="16"/>
  <c r="C661" i="16"/>
  <c r="C660" i="16"/>
  <c r="C659" i="16"/>
  <c r="C658" i="16"/>
  <c r="C657" i="16"/>
  <c r="C656" i="16"/>
  <c r="C655" i="16"/>
  <c r="C654" i="16"/>
  <c r="C653" i="16"/>
  <c r="C652" i="16"/>
  <c r="C651" i="16"/>
  <c r="C650" i="16"/>
  <c r="C649" i="16"/>
  <c r="C648" i="16"/>
  <c r="C647" i="16"/>
  <c r="C646" i="16"/>
  <c r="C645" i="16"/>
  <c r="C644" i="16"/>
  <c r="C643" i="16"/>
  <c r="C642" i="16"/>
  <c r="C641" i="16"/>
  <c r="C640" i="16"/>
  <c r="C639" i="16"/>
  <c r="C638" i="16"/>
  <c r="C637" i="16"/>
  <c r="C636" i="16"/>
  <c r="C635" i="16"/>
  <c r="C634" i="16"/>
  <c r="C633" i="16"/>
  <c r="C632" i="16"/>
  <c r="C631" i="16"/>
  <c r="C630" i="16"/>
  <c r="C629" i="16"/>
  <c r="C628" i="16"/>
  <c r="C627" i="16"/>
  <c r="C626" i="16"/>
  <c r="C625" i="16"/>
  <c r="C624" i="16"/>
  <c r="C623" i="16"/>
  <c r="C622" i="16"/>
  <c r="C621" i="16"/>
  <c r="C620" i="16"/>
  <c r="C619" i="16"/>
  <c r="C618" i="16"/>
  <c r="C617" i="16"/>
  <c r="C616" i="16"/>
  <c r="C615" i="16"/>
  <c r="C614" i="16"/>
  <c r="C613" i="16"/>
  <c r="C612" i="16"/>
  <c r="C611" i="16"/>
  <c r="C610" i="16"/>
  <c r="C609" i="16"/>
  <c r="C608" i="16"/>
  <c r="C607" i="16"/>
  <c r="C606" i="16"/>
  <c r="C605" i="16"/>
  <c r="C604" i="16"/>
  <c r="C603" i="16"/>
  <c r="C602" i="16"/>
  <c r="C601" i="16"/>
  <c r="C600" i="16"/>
  <c r="C599" i="16"/>
  <c r="C598" i="16"/>
  <c r="C597" i="16"/>
  <c r="C596" i="16"/>
  <c r="C595" i="16"/>
  <c r="C594" i="16"/>
  <c r="C593" i="16"/>
  <c r="C592" i="16"/>
  <c r="C591" i="16"/>
  <c r="C590" i="16"/>
  <c r="C589" i="16"/>
  <c r="C588" i="16"/>
  <c r="C587" i="16"/>
  <c r="C586" i="16"/>
  <c r="C585" i="16"/>
  <c r="C584" i="16"/>
  <c r="C583" i="16"/>
  <c r="C582" i="16"/>
  <c r="C581" i="16"/>
  <c r="C580" i="16"/>
  <c r="C579" i="16"/>
  <c r="C578" i="16"/>
  <c r="C577" i="16"/>
  <c r="C576" i="16"/>
  <c r="C575" i="16"/>
  <c r="C574" i="16"/>
  <c r="C573" i="16"/>
  <c r="C572" i="16"/>
  <c r="C571" i="16"/>
  <c r="C570" i="16"/>
  <c r="C569" i="16"/>
  <c r="C568" i="16"/>
  <c r="C567" i="16"/>
  <c r="C566" i="16"/>
  <c r="C565" i="16"/>
  <c r="C564" i="16"/>
  <c r="C563" i="16"/>
  <c r="C562" i="16"/>
  <c r="C561" i="16"/>
  <c r="C560" i="16"/>
  <c r="C559" i="16"/>
  <c r="C558" i="16"/>
  <c r="C557" i="16"/>
  <c r="C556" i="16"/>
  <c r="C555" i="16"/>
  <c r="C554" i="16"/>
  <c r="C553" i="16"/>
  <c r="C552" i="16"/>
  <c r="C551" i="16"/>
  <c r="C550" i="16"/>
  <c r="C549" i="16"/>
  <c r="C548" i="16"/>
  <c r="C547" i="16"/>
  <c r="C546" i="16"/>
  <c r="C545" i="16"/>
  <c r="C544" i="16"/>
  <c r="C543" i="16"/>
  <c r="C542" i="16"/>
  <c r="C541" i="16"/>
  <c r="C540" i="16"/>
  <c r="C539" i="16"/>
  <c r="C538" i="16"/>
  <c r="C537" i="16"/>
  <c r="C536" i="16"/>
  <c r="C535" i="16"/>
  <c r="C534" i="16"/>
  <c r="C533" i="16"/>
  <c r="C532" i="16"/>
  <c r="C531" i="16"/>
  <c r="C530" i="16"/>
  <c r="C529" i="16"/>
  <c r="C528" i="16"/>
  <c r="C527" i="16"/>
  <c r="C526" i="16"/>
  <c r="C525" i="16"/>
  <c r="C524" i="16"/>
  <c r="C523" i="16"/>
  <c r="C522" i="16"/>
  <c r="C521" i="16"/>
  <c r="C520" i="16"/>
  <c r="C519" i="16"/>
  <c r="C518" i="16"/>
  <c r="C517" i="16"/>
  <c r="C516" i="16"/>
  <c r="C515" i="16"/>
  <c r="C514" i="16"/>
  <c r="C513" i="16"/>
  <c r="C512" i="16"/>
  <c r="C511" i="16"/>
  <c r="C510" i="16"/>
  <c r="C509" i="16"/>
  <c r="C508" i="16"/>
  <c r="C507" i="16"/>
  <c r="C506" i="16"/>
  <c r="C505" i="16"/>
  <c r="C504" i="16"/>
  <c r="C503" i="16"/>
  <c r="C502" i="16"/>
  <c r="C501" i="16"/>
  <c r="C500" i="16"/>
  <c r="C499" i="16"/>
  <c r="C498" i="16"/>
  <c r="C497" i="16"/>
  <c r="C496" i="16"/>
  <c r="C495" i="16"/>
  <c r="C494" i="16"/>
  <c r="C493" i="16"/>
  <c r="C492" i="16"/>
  <c r="C491" i="16"/>
  <c r="C490" i="16"/>
  <c r="C489" i="16"/>
  <c r="C488" i="16"/>
  <c r="C487" i="16"/>
  <c r="C486" i="16"/>
  <c r="C485" i="16"/>
  <c r="C484" i="16"/>
  <c r="C483" i="16"/>
  <c r="C482" i="16"/>
  <c r="C481" i="16"/>
  <c r="C480" i="16"/>
  <c r="C479" i="16"/>
  <c r="C478" i="16"/>
  <c r="C477" i="16"/>
  <c r="C476" i="16"/>
  <c r="C475" i="16"/>
  <c r="C474" i="16"/>
  <c r="C473" i="16"/>
  <c r="C472" i="16"/>
  <c r="C471" i="16"/>
  <c r="C470" i="16"/>
  <c r="C469" i="16"/>
  <c r="C468" i="16"/>
  <c r="C467" i="16"/>
  <c r="C466" i="16"/>
  <c r="C465" i="16"/>
  <c r="C464" i="16"/>
  <c r="C463" i="16"/>
  <c r="C462" i="16"/>
  <c r="C461" i="16"/>
  <c r="C460" i="16"/>
  <c r="C459" i="16"/>
  <c r="C458" i="16"/>
  <c r="C457" i="16"/>
  <c r="C456" i="16"/>
  <c r="C455" i="16"/>
  <c r="C454" i="16"/>
  <c r="C453" i="16"/>
  <c r="C452" i="16"/>
  <c r="C451" i="16"/>
  <c r="C450" i="16"/>
  <c r="C449" i="16"/>
  <c r="C448" i="16"/>
  <c r="C447" i="16"/>
  <c r="C446" i="16"/>
  <c r="C445" i="16"/>
  <c r="C444" i="16"/>
  <c r="C443" i="16"/>
  <c r="C442" i="16"/>
  <c r="C441" i="16"/>
  <c r="C440" i="16"/>
  <c r="C439" i="16"/>
  <c r="C438" i="16"/>
  <c r="C437" i="16"/>
  <c r="C436" i="16"/>
  <c r="C435" i="16"/>
  <c r="C434" i="16"/>
  <c r="C433" i="16"/>
  <c r="C432" i="16"/>
  <c r="C431" i="16"/>
  <c r="C430" i="16"/>
  <c r="C429" i="16"/>
  <c r="C428" i="16"/>
  <c r="C427" i="16"/>
  <c r="C426" i="16"/>
  <c r="C425" i="16"/>
  <c r="C424" i="16"/>
  <c r="C423" i="16"/>
  <c r="C422" i="16"/>
  <c r="C421" i="16"/>
  <c r="C420" i="16"/>
  <c r="C419" i="16"/>
  <c r="C418" i="16"/>
  <c r="C417" i="16"/>
  <c r="C416" i="16"/>
  <c r="C415" i="16"/>
  <c r="C414" i="16"/>
  <c r="C413" i="16"/>
  <c r="C412" i="16"/>
  <c r="C411" i="16"/>
  <c r="C410" i="16"/>
  <c r="C409" i="16"/>
  <c r="C408" i="16"/>
  <c r="C407" i="16"/>
  <c r="C406" i="16"/>
  <c r="C405" i="16"/>
  <c r="C404" i="16"/>
  <c r="C403" i="16"/>
  <c r="C402" i="16"/>
  <c r="C401" i="16"/>
  <c r="C400" i="16"/>
  <c r="C399" i="16"/>
  <c r="C398" i="16"/>
  <c r="C397" i="16"/>
  <c r="C396" i="16"/>
  <c r="C395" i="16"/>
  <c r="C394" i="16"/>
  <c r="C393" i="16"/>
  <c r="C392" i="16"/>
  <c r="C391" i="16"/>
  <c r="C390" i="16"/>
  <c r="C389" i="16"/>
  <c r="C388" i="16"/>
  <c r="C387" i="16"/>
  <c r="C386" i="16"/>
  <c r="C385" i="16"/>
  <c r="C384" i="16"/>
  <c r="C383" i="16"/>
  <c r="C382" i="16"/>
  <c r="C381" i="16"/>
  <c r="C380" i="16"/>
  <c r="C379" i="16"/>
  <c r="C378" i="16"/>
  <c r="C377" i="16"/>
  <c r="C376" i="16"/>
  <c r="C375" i="16"/>
  <c r="C374" i="16"/>
  <c r="C373" i="16"/>
  <c r="C372" i="16"/>
  <c r="C371" i="16"/>
  <c r="C370" i="16"/>
  <c r="C369" i="16"/>
  <c r="C368" i="16"/>
  <c r="C367" i="16"/>
  <c r="C366" i="16"/>
  <c r="C365" i="16"/>
  <c r="C364" i="16"/>
  <c r="C363" i="16"/>
  <c r="C362" i="16"/>
  <c r="C361" i="16"/>
  <c r="C360" i="16"/>
  <c r="C359" i="16"/>
  <c r="C358" i="16"/>
  <c r="C357" i="16"/>
  <c r="C356" i="16"/>
  <c r="C355" i="16"/>
  <c r="C354" i="16"/>
  <c r="C353" i="16"/>
  <c r="C352" i="16"/>
  <c r="C351" i="16"/>
  <c r="C350" i="16"/>
  <c r="C349" i="16"/>
  <c r="C348" i="16"/>
  <c r="C347" i="16"/>
  <c r="C346" i="16"/>
  <c r="C345" i="16"/>
  <c r="C344" i="16"/>
  <c r="C343" i="16"/>
  <c r="C342" i="16"/>
  <c r="C341" i="16"/>
  <c r="C340" i="16"/>
  <c r="C339" i="16"/>
  <c r="C338" i="16"/>
  <c r="C337" i="16"/>
  <c r="C336" i="16"/>
  <c r="C335" i="16"/>
  <c r="C334" i="16"/>
  <c r="C333" i="16"/>
  <c r="C332" i="16"/>
  <c r="C331" i="16"/>
  <c r="C330" i="16"/>
  <c r="C329" i="16"/>
  <c r="C328" i="16"/>
  <c r="C327" i="16"/>
  <c r="C326" i="16"/>
  <c r="C325" i="16"/>
  <c r="C324" i="16"/>
  <c r="C323" i="16"/>
  <c r="C322" i="16"/>
  <c r="C321" i="16"/>
  <c r="C320" i="16"/>
  <c r="C319" i="16"/>
  <c r="C318" i="16"/>
  <c r="C317" i="16"/>
  <c r="C316" i="16"/>
  <c r="C315" i="16"/>
  <c r="C314" i="16"/>
  <c r="C313" i="16"/>
  <c r="C312" i="16"/>
  <c r="C311" i="16"/>
  <c r="C310" i="16"/>
  <c r="C309" i="16"/>
  <c r="C308" i="16"/>
  <c r="C307" i="16"/>
  <c r="C306" i="16"/>
  <c r="C305" i="16"/>
  <c r="C304" i="16"/>
  <c r="C303" i="16"/>
  <c r="C302" i="16"/>
  <c r="C301" i="16"/>
  <c r="C300" i="16"/>
  <c r="C299" i="16"/>
  <c r="C298" i="16"/>
  <c r="C297" i="16"/>
  <c r="C296" i="16"/>
  <c r="C295" i="16"/>
  <c r="C294" i="16"/>
  <c r="C293" i="16"/>
  <c r="C292" i="16"/>
  <c r="C291" i="16"/>
  <c r="C290" i="16"/>
  <c r="C289" i="16"/>
  <c r="C288" i="16"/>
  <c r="C287" i="16"/>
  <c r="C286" i="16"/>
  <c r="C285" i="16"/>
  <c r="C284" i="16"/>
  <c r="C283" i="16"/>
  <c r="C282" i="16"/>
  <c r="C281" i="16"/>
  <c r="C280" i="16"/>
  <c r="C279" i="16"/>
  <c r="C278" i="16"/>
  <c r="C277" i="16"/>
  <c r="C276" i="16"/>
  <c r="C275" i="16"/>
  <c r="C274" i="16"/>
  <c r="C273" i="16"/>
  <c r="C272" i="16"/>
  <c r="C271" i="16"/>
  <c r="C270" i="16"/>
  <c r="C269" i="16"/>
  <c r="C268" i="16"/>
  <c r="C267" i="16"/>
  <c r="C266" i="16"/>
  <c r="C265" i="16"/>
  <c r="C264" i="16"/>
  <c r="C263" i="16"/>
  <c r="C262" i="16"/>
  <c r="C261" i="16"/>
  <c r="C260" i="16"/>
  <c r="C259" i="16"/>
  <c r="C258" i="16"/>
  <c r="C257" i="16"/>
  <c r="C256" i="16"/>
  <c r="C255" i="16"/>
  <c r="C254" i="16"/>
  <c r="C253" i="16"/>
  <c r="C252" i="16"/>
  <c r="C251" i="16"/>
  <c r="C250" i="16"/>
  <c r="C249" i="16"/>
  <c r="C248" i="16"/>
  <c r="C247" i="16"/>
  <c r="C246" i="16"/>
  <c r="C245" i="16"/>
  <c r="C244" i="16"/>
  <c r="C243" i="16"/>
  <c r="C242" i="16"/>
  <c r="C241" i="16"/>
  <c r="C240" i="16"/>
  <c r="C239" i="16"/>
  <c r="C238" i="16"/>
  <c r="C237" i="16"/>
  <c r="C236" i="16"/>
  <c r="C235" i="16"/>
  <c r="C234" i="16"/>
  <c r="C233" i="16"/>
  <c r="C232" i="16"/>
  <c r="C231" i="16"/>
  <c r="C230" i="16"/>
  <c r="C229" i="16"/>
  <c r="C228" i="16"/>
  <c r="C227" i="16"/>
  <c r="C226" i="16"/>
  <c r="C225" i="16"/>
  <c r="C224" i="16"/>
  <c r="C223" i="16"/>
  <c r="C222" i="16"/>
  <c r="C221" i="16"/>
  <c r="C220" i="16"/>
  <c r="C219" i="16"/>
  <c r="C218" i="16"/>
  <c r="C217" i="16"/>
  <c r="C216" i="16"/>
  <c r="C215" i="16"/>
  <c r="C214" i="16"/>
  <c r="C213" i="16"/>
  <c r="C212" i="16"/>
  <c r="C211" i="16"/>
  <c r="C210" i="16"/>
  <c r="C209" i="16"/>
  <c r="C208" i="16"/>
  <c r="C207" i="16"/>
  <c r="C206" i="16"/>
  <c r="C205" i="16"/>
  <c r="C204" i="16"/>
  <c r="C203" i="16"/>
  <c r="C202" i="16"/>
  <c r="C201" i="16"/>
  <c r="C200" i="16"/>
  <c r="C199" i="16"/>
  <c r="C198" i="16"/>
  <c r="C197" i="16"/>
  <c r="C196" i="16"/>
  <c r="C195" i="16"/>
  <c r="C194" i="16"/>
  <c r="C193" i="16"/>
  <c r="C192" i="16"/>
  <c r="C191" i="16"/>
  <c r="C190" i="16"/>
  <c r="C189" i="16"/>
  <c r="C188" i="16"/>
  <c r="C187" i="16"/>
  <c r="C186" i="16"/>
  <c r="C185" i="16"/>
  <c r="C184" i="16"/>
  <c r="C183" i="16"/>
  <c r="C182" i="16"/>
  <c r="C181" i="16"/>
  <c r="C180" i="16"/>
  <c r="C179" i="16"/>
  <c r="C178" i="16"/>
  <c r="C177" i="16"/>
  <c r="C176" i="16"/>
  <c r="C175" i="16"/>
  <c r="C174" i="16"/>
  <c r="C173" i="16"/>
  <c r="C172" i="16"/>
  <c r="C171" i="16"/>
  <c r="C170" i="16"/>
  <c r="C169" i="16"/>
  <c r="C168" i="16"/>
  <c r="C167" i="16"/>
  <c r="C166" i="16"/>
  <c r="C165" i="16"/>
  <c r="C164" i="16"/>
  <c r="C163" i="16"/>
  <c r="C162" i="16"/>
  <c r="C161" i="16"/>
  <c r="C160" i="16"/>
  <c r="C159" i="16"/>
  <c r="C158" i="16"/>
  <c r="C157" i="16"/>
  <c r="C156" i="16"/>
  <c r="C155" i="16"/>
  <c r="C154" i="16"/>
  <c r="C153" i="16"/>
  <c r="C152" i="16"/>
  <c r="C151" i="16"/>
  <c r="C150" i="16"/>
  <c r="C149" i="16"/>
  <c r="C148" i="16"/>
  <c r="C147" i="16"/>
  <c r="C146" i="16"/>
  <c r="C145" i="16"/>
  <c r="C144" i="16"/>
  <c r="C143" i="16"/>
  <c r="C142" i="16"/>
  <c r="C141" i="16"/>
  <c r="C140" i="16"/>
  <c r="C139" i="16"/>
  <c r="C138" i="16"/>
  <c r="C137" i="16"/>
  <c r="C136" i="16"/>
  <c r="C135" i="16"/>
  <c r="C134" i="16"/>
  <c r="C133" i="16"/>
  <c r="C132" i="16"/>
  <c r="C131" i="16"/>
  <c r="C130" i="16"/>
  <c r="C129" i="16"/>
  <c r="C128" i="16"/>
  <c r="C127" i="16"/>
  <c r="C126" i="16"/>
  <c r="C125" i="16"/>
  <c r="C124" i="16"/>
  <c r="C123" i="16"/>
  <c r="C122" i="16"/>
  <c r="C121" i="16"/>
  <c r="C120" i="16"/>
  <c r="C119" i="16"/>
  <c r="C118" i="16"/>
  <c r="C117" i="16"/>
  <c r="C116" i="16"/>
  <c r="C115" i="16"/>
  <c r="C114" i="16"/>
  <c r="C113" i="16"/>
  <c r="C112" i="16"/>
  <c r="C111" i="16"/>
  <c r="C110" i="16"/>
  <c r="C109" i="16"/>
  <c r="C108" i="16"/>
  <c r="C107" i="16"/>
  <c r="C106" i="16"/>
  <c r="C105" i="16"/>
  <c r="C104" i="16"/>
  <c r="C103" i="16"/>
  <c r="C102" i="16"/>
  <c r="C101" i="16"/>
  <c r="C100" i="16"/>
  <c r="C99" i="16"/>
  <c r="C98" i="16"/>
  <c r="C97" i="16"/>
  <c r="C96" i="16"/>
  <c r="C95" i="16"/>
  <c r="C94" i="16"/>
  <c r="C93" i="16"/>
  <c r="C92" i="16"/>
  <c r="C91" i="16"/>
  <c r="C90" i="16"/>
  <c r="C89" i="16"/>
  <c r="C88" i="16"/>
  <c r="C87" i="16"/>
  <c r="C86" i="16"/>
  <c r="C85" i="16"/>
  <c r="C84" i="16"/>
  <c r="C83" i="16"/>
  <c r="C82" i="16"/>
  <c r="C81" i="16"/>
  <c r="C80" i="16"/>
  <c r="C79" i="16"/>
  <c r="C78" i="16"/>
  <c r="C77" i="16"/>
  <c r="C76" i="16"/>
  <c r="C75" i="16"/>
  <c r="C74" i="16"/>
  <c r="C73" i="16"/>
  <c r="C72" i="16"/>
  <c r="C71" i="16"/>
  <c r="C70" i="16"/>
  <c r="C69" i="16"/>
  <c r="C68" i="16"/>
  <c r="C67" i="16"/>
  <c r="C66" i="16"/>
  <c r="C65" i="16"/>
  <c r="C64" i="16"/>
  <c r="C63" i="16"/>
  <c r="C62" i="16"/>
  <c r="C61" i="16"/>
  <c r="C60" i="16"/>
  <c r="C59" i="16"/>
  <c r="C58" i="16"/>
  <c r="C57" i="16"/>
  <c r="C56" i="16"/>
  <c r="C55" i="16"/>
  <c r="C54" i="16"/>
  <c r="C53" i="16"/>
  <c r="C52" i="16"/>
  <c r="C51" i="16"/>
  <c r="C50" i="16"/>
  <c r="C49" i="16"/>
  <c r="C48" i="16"/>
  <c r="C47" i="16"/>
  <c r="C46" i="16"/>
  <c r="C45" i="16"/>
  <c r="C44" i="16"/>
  <c r="C43" i="16"/>
  <c r="C42" i="16"/>
  <c r="C41" i="16"/>
  <c r="C40" i="16"/>
  <c r="C39" i="16"/>
  <c r="C38" i="16"/>
  <c r="C37" i="16"/>
  <c r="C36" i="16"/>
  <c r="C35" i="16"/>
  <c r="C34" i="16"/>
  <c r="C33" i="16"/>
  <c r="C32" i="16"/>
  <c r="C31" i="16"/>
  <c r="C30" i="16"/>
  <c r="C29" i="16"/>
  <c r="C28" i="16"/>
  <c r="C27" i="16"/>
  <c r="C26" i="16"/>
  <c r="C25" i="16"/>
  <c r="C24" i="16"/>
  <c r="C23" i="16"/>
  <c r="C22" i="16"/>
  <c r="C21" i="16"/>
  <c r="C20" i="16"/>
  <c r="C19" i="16"/>
  <c r="C18" i="16"/>
  <c r="C17" i="16"/>
  <c r="C16" i="16"/>
  <c r="C15" i="16"/>
  <c r="C14" i="16"/>
  <c r="C13" i="16"/>
  <c r="C12" i="16"/>
  <c r="C11" i="16"/>
  <c r="C10" i="16"/>
  <c r="C9" i="16"/>
  <c r="C8" i="16"/>
  <c r="C7" i="16"/>
  <c r="C6" i="16"/>
  <c r="C5" i="16"/>
  <c r="C4" i="16"/>
  <c r="C3" i="16"/>
  <c r="C2" i="16"/>
  <c r="E18" i="4"/>
  <c r="E19" i="4"/>
  <c r="E21" i="4"/>
  <c r="E22" i="4"/>
  <c r="E23" i="4"/>
  <c r="E24" i="4"/>
  <c r="E25" i="4"/>
  <c r="E26" i="4"/>
  <c r="E27" i="4"/>
  <c r="E28" i="4"/>
  <c r="AB29" i="12" l="1"/>
  <c r="X29" i="12"/>
  <c r="I5" i="12"/>
  <c r="A1481" i="16" l="1"/>
  <c r="A1480" i="16"/>
  <c r="A1479" i="16"/>
  <c r="A1478" i="16"/>
  <c r="A1477" i="16"/>
  <c r="A1476" i="16"/>
  <c r="A1475" i="16"/>
  <c r="A1474" i="16"/>
  <c r="A1473" i="16"/>
  <c r="A1472" i="16"/>
  <c r="A1471" i="16"/>
  <c r="A1470" i="16"/>
  <c r="A1469" i="16"/>
  <c r="A1468" i="16"/>
  <c r="A1467" i="16"/>
  <c r="A1466" i="16"/>
  <c r="A1465" i="16"/>
  <c r="A1464" i="16"/>
  <c r="A1463" i="16"/>
  <c r="A1462" i="16"/>
  <c r="A1461" i="16"/>
  <c r="A1460" i="16"/>
  <c r="A1459" i="16"/>
  <c r="A1458" i="16"/>
  <c r="A1457" i="16"/>
  <c r="A1456" i="16"/>
  <c r="A1455" i="16"/>
  <c r="A1454" i="16"/>
  <c r="A1453" i="16"/>
  <c r="A1452" i="16"/>
  <c r="A1451" i="16"/>
  <c r="A1450" i="16"/>
  <c r="A1449" i="16"/>
  <c r="A1448" i="16"/>
  <c r="A1447" i="16"/>
  <c r="A1446" i="16"/>
  <c r="A1445" i="16"/>
  <c r="A1444" i="16"/>
  <c r="A1443" i="16"/>
  <c r="A1442" i="16"/>
  <c r="A1441" i="16"/>
  <c r="A1440" i="16"/>
  <c r="A1439" i="16"/>
  <c r="A1438" i="16"/>
  <c r="A1437" i="16"/>
  <c r="A1436" i="16"/>
  <c r="A1435" i="16"/>
  <c r="A1434" i="16"/>
  <c r="A1433" i="16"/>
  <c r="A1432" i="16"/>
  <c r="A1431" i="16"/>
  <c r="A1430" i="16"/>
  <c r="A1429" i="16"/>
  <c r="A1428" i="16"/>
  <c r="A1427" i="16"/>
  <c r="A1426" i="16"/>
  <c r="A1425" i="16"/>
  <c r="A1424" i="16"/>
  <c r="A1423" i="16"/>
  <c r="A1422" i="16"/>
  <c r="A1421" i="16"/>
  <c r="A1420" i="16"/>
  <c r="A1419" i="16"/>
  <c r="A1418" i="16"/>
  <c r="A1417" i="16"/>
  <c r="A1416" i="16"/>
  <c r="A1415" i="16"/>
  <c r="A1414" i="16"/>
  <c r="A1413" i="16"/>
  <c r="A1412" i="16"/>
  <c r="A1411" i="16"/>
  <c r="A1410" i="16"/>
  <c r="A1409" i="16"/>
  <c r="A1408" i="16"/>
  <c r="A1407" i="16"/>
  <c r="A1406" i="16"/>
  <c r="A1405" i="16"/>
  <c r="A1404" i="16"/>
  <c r="A1403" i="16"/>
  <c r="A1402" i="16"/>
  <c r="A1401" i="16"/>
  <c r="A1400" i="16"/>
  <c r="A1399" i="16"/>
  <c r="A1398" i="16"/>
  <c r="A1397" i="16"/>
  <c r="A1396" i="16"/>
  <c r="A1395" i="16"/>
  <c r="A1394" i="16"/>
  <c r="A1393" i="16"/>
  <c r="A1392" i="16"/>
  <c r="A1391" i="16"/>
  <c r="A1390" i="16"/>
  <c r="A1389" i="16"/>
  <c r="A1388" i="16"/>
  <c r="A1387" i="16"/>
  <c r="A1386" i="16"/>
  <c r="A1385" i="16"/>
  <c r="A1384" i="16"/>
  <c r="A1383" i="16"/>
  <c r="A1382" i="16"/>
  <c r="A1381" i="16"/>
  <c r="A1380" i="16"/>
  <c r="A1379" i="16"/>
  <c r="A1378" i="16"/>
  <c r="A1377" i="16"/>
  <c r="A1376" i="16"/>
  <c r="A1375" i="16"/>
  <c r="A1374" i="16"/>
  <c r="A1373" i="16"/>
  <c r="A1372" i="16"/>
  <c r="A1371" i="16"/>
  <c r="A1370" i="16"/>
  <c r="A1369" i="16"/>
  <c r="A1368" i="16"/>
  <c r="A1367" i="16"/>
  <c r="A1366" i="16"/>
  <c r="A1365" i="16"/>
  <c r="A1364" i="16"/>
  <c r="A1363" i="16"/>
  <c r="A1362" i="16"/>
  <c r="A1361" i="16"/>
  <c r="A1360" i="16"/>
  <c r="A1359" i="16"/>
  <c r="A1358" i="16"/>
  <c r="A1357" i="16"/>
  <c r="A1356" i="16"/>
  <c r="A1355" i="16"/>
  <c r="A1354" i="16"/>
  <c r="A1353" i="16"/>
  <c r="A1352" i="16"/>
  <c r="A1351" i="16"/>
  <c r="A1350" i="16"/>
  <c r="A1349" i="16"/>
  <c r="A1348" i="16"/>
  <c r="A1347" i="16"/>
  <c r="A1346" i="16"/>
  <c r="A1345" i="16"/>
  <c r="A1344" i="16"/>
  <c r="A1343" i="16"/>
  <c r="A1342" i="16"/>
  <c r="A1341" i="16"/>
  <c r="A1340" i="16"/>
  <c r="A1339" i="16"/>
  <c r="A1338" i="16"/>
  <c r="A1337" i="16"/>
  <c r="A1336" i="16"/>
  <c r="A1335" i="16"/>
  <c r="A1334" i="16"/>
  <c r="A1333" i="16"/>
  <c r="A1332" i="16"/>
  <c r="A1331" i="16"/>
  <c r="A1330" i="16"/>
  <c r="A1329" i="16"/>
  <c r="A1328" i="16"/>
  <c r="A1327" i="16"/>
  <c r="A1326" i="16"/>
  <c r="A1325" i="16"/>
  <c r="A1324" i="16"/>
  <c r="A1323" i="16"/>
  <c r="A1322" i="16"/>
  <c r="A1321" i="16"/>
  <c r="A1320" i="16"/>
  <c r="A1319" i="16"/>
  <c r="A1318" i="16"/>
  <c r="A1317" i="16"/>
  <c r="A1316" i="16"/>
  <c r="A1315" i="16"/>
  <c r="A1314" i="16"/>
  <c r="A1313" i="16"/>
  <c r="A1312" i="16"/>
  <c r="A1311" i="16"/>
  <c r="A1310" i="16"/>
  <c r="A1309" i="16"/>
  <c r="A1308" i="16"/>
  <c r="A1307" i="16"/>
  <c r="A1306" i="16"/>
  <c r="A1305" i="16"/>
  <c r="A1304" i="16"/>
  <c r="A1303" i="16"/>
  <c r="A1302" i="16"/>
  <c r="A1301" i="16"/>
  <c r="A1300" i="16"/>
  <c r="A1299" i="16"/>
  <c r="A1298" i="16"/>
  <c r="A1297" i="16"/>
  <c r="A1296" i="16"/>
  <c r="A1295" i="16"/>
  <c r="A1294" i="16"/>
  <c r="A1293" i="16"/>
  <c r="A1292" i="16"/>
  <c r="A1291" i="16"/>
  <c r="A1290" i="16"/>
  <c r="A1289" i="16"/>
  <c r="A1288" i="16"/>
  <c r="A1287" i="16"/>
  <c r="A1286" i="16"/>
  <c r="A1285" i="16"/>
  <c r="A1284" i="16"/>
  <c r="A1283" i="16"/>
  <c r="A1282" i="16"/>
  <c r="A1281" i="16"/>
  <c r="A1280" i="16"/>
  <c r="A1279" i="16"/>
  <c r="A1278" i="16"/>
  <c r="A1277" i="16"/>
  <c r="A1276" i="16"/>
  <c r="A1275" i="16"/>
  <c r="A1274" i="16"/>
  <c r="A1273" i="16"/>
  <c r="A1272" i="16"/>
  <c r="A1271" i="16"/>
  <c r="A1270" i="16"/>
  <c r="A1269" i="16"/>
  <c r="A1268" i="16"/>
  <c r="A1267" i="16"/>
  <c r="A1266" i="16"/>
  <c r="A1265" i="16"/>
  <c r="A1264" i="16"/>
  <c r="A1263" i="16"/>
  <c r="A1262" i="16"/>
  <c r="A1261" i="16"/>
  <c r="A1260" i="16"/>
  <c r="A1259" i="16"/>
  <c r="A1258" i="16"/>
  <c r="A1257" i="16"/>
  <c r="A1256" i="16"/>
  <c r="A1255" i="16"/>
  <c r="A1254" i="16"/>
  <c r="A1253" i="16"/>
  <c r="A1252" i="16"/>
  <c r="A1251" i="16"/>
  <c r="A1250" i="16"/>
  <c r="A1249" i="16"/>
  <c r="A1248" i="16"/>
  <c r="A1247" i="16"/>
  <c r="A1246" i="16"/>
  <c r="A1245" i="16"/>
  <c r="A1244" i="16"/>
  <c r="A1243" i="16"/>
  <c r="A1242" i="16"/>
  <c r="A1241" i="16"/>
  <c r="A1240" i="16"/>
  <c r="A1239" i="16"/>
  <c r="A1238" i="16"/>
  <c r="A1237" i="16"/>
  <c r="A1236" i="16"/>
  <c r="A1235" i="16"/>
  <c r="A1234" i="16"/>
  <c r="A1233" i="16"/>
  <c r="A1232" i="16"/>
  <c r="A1231" i="16"/>
  <c r="A1230" i="16"/>
  <c r="A1229" i="16"/>
  <c r="A1228" i="16"/>
  <c r="A1227" i="16"/>
  <c r="A1226" i="16"/>
  <c r="A1225" i="16"/>
  <c r="A1224" i="16"/>
  <c r="A1223" i="16"/>
  <c r="A1222" i="16"/>
  <c r="A1221" i="16"/>
  <c r="A1220" i="16"/>
  <c r="A1219" i="16"/>
  <c r="A1218" i="16"/>
  <c r="A1217" i="16"/>
  <c r="A1216" i="16"/>
  <c r="A1215" i="16"/>
  <c r="A1214" i="16"/>
  <c r="A1213" i="16"/>
  <c r="A1212" i="16"/>
  <c r="A1211" i="16"/>
  <c r="A1210" i="16"/>
  <c r="A1209" i="16"/>
  <c r="A1208" i="16"/>
  <c r="A1207" i="16"/>
  <c r="A1206" i="16"/>
  <c r="A1205" i="16"/>
  <c r="A1204" i="16"/>
  <c r="A1203" i="16"/>
  <c r="A1202" i="16"/>
  <c r="A1201" i="16"/>
  <c r="A1200" i="16"/>
  <c r="A1199" i="16"/>
  <c r="A1198" i="16"/>
  <c r="A1197" i="16"/>
  <c r="A1196" i="16"/>
  <c r="A1195" i="16"/>
  <c r="A1194" i="16"/>
  <c r="A1193" i="16"/>
  <c r="A1192" i="16"/>
  <c r="A1191" i="16"/>
  <c r="A1190" i="16"/>
  <c r="A1189" i="16"/>
  <c r="A1188" i="16"/>
  <c r="A1187" i="16"/>
  <c r="A1186" i="16"/>
  <c r="A1185" i="16"/>
  <c r="A1184" i="16"/>
  <c r="A1183" i="16"/>
  <c r="A1182" i="16"/>
  <c r="A1181" i="16"/>
  <c r="A1180" i="16"/>
  <c r="A1179" i="16"/>
  <c r="A1178" i="16"/>
  <c r="A1177" i="16"/>
  <c r="A1176" i="16"/>
  <c r="A1175" i="16"/>
  <c r="A1174" i="16"/>
  <c r="A1173" i="16"/>
  <c r="A1172" i="16"/>
  <c r="A1171" i="16"/>
  <c r="A1170" i="16"/>
  <c r="A1169" i="16"/>
  <c r="A1168" i="16"/>
  <c r="A1167" i="16"/>
  <c r="A1166" i="16"/>
  <c r="A1165" i="16"/>
  <c r="A1164" i="16"/>
  <c r="A1163" i="16"/>
  <c r="A1162" i="16"/>
  <c r="A1161" i="16"/>
  <c r="A1160" i="16"/>
  <c r="A1159" i="16"/>
  <c r="A1158" i="16"/>
  <c r="A1157" i="16"/>
  <c r="A1156" i="16"/>
  <c r="A1155" i="16"/>
  <c r="A1154" i="16"/>
  <c r="A1153" i="16"/>
  <c r="A1152" i="16"/>
  <c r="A1151" i="16"/>
  <c r="A1150" i="16"/>
  <c r="A1149" i="16"/>
  <c r="A1148" i="16"/>
  <c r="A1147" i="16"/>
  <c r="A1146" i="16"/>
  <c r="A1145" i="16"/>
  <c r="A1144" i="16"/>
  <c r="A1143" i="16"/>
  <c r="A1142" i="16"/>
  <c r="A1141" i="16"/>
  <c r="A1140" i="16"/>
  <c r="A1139" i="16"/>
  <c r="A1138" i="16"/>
  <c r="A1137" i="16"/>
  <c r="A1136" i="16"/>
  <c r="A1135" i="16"/>
  <c r="A1134" i="16"/>
  <c r="A1133" i="16"/>
  <c r="A1132" i="16"/>
  <c r="A1131" i="16"/>
  <c r="A1130" i="16"/>
  <c r="A1129" i="16"/>
  <c r="A1128" i="16"/>
  <c r="A1127" i="16"/>
  <c r="A1126" i="16"/>
  <c r="A1125" i="16"/>
  <c r="A1124" i="16"/>
  <c r="A1123" i="16"/>
  <c r="A1122" i="16"/>
  <c r="A1121" i="16"/>
  <c r="A1120" i="16"/>
  <c r="A1119" i="16"/>
  <c r="A1118" i="16"/>
  <c r="A1117" i="16"/>
  <c r="A1116" i="16"/>
  <c r="A1115" i="16"/>
  <c r="A1114" i="16"/>
  <c r="A1113" i="16"/>
  <c r="A1112" i="16"/>
  <c r="A1111" i="16"/>
  <c r="A1110" i="16"/>
  <c r="A1109" i="16"/>
  <c r="A1108" i="16"/>
  <c r="A1107" i="16"/>
  <c r="A1106" i="16"/>
  <c r="A1105" i="16"/>
  <c r="A1104" i="16"/>
  <c r="A1103" i="16"/>
  <c r="A1102" i="16"/>
  <c r="A1101" i="16"/>
  <c r="A1100" i="16"/>
  <c r="A1099" i="16"/>
  <c r="A1098" i="16"/>
  <c r="A1097" i="16"/>
  <c r="A1096" i="16"/>
  <c r="A1095" i="16"/>
  <c r="A1094" i="16"/>
  <c r="A1093" i="16"/>
  <c r="A1092" i="16"/>
  <c r="A1091" i="16"/>
  <c r="A1090" i="16"/>
  <c r="A1089" i="16"/>
  <c r="A1088" i="16"/>
  <c r="A1087" i="16"/>
  <c r="A1086" i="16"/>
  <c r="A1085" i="16"/>
  <c r="A1084" i="16"/>
  <c r="A1083" i="16"/>
  <c r="A1082" i="16"/>
  <c r="A1081" i="16"/>
  <c r="A1080" i="16"/>
  <c r="A1079" i="16"/>
  <c r="A1078" i="16"/>
  <c r="A1077" i="16"/>
  <c r="A1076" i="16"/>
  <c r="A1075" i="16"/>
  <c r="A1074" i="16"/>
  <c r="A1073" i="16"/>
  <c r="A1072" i="16"/>
  <c r="A1071" i="16"/>
  <c r="A1070" i="16"/>
  <c r="A1069" i="16"/>
  <c r="A1068" i="16"/>
  <c r="A1067" i="16"/>
  <c r="A1066" i="16"/>
  <c r="A1065" i="16"/>
  <c r="A1064" i="16"/>
  <c r="A1063" i="16"/>
  <c r="A1062" i="16"/>
  <c r="A1061" i="16"/>
  <c r="A1060" i="16"/>
  <c r="A1059" i="16"/>
  <c r="A1058" i="16"/>
  <c r="A1057" i="16"/>
  <c r="A1056" i="16"/>
  <c r="A1055" i="16"/>
  <c r="A1054" i="16"/>
  <c r="A1053" i="16"/>
  <c r="A1052" i="16"/>
  <c r="A1051" i="16"/>
  <c r="A1050" i="16"/>
  <c r="A1049" i="16"/>
  <c r="A1048" i="16"/>
  <c r="A1047" i="16"/>
  <c r="A1046" i="16"/>
  <c r="A1045" i="16"/>
  <c r="A1044" i="16"/>
  <c r="A1043" i="16"/>
  <c r="A1042" i="16"/>
  <c r="A1041" i="16"/>
  <c r="A1040" i="16"/>
  <c r="A1039" i="16"/>
  <c r="A1038" i="16"/>
  <c r="A1037" i="16"/>
  <c r="A1036" i="16"/>
  <c r="A1035" i="16"/>
  <c r="A1034" i="16"/>
  <c r="A1033" i="16"/>
  <c r="A1032" i="16"/>
  <c r="A1031" i="16"/>
  <c r="A1030" i="16"/>
  <c r="A1029" i="16"/>
  <c r="A1028" i="16"/>
  <c r="A1027" i="16"/>
  <c r="A1026" i="16"/>
  <c r="A1025" i="16"/>
  <c r="A1024" i="16"/>
  <c r="A1023" i="16"/>
  <c r="A1022" i="16"/>
  <c r="A1021" i="16"/>
  <c r="A1020" i="16"/>
  <c r="A1019" i="16"/>
  <c r="A1018" i="16"/>
  <c r="A1017" i="16"/>
  <c r="A1016" i="16"/>
  <c r="A1015" i="16"/>
  <c r="A1014" i="16"/>
  <c r="A1013" i="16"/>
  <c r="A1012" i="16"/>
  <c r="A1011" i="16"/>
  <c r="A1010" i="16"/>
  <c r="A1009" i="16"/>
  <c r="A1008" i="16"/>
  <c r="A1007" i="16"/>
  <c r="A1006" i="16"/>
  <c r="A1005" i="16"/>
  <c r="A1004" i="16"/>
  <c r="A1003" i="16"/>
  <c r="A1002" i="16"/>
  <c r="A1001" i="16"/>
  <c r="A1000" i="16"/>
  <c r="A999" i="16"/>
  <c r="A998" i="16"/>
  <c r="A997" i="16"/>
  <c r="A996" i="16"/>
  <c r="A995" i="16"/>
  <c r="A994" i="16"/>
  <c r="A993" i="16"/>
  <c r="A992" i="16"/>
  <c r="A991" i="16"/>
  <c r="A990" i="16"/>
  <c r="A989" i="16"/>
  <c r="A988" i="16"/>
  <c r="A987" i="16"/>
  <c r="A986" i="16"/>
  <c r="A985" i="16"/>
  <c r="A984" i="16"/>
  <c r="A983" i="16"/>
  <c r="A982" i="16"/>
  <c r="A981" i="16"/>
  <c r="A980" i="16"/>
  <c r="A979" i="16"/>
  <c r="A978" i="16"/>
  <c r="A977" i="16"/>
  <c r="A976" i="16"/>
  <c r="A975" i="16"/>
  <c r="A974" i="16"/>
  <c r="A973" i="16"/>
  <c r="A972" i="16"/>
  <c r="A971" i="16"/>
  <c r="A970" i="16"/>
  <c r="A969" i="16"/>
  <c r="A968" i="16"/>
  <c r="A967" i="16"/>
  <c r="A966" i="16"/>
  <c r="A965" i="16"/>
  <c r="A964" i="16"/>
  <c r="A963" i="16"/>
  <c r="A962" i="16"/>
  <c r="A961" i="16"/>
  <c r="A960" i="16"/>
  <c r="A959" i="16"/>
  <c r="A958" i="16"/>
  <c r="A957" i="16"/>
  <c r="A956" i="16"/>
  <c r="A955" i="16"/>
  <c r="A954" i="16"/>
  <c r="A953" i="16"/>
  <c r="A952" i="16"/>
  <c r="A951" i="16"/>
  <c r="A950" i="16"/>
  <c r="A949" i="16"/>
  <c r="A948" i="16"/>
  <c r="A947" i="16"/>
  <c r="A946" i="16"/>
  <c r="A945" i="16"/>
  <c r="A944" i="16"/>
  <c r="A943" i="16"/>
  <c r="A942" i="16"/>
  <c r="A941" i="16"/>
  <c r="A940" i="16"/>
  <c r="A939" i="16"/>
  <c r="A938" i="16"/>
  <c r="A937" i="16"/>
  <c r="A936" i="16"/>
  <c r="A935" i="16"/>
  <c r="A934" i="16"/>
  <c r="A933" i="16"/>
  <c r="A932" i="16"/>
  <c r="A931" i="16"/>
  <c r="A930" i="16"/>
  <c r="A929" i="16"/>
  <c r="A928" i="16"/>
  <c r="A927" i="16"/>
  <c r="A926" i="16"/>
  <c r="A925" i="16"/>
  <c r="A924" i="16"/>
  <c r="A923" i="16"/>
  <c r="A922" i="16"/>
  <c r="A921" i="16"/>
  <c r="A920" i="16"/>
  <c r="A919" i="16"/>
  <c r="A918" i="16"/>
  <c r="A917" i="16"/>
  <c r="A916" i="16"/>
  <c r="A915" i="16"/>
  <c r="A914" i="16"/>
  <c r="A913" i="16"/>
  <c r="A912" i="16"/>
  <c r="A911" i="16"/>
  <c r="A910" i="16"/>
  <c r="A909" i="16"/>
  <c r="A908" i="16"/>
  <c r="A907" i="16"/>
  <c r="A906" i="16"/>
  <c r="A905" i="16"/>
  <c r="A904" i="16"/>
  <c r="A903" i="16"/>
  <c r="A902" i="16"/>
  <c r="A901" i="16"/>
  <c r="A900" i="16"/>
  <c r="A899" i="16"/>
  <c r="A898" i="16"/>
  <c r="A897" i="16"/>
  <c r="A896" i="16"/>
  <c r="A895" i="16"/>
  <c r="A894" i="16"/>
  <c r="A893" i="16"/>
  <c r="A892" i="16"/>
  <c r="A891" i="16"/>
  <c r="A890" i="16"/>
  <c r="A889" i="16"/>
  <c r="A888" i="16"/>
  <c r="A887" i="16"/>
  <c r="A886" i="16"/>
  <c r="A885" i="16"/>
  <c r="A884" i="16"/>
  <c r="A883" i="16"/>
  <c r="A882" i="16"/>
  <c r="A881" i="16"/>
  <c r="A880" i="16"/>
  <c r="A879" i="16"/>
  <c r="A878" i="16"/>
  <c r="A877" i="16"/>
  <c r="A876" i="16"/>
  <c r="A875" i="16"/>
  <c r="A874" i="16"/>
  <c r="A873" i="16"/>
  <c r="A872" i="16"/>
  <c r="A871" i="16"/>
  <c r="A870" i="16"/>
  <c r="A869" i="16"/>
  <c r="A868" i="16"/>
  <c r="A867" i="16"/>
  <c r="A866" i="16"/>
  <c r="A865" i="16"/>
  <c r="A864" i="16"/>
  <c r="A863" i="16"/>
  <c r="A862" i="16"/>
  <c r="A861" i="16"/>
  <c r="A860" i="16"/>
  <c r="A859" i="16"/>
  <c r="A858" i="16"/>
  <c r="A857" i="16"/>
  <c r="A856" i="16"/>
  <c r="A855" i="16"/>
  <c r="A854" i="16"/>
  <c r="A853" i="16"/>
  <c r="A852" i="16"/>
  <c r="A851" i="16"/>
  <c r="A850" i="16"/>
  <c r="A849" i="16"/>
  <c r="A848" i="16"/>
  <c r="A847" i="16"/>
  <c r="A846" i="16"/>
  <c r="A845" i="16"/>
  <c r="A844" i="16"/>
  <c r="A843" i="16"/>
  <c r="A842" i="16"/>
  <c r="A841" i="16"/>
  <c r="A840" i="16"/>
  <c r="A839" i="16"/>
  <c r="A838" i="16"/>
  <c r="A837" i="16"/>
  <c r="A836" i="16"/>
  <c r="A835" i="16"/>
  <c r="A834" i="16"/>
  <c r="A833" i="16"/>
  <c r="A832" i="16"/>
  <c r="A831" i="16"/>
  <c r="A830" i="16"/>
  <c r="A829" i="16"/>
  <c r="A828" i="16"/>
  <c r="A827" i="16"/>
  <c r="A826" i="16"/>
  <c r="A825" i="16"/>
  <c r="A824" i="16"/>
  <c r="A823" i="16"/>
  <c r="A822" i="16"/>
  <c r="A821" i="16"/>
  <c r="A820" i="16"/>
  <c r="A819" i="16"/>
  <c r="A818" i="16"/>
  <c r="A817" i="16"/>
  <c r="A816" i="16"/>
  <c r="A815" i="16"/>
  <c r="A814" i="16"/>
  <c r="A813" i="16"/>
  <c r="A812" i="16"/>
  <c r="A811" i="16"/>
  <c r="A810" i="16"/>
  <c r="A809" i="16"/>
  <c r="A808" i="16"/>
  <c r="A807" i="16"/>
  <c r="A806" i="16"/>
  <c r="A805" i="16"/>
  <c r="A804" i="16"/>
  <c r="A803" i="16"/>
  <c r="A802" i="16"/>
  <c r="A801" i="16"/>
  <c r="A800" i="16"/>
  <c r="A799" i="16"/>
  <c r="A798" i="16"/>
  <c r="A797" i="16"/>
  <c r="A796" i="16"/>
  <c r="A795" i="16"/>
  <c r="A794" i="16"/>
  <c r="A793" i="16"/>
  <c r="A792" i="16"/>
  <c r="A791" i="16"/>
  <c r="A790" i="16"/>
  <c r="A789" i="16"/>
  <c r="A788" i="16"/>
  <c r="A787" i="16"/>
  <c r="A786" i="16"/>
  <c r="A785" i="16"/>
  <c r="A784" i="16"/>
  <c r="A783" i="16"/>
  <c r="A782" i="16"/>
  <c r="A781" i="16"/>
  <c r="A780" i="16"/>
  <c r="A779" i="16"/>
  <c r="A778" i="16"/>
  <c r="A777" i="16"/>
  <c r="A776" i="16"/>
  <c r="A775" i="16"/>
  <c r="A774" i="16"/>
  <c r="A773" i="16"/>
  <c r="A772" i="16"/>
  <c r="A771" i="16"/>
  <c r="A770" i="16"/>
  <c r="A769" i="16"/>
  <c r="A768" i="16"/>
  <c r="A767" i="16"/>
  <c r="A766" i="16"/>
  <c r="A765" i="16"/>
  <c r="A764" i="16"/>
  <c r="A763" i="16"/>
  <c r="A762" i="16"/>
  <c r="A761" i="16"/>
  <c r="A760" i="16"/>
  <c r="A759" i="16"/>
  <c r="A758" i="16"/>
  <c r="A757" i="16"/>
  <c r="A756" i="16"/>
  <c r="A755" i="16"/>
  <c r="A754" i="16"/>
  <c r="A753" i="16"/>
  <c r="A752" i="16"/>
  <c r="A751" i="16"/>
  <c r="A750" i="16"/>
  <c r="A749" i="16"/>
  <c r="A748" i="16"/>
  <c r="A747" i="16"/>
  <c r="A746" i="16"/>
  <c r="A745" i="16"/>
  <c r="A744" i="16"/>
  <c r="A743" i="16"/>
  <c r="A742" i="16"/>
  <c r="A741" i="16"/>
  <c r="A740" i="16"/>
  <c r="A739" i="16"/>
  <c r="A738" i="16"/>
  <c r="A737" i="16"/>
  <c r="A736" i="16"/>
  <c r="A735" i="16"/>
  <c r="A734" i="16"/>
  <c r="A733" i="16"/>
  <c r="A732" i="16"/>
  <c r="A731" i="16"/>
  <c r="A730" i="16"/>
  <c r="A729" i="16"/>
  <c r="A728" i="16"/>
  <c r="A727" i="16"/>
  <c r="A726" i="16"/>
  <c r="A725" i="16"/>
  <c r="A724" i="16"/>
  <c r="A723" i="16"/>
  <c r="A722" i="16"/>
  <c r="A721" i="16"/>
  <c r="A720" i="16"/>
  <c r="A719" i="16"/>
  <c r="A718" i="16"/>
  <c r="A717" i="16"/>
  <c r="A716" i="16"/>
  <c r="A715" i="16"/>
  <c r="A714" i="16"/>
  <c r="A713" i="16"/>
  <c r="A712" i="16"/>
  <c r="A711" i="16"/>
  <c r="A710" i="16"/>
  <c r="A709" i="16"/>
  <c r="A708" i="16"/>
  <c r="A707" i="16"/>
  <c r="A706" i="16"/>
  <c r="A705" i="16"/>
  <c r="A704" i="16"/>
  <c r="A703" i="16"/>
  <c r="A702" i="16"/>
  <c r="A701" i="16"/>
  <c r="A700" i="16"/>
  <c r="A699" i="16"/>
  <c r="A698" i="16"/>
  <c r="A697" i="16"/>
  <c r="A696" i="16"/>
  <c r="A695" i="16"/>
  <c r="A694" i="16"/>
  <c r="A693" i="16"/>
  <c r="A692" i="16"/>
  <c r="A691" i="16"/>
  <c r="A690" i="16"/>
  <c r="A689" i="16"/>
  <c r="A688" i="16"/>
  <c r="A687" i="16"/>
  <c r="A686" i="16"/>
  <c r="A685" i="16"/>
  <c r="A684" i="16"/>
  <c r="A683" i="16"/>
  <c r="A682" i="16"/>
  <c r="A681" i="16"/>
  <c r="A680" i="16"/>
  <c r="A679" i="16"/>
  <c r="A678" i="16"/>
  <c r="A677" i="16"/>
  <c r="A676" i="16"/>
  <c r="A675" i="16"/>
  <c r="A674" i="16"/>
  <c r="A673" i="16"/>
  <c r="A672" i="16"/>
  <c r="A671" i="16"/>
  <c r="A670" i="16"/>
  <c r="A669" i="16"/>
  <c r="A668" i="16"/>
  <c r="A667" i="16"/>
  <c r="A666" i="16"/>
  <c r="A665" i="16"/>
  <c r="A664" i="16"/>
  <c r="A663" i="16"/>
  <c r="A662" i="16"/>
  <c r="A661" i="16"/>
  <c r="A660" i="16"/>
  <c r="A659" i="16"/>
  <c r="A658" i="16"/>
  <c r="A657" i="16"/>
  <c r="A656" i="16"/>
  <c r="A655" i="16"/>
  <c r="A654" i="16"/>
  <c r="A653" i="16"/>
  <c r="A652" i="16"/>
  <c r="A651" i="16"/>
  <c r="A650" i="16"/>
  <c r="A649" i="16"/>
  <c r="A648" i="16"/>
  <c r="A647" i="16"/>
  <c r="A646" i="16"/>
  <c r="A645" i="16"/>
  <c r="A644" i="16"/>
  <c r="A643" i="16"/>
  <c r="A642" i="16"/>
  <c r="A641" i="16"/>
  <c r="A640" i="16"/>
  <c r="A639" i="16"/>
  <c r="A638" i="16"/>
  <c r="A637" i="16"/>
  <c r="A636" i="16"/>
  <c r="A635" i="16"/>
  <c r="A634" i="16"/>
  <c r="A633" i="16"/>
  <c r="A632" i="16"/>
  <c r="A631" i="16"/>
  <c r="A630" i="16"/>
  <c r="A629" i="16"/>
  <c r="A628" i="16"/>
  <c r="A627" i="16"/>
  <c r="A626" i="16"/>
  <c r="A625" i="16"/>
  <c r="A624" i="16"/>
  <c r="A623" i="16"/>
  <c r="A622" i="16"/>
  <c r="A621" i="16"/>
  <c r="A620" i="16"/>
  <c r="A619" i="16"/>
  <c r="A618" i="16"/>
  <c r="A617" i="16"/>
  <c r="A616" i="16"/>
  <c r="A615" i="16"/>
  <c r="A614" i="16"/>
  <c r="A613" i="16"/>
  <c r="A612" i="16"/>
  <c r="A611" i="16"/>
  <c r="A610" i="16"/>
  <c r="A609" i="16"/>
  <c r="A608" i="16"/>
  <c r="A607" i="16"/>
  <c r="A606" i="16"/>
  <c r="A605" i="16"/>
  <c r="A604" i="16"/>
  <c r="A603" i="16"/>
  <c r="A602" i="16"/>
  <c r="A601" i="16"/>
  <c r="A600" i="16"/>
  <c r="A599" i="16"/>
  <c r="A598" i="16"/>
  <c r="A597" i="16"/>
  <c r="A596" i="16"/>
  <c r="A595" i="16"/>
  <c r="A594" i="16"/>
  <c r="A593" i="16"/>
  <c r="A592" i="16"/>
  <c r="A591" i="16"/>
  <c r="A590" i="16"/>
  <c r="A589" i="16"/>
  <c r="A588" i="16"/>
  <c r="A587" i="16"/>
  <c r="A586" i="16"/>
  <c r="A585" i="16"/>
  <c r="A584" i="16"/>
  <c r="A583" i="16"/>
  <c r="A582" i="16"/>
  <c r="A581" i="16"/>
  <c r="A580" i="16"/>
  <c r="A579" i="16"/>
  <c r="A578" i="16"/>
  <c r="A577" i="16"/>
  <c r="A576" i="16"/>
  <c r="A575" i="16"/>
  <c r="A574" i="16"/>
  <c r="A573" i="16"/>
  <c r="A572" i="16"/>
  <c r="A571" i="16"/>
  <c r="A570" i="16"/>
  <c r="A569" i="16"/>
  <c r="A568" i="16"/>
  <c r="A567" i="16"/>
  <c r="A566" i="16"/>
  <c r="A565" i="16"/>
  <c r="A564" i="16"/>
  <c r="A563" i="16"/>
  <c r="A562" i="16"/>
  <c r="A561" i="16"/>
  <c r="A560" i="16"/>
  <c r="A559" i="16"/>
  <c r="A558" i="16"/>
  <c r="A557" i="16"/>
  <c r="A556" i="16"/>
  <c r="A555" i="16"/>
  <c r="A554" i="16"/>
  <c r="A553" i="16"/>
  <c r="A552" i="16"/>
  <c r="A551" i="16"/>
  <c r="A550" i="16"/>
  <c r="A549" i="16"/>
  <c r="A548" i="16"/>
  <c r="A547" i="16"/>
  <c r="A546" i="16"/>
  <c r="A545" i="16"/>
  <c r="A544" i="16"/>
  <c r="A543" i="16"/>
  <c r="A542" i="16"/>
  <c r="A541" i="16"/>
  <c r="A540" i="16"/>
  <c r="A539" i="16"/>
  <c r="A538" i="16"/>
  <c r="A537" i="16"/>
  <c r="A536" i="16"/>
  <c r="A535" i="16"/>
  <c r="A534" i="16"/>
  <c r="A533" i="16"/>
  <c r="A532" i="16"/>
  <c r="A531" i="16"/>
  <c r="A530" i="16"/>
  <c r="A529" i="16"/>
  <c r="A528" i="16"/>
  <c r="A527" i="16"/>
  <c r="A526" i="16"/>
  <c r="A525" i="16"/>
  <c r="A524" i="16"/>
  <c r="A523" i="16"/>
  <c r="A522" i="16"/>
  <c r="A521" i="16"/>
  <c r="A520" i="16"/>
  <c r="A519" i="16"/>
  <c r="A518" i="16"/>
  <c r="A517" i="16"/>
  <c r="A516" i="16"/>
  <c r="A515" i="16"/>
  <c r="A514" i="16"/>
  <c r="A513" i="16"/>
  <c r="A512" i="16"/>
  <c r="A511" i="16"/>
  <c r="A510" i="16"/>
  <c r="A509" i="16"/>
  <c r="A508" i="16"/>
  <c r="A507" i="16"/>
  <c r="A506" i="16"/>
  <c r="A505" i="16"/>
  <c r="A504" i="16"/>
  <c r="A503" i="16"/>
  <c r="A502" i="16"/>
  <c r="A501" i="16"/>
  <c r="A500" i="16"/>
  <c r="A499" i="16"/>
  <c r="A498" i="16"/>
  <c r="A497" i="16"/>
  <c r="A496" i="16"/>
  <c r="A495" i="16"/>
  <c r="A494" i="16"/>
  <c r="A493" i="16"/>
  <c r="A492" i="16"/>
  <c r="A491" i="16"/>
  <c r="A490" i="16"/>
  <c r="A489" i="16"/>
  <c r="A488" i="16"/>
  <c r="A487" i="16"/>
  <c r="A486" i="16"/>
  <c r="A485" i="16"/>
  <c r="A484" i="16"/>
  <c r="A483" i="16"/>
  <c r="A482" i="16"/>
  <c r="A481" i="16"/>
  <c r="A480" i="16"/>
  <c r="A479" i="16"/>
  <c r="A478" i="16"/>
  <c r="A477" i="16"/>
  <c r="A476" i="16"/>
  <c r="A475" i="16"/>
  <c r="A474" i="16"/>
  <c r="A473" i="16"/>
  <c r="A472" i="16"/>
  <c r="A471" i="16"/>
  <c r="A470" i="16"/>
  <c r="A469" i="16"/>
  <c r="A468" i="16"/>
  <c r="A467" i="16"/>
  <c r="A466" i="16"/>
  <c r="A465" i="16"/>
  <c r="A464" i="16"/>
  <c r="A463" i="16"/>
  <c r="A462" i="16"/>
  <c r="A461" i="16"/>
  <c r="A460" i="16"/>
  <c r="A459" i="16"/>
  <c r="A458" i="16"/>
  <c r="A457" i="16"/>
  <c r="A456" i="16"/>
  <c r="A455" i="16"/>
  <c r="A454" i="16"/>
  <c r="A453" i="16"/>
  <c r="A452" i="16"/>
  <c r="A451" i="16"/>
  <c r="A450" i="16"/>
  <c r="A449" i="16"/>
  <c r="A448" i="16"/>
  <c r="A447" i="16"/>
  <c r="A446" i="16"/>
  <c r="A445" i="16"/>
  <c r="A444" i="16"/>
  <c r="A443" i="16"/>
  <c r="A442" i="16"/>
  <c r="A441" i="16"/>
  <c r="A440" i="16"/>
  <c r="A439" i="16"/>
  <c r="A438" i="16"/>
  <c r="A437" i="16"/>
  <c r="A436" i="16"/>
  <c r="A435" i="16"/>
  <c r="A434" i="16"/>
  <c r="A433" i="16"/>
  <c r="A432" i="16"/>
  <c r="A431" i="16"/>
  <c r="A430" i="16"/>
  <c r="A429" i="16"/>
  <c r="A428" i="16"/>
  <c r="A427" i="16"/>
  <c r="A426" i="16"/>
  <c r="A425" i="16"/>
  <c r="A424" i="16"/>
  <c r="A423" i="16"/>
  <c r="A422" i="16"/>
  <c r="A421" i="16"/>
  <c r="A420" i="16"/>
  <c r="A419" i="16"/>
  <c r="A418" i="16"/>
  <c r="A417" i="16"/>
  <c r="A416" i="16"/>
  <c r="A415" i="16"/>
  <c r="A414" i="16"/>
  <c r="A413" i="16"/>
  <c r="A412" i="16"/>
  <c r="A411" i="16"/>
  <c r="A410" i="16"/>
  <c r="A409" i="16"/>
  <c r="A408" i="16"/>
  <c r="A407" i="16"/>
  <c r="A406" i="16"/>
  <c r="A405" i="16"/>
  <c r="A404" i="16"/>
  <c r="A403" i="16"/>
  <c r="A402" i="16"/>
  <c r="A401" i="16"/>
  <c r="A400" i="16"/>
  <c r="A399" i="16"/>
  <c r="A398" i="16"/>
  <c r="A397" i="16"/>
  <c r="A396" i="16"/>
  <c r="A395" i="16"/>
  <c r="A394" i="16"/>
  <c r="A393" i="16"/>
  <c r="A392" i="16"/>
  <c r="A391" i="16"/>
  <c r="A390" i="16"/>
  <c r="A389" i="16"/>
  <c r="A388" i="16"/>
  <c r="A387" i="16"/>
  <c r="A386" i="16"/>
  <c r="A385" i="16"/>
  <c r="A384" i="16"/>
  <c r="A383" i="16"/>
  <c r="A382" i="16"/>
  <c r="A381" i="16"/>
  <c r="A380" i="16"/>
  <c r="A379" i="16"/>
  <c r="A378" i="16"/>
  <c r="A377" i="16"/>
  <c r="A376" i="16"/>
  <c r="A375" i="16"/>
  <c r="A374" i="16"/>
  <c r="A373" i="16"/>
  <c r="A372" i="16"/>
  <c r="A371" i="16"/>
  <c r="A370" i="16"/>
  <c r="A369" i="16"/>
  <c r="A368" i="16"/>
  <c r="A367" i="16"/>
  <c r="A366" i="16"/>
  <c r="A365" i="16"/>
  <c r="A364" i="16"/>
  <c r="A363" i="16"/>
  <c r="A362" i="16"/>
  <c r="A361" i="16"/>
  <c r="A360" i="16"/>
  <c r="A359" i="16"/>
  <c r="A358" i="16"/>
  <c r="A357" i="16"/>
  <c r="A356" i="16"/>
  <c r="A355" i="16"/>
  <c r="A354" i="16"/>
  <c r="A353" i="16"/>
  <c r="A352" i="16"/>
  <c r="A351" i="16"/>
  <c r="A350" i="16"/>
  <c r="A349" i="16"/>
  <c r="A348" i="16"/>
  <c r="A347" i="16"/>
  <c r="A346" i="16"/>
  <c r="A345" i="16"/>
  <c r="A344" i="16"/>
  <c r="A343" i="16"/>
  <c r="A342" i="16"/>
  <c r="A341" i="16"/>
  <c r="A340" i="16"/>
  <c r="A339" i="16"/>
  <c r="A338" i="16"/>
  <c r="A337" i="16"/>
  <c r="A336" i="16"/>
  <c r="A335" i="16"/>
  <c r="A334" i="16"/>
  <c r="A333" i="16"/>
  <c r="A332" i="16"/>
  <c r="A331" i="16"/>
  <c r="A330" i="16"/>
  <c r="A329" i="16"/>
  <c r="A328" i="16"/>
  <c r="A327" i="16"/>
  <c r="A326" i="16"/>
  <c r="A325" i="16"/>
  <c r="A324" i="16"/>
  <c r="A323" i="16"/>
  <c r="A322" i="16"/>
  <c r="A321" i="16"/>
  <c r="A320" i="16"/>
  <c r="A319" i="16"/>
  <c r="A318" i="16"/>
  <c r="A317" i="16"/>
  <c r="A316" i="16"/>
  <c r="A315" i="16"/>
  <c r="A314" i="16"/>
  <c r="A313" i="16"/>
  <c r="A312" i="16"/>
  <c r="A311" i="16"/>
  <c r="A310" i="16"/>
  <c r="A309" i="16"/>
  <c r="A308" i="16"/>
  <c r="A307" i="16"/>
  <c r="A306" i="16"/>
  <c r="A305" i="16"/>
  <c r="A304" i="16"/>
  <c r="A303" i="16"/>
  <c r="A302" i="16"/>
  <c r="A301" i="16"/>
  <c r="A300" i="16"/>
  <c r="A299" i="16"/>
  <c r="A298" i="16"/>
  <c r="A297" i="16"/>
  <c r="A296" i="16"/>
  <c r="A295" i="16"/>
  <c r="A294" i="16"/>
  <c r="A293" i="16"/>
  <c r="A292" i="16"/>
  <c r="A291" i="16"/>
  <c r="A290" i="16"/>
  <c r="A289" i="16"/>
  <c r="A288" i="16"/>
  <c r="A287" i="16"/>
  <c r="A286" i="16"/>
  <c r="A285" i="16"/>
  <c r="A284" i="16"/>
  <c r="A283" i="16"/>
  <c r="A282" i="16"/>
  <c r="A281" i="16"/>
  <c r="A280" i="16"/>
  <c r="A279" i="16"/>
  <c r="A278" i="16"/>
  <c r="A277" i="16"/>
  <c r="A276" i="16"/>
  <c r="A275" i="16"/>
  <c r="A274" i="16"/>
  <c r="A273" i="16"/>
  <c r="A272" i="16"/>
  <c r="A271" i="16"/>
  <c r="A270" i="16"/>
  <c r="A269" i="16"/>
  <c r="A268" i="16"/>
  <c r="A267" i="16"/>
  <c r="A266" i="16"/>
  <c r="A265" i="16"/>
  <c r="A264" i="16"/>
  <c r="A263" i="16"/>
  <c r="A262" i="16"/>
  <c r="A261" i="16"/>
  <c r="A260" i="16"/>
  <c r="A259" i="16"/>
  <c r="A258" i="16"/>
  <c r="A257" i="16"/>
  <c r="A256" i="16"/>
  <c r="A255" i="16"/>
  <c r="A254" i="16"/>
  <c r="A253" i="16"/>
  <c r="A252" i="16"/>
  <c r="A251" i="16"/>
  <c r="A250" i="16"/>
  <c r="A249" i="16"/>
  <c r="A248" i="16"/>
  <c r="A247" i="16"/>
  <c r="A246" i="16"/>
  <c r="A245" i="16"/>
  <c r="A244" i="16"/>
  <c r="A243" i="16"/>
  <c r="A242" i="16"/>
  <c r="A241" i="16"/>
  <c r="A240" i="16"/>
  <c r="A239" i="16"/>
  <c r="A238" i="16"/>
  <c r="A237" i="16"/>
  <c r="A236" i="16"/>
  <c r="A235" i="16"/>
  <c r="A234" i="16"/>
  <c r="A233" i="16"/>
  <c r="A232" i="16"/>
  <c r="A231" i="16"/>
  <c r="A230" i="16"/>
  <c r="A229" i="16"/>
  <c r="A228" i="16"/>
  <c r="A227" i="16"/>
  <c r="A226" i="16"/>
  <c r="A225" i="16"/>
  <c r="A224" i="16"/>
  <c r="A223" i="16"/>
  <c r="A222" i="16"/>
  <c r="A221" i="16"/>
  <c r="A220" i="16"/>
  <c r="A219" i="16"/>
  <c r="A218" i="16"/>
  <c r="A217" i="16"/>
  <c r="A216" i="16"/>
  <c r="A215" i="16"/>
  <c r="A214" i="16"/>
  <c r="A213" i="16"/>
  <c r="A212" i="16"/>
  <c r="A211" i="16"/>
  <c r="A210" i="16"/>
  <c r="A209" i="16"/>
  <c r="A208" i="16"/>
  <c r="A207" i="16"/>
  <c r="A206" i="16"/>
  <c r="A205" i="16"/>
  <c r="A204" i="16"/>
  <c r="A203" i="16"/>
  <c r="A202" i="16"/>
  <c r="A201" i="16"/>
  <c r="A200" i="16"/>
  <c r="A199" i="16"/>
  <c r="A198" i="16"/>
  <c r="A197" i="16"/>
  <c r="A196" i="16"/>
  <c r="A195" i="16"/>
  <c r="A194" i="16"/>
  <c r="A193" i="16"/>
  <c r="A192" i="16"/>
  <c r="A191" i="16"/>
  <c r="A190" i="16"/>
  <c r="A189" i="16"/>
  <c r="A188" i="16"/>
  <c r="A187" i="16"/>
  <c r="A186" i="16"/>
  <c r="A185" i="16"/>
  <c r="A184" i="16"/>
  <c r="A183" i="16"/>
  <c r="A182" i="16"/>
  <c r="A181" i="16"/>
  <c r="A180" i="16"/>
  <c r="A179" i="16"/>
  <c r="A178" i="16"/>
  <c r="A177" i="16"/>
  <c r="A176" i="16"/>
  <c r="A175" i="16"/>
  <c r="A174" i="16"/>
  <c r="A173" i="16"/>
  <c r="A172" i="16"/>
  <c r="A171" i="16"/>
  <c r="A170" i="16"/>
  <c r="A169" i="16"/>
  <c r="A168" i="16"/>
  <c r="A167" i="16"/>
  <c r="A166" i="16"/>
  <c r="A165" i="16"/>
  <c r="A164" i="16"/>
  <c r="A163" i="16"/>
  <c r="A162" i="16"/>
  <c r="A161" i="16"/>
  <c r="A160" i="16"/>
  <c r="A159" i="16"/>
  <c r="A158" i="16"/>
  <c r="A157" i="16"/>
  <c r="A156" i="16"/>
  <c r="A155" i="16"/>
  <c r="A154" i="16"/>
  <c r="A153" i="16"/>
  <c r="A152" i="16"/>
  <c r="A151" i="16"/>
  <c r="A150" i="16"/>
  <c r="A149" i="16"/>
  <c r="A148" i="16"/>
  <c r="A147" i="16"/>
  <c r="A146" i="16"/>
  <c r="A145" i="16"/>
  <c r="A144" i="16"/>
  <c r="A143" i="16"/>
  <c r="A142" i="16"/>
  <c r="A141" i="16"/>
  <c r="A140" i="16"/>
  <c r="A139" i="16"/>
  <c r="A138" i="16"/>
  <c r="A137" i="16"/>
  <c r="A136" i="16"/>
  <c r="A135" i="16"/>
  <c r="A134" i="16"/>
  <c r="A133" i="16"/>
  <c r="A132" i="16"/>
  <c r="A131" i="16"/>
  <c r="A130" i="16"/>
  <c r="A129" i="16"/>
  <c r="A128" i="16"/>
  <c r="A127" i="16"/>
  <c r="A126" i="16"/>
  <c r="A125" i="16"/>
  <c r="A124" i="16"/>
  <c r="A123" i="16"/>
  <c r="A122" i="16"/>
  <c r="A121" i="16"/>
  <c r="A120" i="16"/>
  <c r="A119" i="16"/>
  <c r="A118" i="16"/>
  <c r="A117" i="16"/>
  <c r="A116" i="16"/>
  <c r="A115" i="16"/>
  <c r="A114" i="16"/>
  <c r="A113" i="16"/>
  <c r="A112" i="16"/>
  <c r="A111" i="16"/>
  <c r="A110" i="16"/>
  <c r="A109" i="16"/>
  <c r="A108" i="16"/>
  <c r="A107" i="16"/>
  <c r="A106" i="16"/>
  <c r="A105" i="16"/>
  <c r="A104" i="16"/>
  <c r="A103" i="16"/>
  <c r="A102" i="16"/>
  <c r="A101" i="16"/>
  <c r="A100" i="16"/>
  <c r="A99" i="16"/>
  <c r="A98" i="16"/>
  <c r="A97" i="16"/>
  <c r="A96" i="16"/>
  <c r="A95" i="16"/>
  <c r="A94" i="16"/>
  <c r="A93" i="16"/>
  <c r="A92" i="16"/>
  <c r="A91" i="16"/>
  <c r="A90" i="16"/>
  <c r="A89" i="16"/>
  <c r="A88" i="16"/>
  <c r="A87" i="16"/>
  <c r="A86" i="16"/>
  <c r="A85" i="16"/>
  <c r="A84" i="16"/>
  <c r="A83" i="16"/>
  <c r="A82" i="16"/>
  <c r="A81" i="16"/>
  <c r="A80" i="16"/>
  <c r="A79" i="16"/>
  <c r="A78" i="16"/>
  <c r="A77" i="16"/>
  <c r="A76" i="16"/>
  <c r="A75" i="16"/>
  <c r="A74" i="16"/>
  <c r="A73" i="16"/>
  <c r="A72" i="16"/>
  <c r="A71" i="16"/>
  <c r="A70" i="16"/>
  <c r="A69" i="16"/>
  <c r="A68" i="16"/>
  <c r="A67" i="16"/>
  <c r="A66" i="16"/>
  <c r="A65" i="16"/>
  <c r="A64" i="16"/>
  <c r="A63" i="16"/>
  <c r="A62" i="16"/>
  <c r="A61" i="16"/>
  <c r="A60" i="16"/>
  <c r="A59" i="16"/>
  <c r="A58" i="16"/>
  <c r="A57" i="16"/>
  <c r="A56" i="16"/>
  <c r="A55" i="16"/>
  <c r="A54" i="16"/>
  <c r="A53" i="16"/>
  <c r="A52" i="16"/>
  <c r="A51" i="16"/>
  <c r="A50" i="16"/>
  <c r="A49" i="16"/>
  <c r="A48" i="16"/>
  <c r="A47" i="16"/>
  <c r="A46" i="16"/>
  <c r="A45" i="16"/>
  <c r="A44" i="16"/>
  <c r="A43" i="16"/>
  <c r="A42" i="16"/>
  <c r="A41" i="16"/>
  <c r="A40" i="16"/>
  <c r="A39" i="16"/>
  <c r="A38" i="16"/>
  <c r="A37" i="16"/>
  <c r="A36" i="16"/>
  <c r="A35" i="16"/>
  <c r="A34" i="16"/>
  <c r="A33" i="16"/>
  <c r="A32" i="16"/>
  <c r="A31" i="16"/>
  <c r="A30" i="16"/>
  <c r="A29" i="16"/>
  <c r="A28" i="16"/>
  <c r="A27" i="16"/>
  <c r="A26" i="16"/>
  <c r="A25" i="16"/>
  <c r="A24" i="16"/>
  <c r="A23" i="16"/>
  <c r="A22" i="16"/>
  <c r="A21" i="16"/>
  <c r="A20" i="16"/>
  <c r="A19" i="16"/>
  <c r="A18" i="16"/>
  <c r="A17" i="16"/>
  <c r="A16" i="16"/>
  <c r="A15" i="16"/>
  <c r="A14" i="16"/>
  <c r="A13" i="16"/>
  <c r="A12" i="16"/>
  <c r="A11" i="16"/>
  <c r="A10" i="16"/>
  <c r="A9" i="16"/>
  <c r="A8" i="16"/>
  <c r="A7" i="16"/>
  <c r="A6" i="16"/>
  <c r="A5" i="16"/>
  <c r="A4" i="16"/>
  <c r="A3" i="16"/>
  <c r="A2" i="16"/>
  <c r="A1" i="16"/>
  <c r="AB49" i="14"/>
  <c r="H49" i="14"/>
  <c r="AB48" i="14"/>
  <c r="H48" i="14"/>
  <c r="AB47" i="14"/>
  <c r="H47" i="14"/>
  <c r="AB46" i="14"/>
  <c r="H46" i="14"/>
  <c r="AB45" i="14"/>
  <c r="H45" i="14"/>
  <c r="AH33" i="14"/>
  <c r="AF33" i="14"/>
  <c r="AD33" i="14"/>
  <c r="AB33" i="14"/>
  <c r="U33" i="14" s="1"/>
  <c r="J33" i="14"/>
  <c r="H33" i="14"/>
  <c r="F33" i="14"/>
  <c r="D33" i="14"/>
  <c r="L33" i="14" s="1"/>
  <c r="B33" i="14"/>
  <c r="AJ32" i="14"/>
  <c r="B32" i="14"/>
  <c r="AJ31" i="14"/>
  <c r="B31" i="14"/>
  <c r="AJ30" i="14"/>
  <c r="B30" i="14"/>
  <c r="AJ29" i="14"/>
  <c r="B29" i="14"/>
  <c r="AJ28" i="14"/>
  <c r="B28" i="14"/>
  <c r="AJ27" i="14"/>
  <c r="B27" i="14"/>
  <c r="AJ26" i="14"/>
  <c r="B26" i="14"/>
  <c r="AJ25" i="14"/>
  <c r="B25" i="14"/>
  <c r="AJ23" i="14"/>
  <c r="B23" i="14"/>
  <c r="AJ22" i="14"/>
  <c r="B22" i="14"/>
  <c r="AJ21" i="14"/>
  <c r="B21" i="14"/>
  <c r="AJ20" i="14"/>
  <c r="B20" i="14"/>
  <c r="AJ19" i="14"/>
  <c r="B19" i="14"/>
  <c r="AJ18" i="14"/>
  <c r="B18" i="14"/>
  <c r="AJ17" i="14"/>
  <c r="B17" i="14"/>
  <c r="AJ16" i="14"/>
  <c r="B16" i="14"/>
  <c r="AG9" i="14"/>
  <c r="W9" i="14"/>
  <c r="L9" i="14"/>
  <c r="B9" i="14"/>
  <c r="D116" i="13"/>
  <c r="B116" i="13"/>
  <c r="S116" i="13"/>
  <c r="Q116" i="13"/>
  <c r="D114" i="13"/>
  <c r="B114" i="13"/>
  <c r="S114" i="13"/>
  <c r="Q114" i="13"/>
  <c r="D112" i="13"/>
  <c r="B112" i="13"/>
  <c r="S112" i="13"/>
  <c r="Q112" i="13"/>
  <c r="D110" i="13"/>
  <c r="B110" i="13"/>
  <c r="S110" i="13"/>
  <c r="Q110" i="13"/>
  <c r="N92" i="13"/>
  <c r="N114" i="13" s="1"/>
  <c r="M92" i="13"/>
  <c r="G92" i="13"/>
  <c r="F92" i="13"/>
  <c r="F111" i="13" s="1"/>
  <c r="AC92" i="13"/>
  <c r="AC114" i="13" s="1"/>
  <c r="AB92" i="13"/>
  <c r="V92" i="13"/>
  <c r="U92" i="13"/>
  <c r="U114" i="13" s="1"/>
  <c r="D86" i="13"/>
  <c r="B86" i="13"/>
  <c r="S86" i="13"/>
  <c r="Q86" i="13"/>
  <c r="D84" i="13"/>
  <c r="B84" i="13"/>
  <c r="S84" i="13"/>
  <c r="Q84" i="13"/>
  <c r="D82" i="13"/>
  <c r="B82" i="13"/>
  <c r="S82" i="13"/>
  <c r="Q82" i="13"/>
  <c r="D80" i="13"/>
  <c r="B80" i="13"/>
  <c r="S80" i="13"/>
  <c r="Q80" i="13"/>
  <c r="N62" i="13"/>
  <c r="N86" i="13" s="1"/>
  <c r="M62" i="13"/>
  <c r="G62" i="13"/>
  <c r="F62" i="13"/>
  <c r="F102" i="13" s="1"/>
  <c r="AC62" i="13"/>
  <c r="AC86" i="13" s="1"/>
  <c r="AB62" i="13"/>
  <c r="V62" i="13"/>
  <c r="U62" i="13"/>
  <c r="U103" i="13" s="1"/>
  <c r="S56" i="13"/>
  <c r="Q56" i="13"/>
  <c r="D56" i="13"/>
  <c r="B56" i="13"/>
  <c r="S54" i="13"/>
  <c r="Q54" i="13"/>
  <c r="D54" i="13"/>
  <c r="B54" i="13"/>
  <c r="S52" i="13"/>
  <c r="Q52" i="13"/>
  <c r="D52" i="13"/>
  <c r="B52" i="13"/>
  <c r="S50" i="13"/>
  <c r="Q50" i="13"/>
  <c r="D50" i="13"/>
  <c r="B50" i="13"/>
  <c r="AC34" i="13"/>
  <c r="AC52" i="13" s="1"/>
  <c r="AB34" i="13"/>
  <c r="V34" i="13"/>
  <c r="U34" i="13"/>
  <c r="U54" i="13" s="1"/>
  <c r="N34" i="13"/>
  <c r="N43" i="13" s="1"/>
  <c r="M34" i="13"/>
  <c r="G34" i="13"/>
  <c r="F34" i="13"/>
  <c r="F43" i="13" s="1"/>
  <c r="S28" i="13"/>
  <c r="Q28" i="13"/>
  <c r="D28" i="13"/>
  <c r="B28" i="13"/>
  <c r="S26" i="13"/>
  <c r="Q26" i="13"/>
  <c r="D26" i="13"/>
  <c r="B26" i="13"/>
  <c r="S24" i="13"/>
  <c r="Q24" i="13"/>
  <c r="D24" i="13"/>
  <c r="B24" i="13"/>
  <c r="S22" i="13"/>
  <c r="Q22" i="13"/>
  <c r="D22" i="13"/>
  <c r="B22" i="13"/>
  <c r="AC6" i="13"/>
  <c r="AC26" i="13" s="1"/>
  <c r="AB6" i="13"/>
  <c r="V6" i="13"/>
  <c r="U6" i="13"/>
  <c r="U26" i="13" s="1"/>
  <c r="N6" i="13"/>
  <c r="N22" i="13" s="1"/>
  <c r="M6" i="13"/>
  <c r="G6" i="13"/>
  <c r="F6" i="13"/>
  <c r="F24" i="13" s="1"/>
  <c r="V3" i="13"/>
  <c r="Q3" i="13"/>
  <c r="G3" i="13"/>
  <c r="B3" i="13"/>
  <c r="P1" i="13"/>
  <c r="A1" i="13"/>
  <c r="AB23" i="12"/>
  <c r="X23" i="12"/>
  <c r="AH23" i="12"/>
  <c r="AD23" i="12"/>
  <c r="AB19" i="12"/>
  <c r="X19" i="12"/>
  <c r="AH19" i="12"/>
  <c r="AD19" i="12"/>
  <c r="AH15" i="12"/>
  <c r="AD15" i="12"/>
  <c r="AB15" i="12"/>
  <c r="X15" i="12"/>
  <c r="M14" i="12"/>
  <c r="E14" i="12"/>
  <c r="AH11" i="12"/>
  <c r="AD11" i="12"/>
  <c r="AB11" i="12"/>
  <c r="X11" i="12"/>
  <c r="S89" i="11"/>
  <c r="Q89" i="11"/>
  <c r="D89" i="11"/>
  <c r="B89" i="11"/>
  <c r="S87" i="11"/>
  <c r="Q87" i="11"/>
  <c r="D87" i="11"/>
  <c r="B87" i="11"/>
  <c r="S85" i="11"/>
  <c r="Q85" i="11"/>
  <c r="D85" i="11"/>
  <c r="B85" i="11"/>
  <c r="S83" i="11"/>
  <c r="Q83" i="11"/>
  <c r="D83" i="11"/>
  <c r="B83" i="11"/>
  <c r="AB68" i="11"/>
  <c r="V68" i="11"/>
  <c r="T68" i="11"/>
  <c r="M68" i="11"/>
  <c r="G68" i="11"/>
  <c r="E68" i="11"/>
  <c r="S60" i="11"/>
  <c r="Q60" i="11"/>
  <c r="D60" i="11"/>
  <c r="B60" i="11"/>
  <c r="S58" i="11"/>
  <c r="Q58" i="11"/>
  <c r="D58" i="11"/>
  <c r="B58" i="11"/>
  <c r="S56" i="11"/>
  <c r="Q56" i="11"/>
  <c r="D56" i="11"/>
  <c r="B56" i="11"/>
  <c r="S54" i="11"/>
  <c r="Q54" i="11"/>
  <c r="D54" i="11"/>
  <c r="B54" i="11"/>
  <c r="AB39" i="11"/>
  <c r="V39" i="11"/>
  <c r="T39" i="11"/>
  <c r="M39" i="11"/>
  <c r="G39" i="11"/>
  <c r="E39" i="11"/>
  <c r="S31" i="11"/>
  <c r="Q31" i="11"/>
  <c r="D31" i="11"/>
  <c r="B31" i="11"/>
  <c r="S29" i="11"/>
  <c r="Q29" i="11"/>
  <c r="D29" i="11"/>
  <c r="B29" i="11"/>
  <c r="S27" i="11"/>
  <c r="Q27" i="11"/>
  <c r="D27" i="11"/>
  <c r="B27" i="11"/>
  <c r="S25" i="11"/>
  <c r="Q25" i="11"/>
  <c r="D25" i="11"/>
  <c r="B25" i="11"/>
  <c r="AB10" i="11"/>
  <c r="V10" i="11"/>
  <c r="T10" i="11"/>
  <c r="M10" i="11"/>
  <c r="G10" i="11"/>
  <c r="E10" i="11"/>
  <c r="AB7" i="11"/>
  <c r="M7" i="11"/>
  <c r="AB6" i="11"/>
  <c r="M6" i="11"/>
  <c r="AB5" i="11"/>
  <c r="M5" i="11"/>
  <c r="V3" i="11"/>
  <c r="Q3" i="11"/>
  <c r="G3" i="11"/>
  <c r="B3" i="11"/>
  <c r="P1" i="11"/>
  <c r="A1" i="11"/>
  <c r="S89" i="10"/>
  <c r="Q89" i="10"/>
  <c r="D89" i="10"/>
  <c r="B89" i="10"/>
  <c r="S87" i="10"/>
  <c r="Q87" i="10"/>
  <c r="D87" i="10"/>
  <c r="B87" i="10"/>
  <c r="S85" i="10"/>
  <c r="Q85" i="10"/>
  <c r="D85" i="10"/>
  <c r="B85" i="10"/>
  <c r="S83" i="10"/>
  <c r="Q83" i="10"/>
  <c r="D83" i="10"/>
  <c r="B83" i="10"/>
  <c r="AB68" i="10"/>
  <c r="V68" i="10"/>
  <c r="T68" i="10"/>
  <c r="M68" i="10"/>
  <c r="G68" i="10"/>
  <c r="E68" i="10"/>
  <c r="S60" i="10"/>
  <c r="Q60" i="10"/>
  <c r="D60" i="10"/>
  <c r="B60" i="10"/>
  <c r="S58" i="10"/>
  <c r="Q58" i="10"/>
  <c r="D58" i="10"/>
  <c r="B58" i="10"/>
  <c r="S56" i="10"/>
  <c r="Q56" i="10"/>
  <c r="D56" i="10"/>
  <c r="B56" i="10"/>
  <c r="S54" i="10"/>
  <c r="Q54" i="10"/>
  <c r="D54" i="10"/>
  <c r="B54" i="10"/>
  <c r="AB39" i="10"/>
  <c r="V39" i="10"/>
  <c r="T39" i="10"/>
  <c r="M39" i="10"/>
  <c r="G39" i="10"/>
  <c r="E39" i="10"/>
  <c r="S31" i="10"/>
  <c r="Q31" i="10"/>
  <c r="D31" i="10"/>
  <c r="B31" i="10"/>
  <c r="S29" i="10"/>
  <c r="Q29" i="10"/>
  <c r="D29" i="10"/>
  <c r="B29" i="10"/>
  <c r="S27" i="10"/>
  <c r="Q27" i="10"/>
  <c r="D27" i="10"/>
  <c r="B27" i="10"/>
  <c r="S25" i="10"/>
  <c r="Q25" i="10"/>
  <c r="D25" i="10"/>
  <c r="B25" i="10"/>
  <c r="AB10" i="10"/>
  <c r="V10" i="10"/>
  <c r="T10" i="10"/>
  <c r="M10" i="10"/>
  <c r="G10" i="10"/>
  <c r="E10" i="10"/>
  <c r="AB7" i="10"/>
  <c r="M7" i="10"/>
  <c r="AB6" i="10"/>
  <c r="M6" i="10"/>
  <c r="AB5" i="10"/>
  <c r="M5" i="10"/>
  <c r="V3" i="10"/>
  <c r="Q3" i="10"/>
  <c r="G3" i="10"/>
  <c r="B3" i="10"/>
  <c r="P1" i="10"/>
  <c r="A1" i="10"/>
  <c r="S89" i="9"/>
  <c r="Q89" i="9"/>
  <c r="D89" i="9"/>
  <c r="B89" i="9"/>
  <c r="S87" i="9"/>
  <c r="Q87" i="9"/>
  <c r="D87" i="9"/>
  <c r="B87" i="9"/>
  <c r="S85" i="9"/>
  <c r="Q85" i="9"/>
  <c r="D85" i="9"/>
  <c r="B85" i="9"/>
  <c r="S83" i="9"/>
  <c r="Q83" i="9"/>
  <c r="D83" i="9"/>
  <c r="B83" i="9"/>
  <c r="AB68" i="9"/>
  <c r="V68" i="9"/>
  <c r="T68" i="9"/>
  <c r="M68" i="9"/>
  <c r="G68" i="9"/>
  <c r="E68" i="9"/>
  <c r="S60" i="9"/>
  <c r="Q60" i="9"/>
  <c r="D60" i="9"/>
  <c r="B60" i="9"/>
  <c r="S58" i="9"/>
  <c r="Q58" i="9"/>
  <c r="D58" i="9"/>
  <c r="B58" i="9"/>
  <c r="S56" i="9"/>
  <c r="Q56" i="9"/>
  <c r="D56" i="9"/>
  <c r="B56" i="9"/>
  <c r="S54" i="9"/>
  <c r="Q54" i="9"/>
  <c r="D54" i="9"/>
  <c r="B54" i="9"/>
  <c r="AB39" i="9"/>
  <c r="V39" i="9"/>
  <c r="T39" i="9"/>
  <c r="M39" i="9"/>
  <c r="G39" i="9"/>
  <c r="E39" i="9"/>
  <c r="S31" i="9"/>
  <c r="Q31" i="9"/>
  <c r="D31" i="9"/>
  <c r="B31" i="9"/>
  <c r="S29" i="9"/>
  <c r="Q29" i="9"/>
  <c r="D29" i="9"/>
  <c r="B29" i="9"/>
  <c r="S27" i="9"/>
  <c r="Q27" i="9"/>
  <c r="D27" i="9"/>
  <c r="B27" i="9"/>
  <c r="S25" i="9"/>
  <c r="Q25" i="9"/>
  <c r="D25" i="9"/>
  <c r="B25" i="9"/>
  <c r="AB10" i="9"/>
  <c r="V10" i="9"/>
  <c r="T10" i="9"/>
  <c r="M10" i="9"/>
  <c r="G10" i="9"/>
  <c r="E10" i="9"/>
  <c r="AB7" i="9"/>
  <c r="M7" i="9"/>
  <c r="AB6" i="9"/>
  <c r="M6" i="9"/>
  <c r="AB5" i="9"/>
  <c r="M5" i="9"/>
  <c r="V3" i="9"/>
  <c r="Q3" i="9"/>
  <c r="G3" i="9"/>
  <c r="B3" i="9"/>
  <c r="P1" i="9"/>
  <c r="A1" i="9"/>
  <c r="S89" i="8"/>
  <c r="Q89" i="8"/>
  <c r="D89" i="8"/>
  <c r="B89" i="8"/>
  <c r="S87" i="8"/>
  <c r="Q87" i="8"/>
  <c r="D87" i="8"/>
  <c r="B87" i="8"/>
  <c r="S85" i="8"/>
  <c r="Q85" i="8"/>
  <c r="D85" i="8"/>
  <c r="B85" i="8"/>
  <c r="S83" i="8"/>
  <c r="Q83" i="8"/>
  <c r="D83" i="8"/>
  <c r="B83" i="8"/>
  <c r="AB68" i="8"/>
  <c r="V68" i="8"/>
  <c r="T68" i="8"/>
  <c r="M68" i="8"/>
  <c r="G68" i="8"/>
  <c r="E68" i="8"/>
  <c r="S60" i="8"/>
  <c r="Q60" i="8"/>
  <c r="D60" i="8"/>
  <c r="B60" i="8"/>
  <c r="S58" i="8"/>
  <c r="Q58" i="8"/>
  <c r="D58" i="8"/>
  <c r="B58" i="8"/>
  <c r="S56" i="8"/>
  <c r="Q56" i="8"/>
  <c r="D56" i="8"/>
  <c r="B56" i="8"/>
  <c r="S54" i="8"/>
  <c r="Q54" i="8"/>
  <c r="D54" i="8"/>
  <c r="B54" i="8"/>
  <c r="AB39" i="8"/>
  <c r="V39" i="8"/>
  <c r="T39" i="8"/>
  <c r="M39" i="8"/>
  <c r="G39" i="8"/>
  <c r="E39" i="8"/>
  <c r="S31" i="8"/>
  <c r="Q31" i="8"/>
  <c r="D31" i="8"/>
  <c r="B31" i="8"/>
  <c r="S29" i="8"/>
  <c r="Q29" i="8"/>
  <c r="D29" i="8"/>
  <c r="B29" i="8"/>
  <c r="S27" i="8"/>
  <c r="Q27" i="8"/>
  <c r="D27" i="8"/>
  <c r="B27" i="8"/>
  <c r="S25" i="8"/>
  <c r="Q25" i="8"/>
  <c r="D25" i="8"/>
  <c r="B25" i="8"/>
  <c r="AB10" i="8"/>
  <c r="V10" i="8"/>
  <c r="T10" i="8"/>
  <c r="M10" i="8"/>
  <c r="G10" i="8"/>
  <c r="E10" i="8"/>
  <c r="AB7" i="8"/>
  <c r="M7" i="8"/>
  <c r="AB6" i="8"/>
  <c r="M6" i="8"/>
  <c r="AB5" i="8"/>
  <c r="M5" i="8"/>
  <c r="V3" i="8"/>
  <c r="Q3" i="8"/>
  <c r="G3" i="8"/>
  <c r="B3" i="8"/>
  <c r="P1" i="8"/>
  <c r="A1" i="8"/>
  <c r="AF75" i="7"/>
  <c r="AG74" i="7" s="1"/>
  <c r="I75" i="7"/>
  <c r="D75" i="7"/>
  <c r="E74" i="7" s="1"/>
  <c r="AN73" i="7"/>
  <c r="AI75" i="7" s="1"/>
  <c r="AL73" i="7"/>
  <c r="AH73" i="7"/>
  <c r="L73" i="7"/>
  <c r="J73" i="7"/>
  <c r="AN71" i="7"/>
  <c r="AL71" i="7"/>
  <c r="AH75" i="7" s="1"/>
  <c r="AK71" i="7"/>
  <c r="AJ70" i="7" s="1"/>
  <c r="AI71" i="7"/>
  <c r="L71" i="7"/>
  <c r="J71" i="7"/>
  <c r="F75" i="7" s="1"/>
  <c r="I71" i="7"/>
  <c r="D73" i="7" s="1"/>
  <c r="G71" i="7"/>
  <c r="K70" i="7"/>
  <c r="AK67" i="7"/>
  <c r="AF67" i="7"/>
  <c r="I67" i="7"/>
  <c r="G67" i="7"/>
  <c r="H66" i="7" s="1"/>
  <c r="F67" i="7"/>
  <c r="D67" i="7"/>
  <c r="E66" i="7"/>
  <c r="AN65" i="7"/>
  <c r="AI67" i="7" s="1"/>
  <c r="AL65" i="7"/>
  <c r="AM64" i="7" s="1"/>
  <c r="AH65" i="7"/>
  <c r="L65" i="7"/>
  <c r="K64" i="7" s="1"/>
  <c r="J65" i="7"/>
  <c r="D65" i="7"/>
  <c r="E64" i="7"/>
  <c r="O64" i="7" s="1"/>
  <c r="AN63" i="7"/>
  <c r="AL63" i="7"/>
  <c r="AH67" i="7" s="1"/>
  <c r="AG66" i="7" s="1"/>
  <c r="AK63" i="7"/>
  <c r="AI63" i="7"/>
  <c r="L63" i="7"/>
  <c r="J63" i="7"/>
  <c r="I63" i="7"/>
  <c r="G63" i="7"/>
  <c r="F65" i="7" s="1"/>
  <c r="K62" i="7"/>
  <c r="H62" i="7"/>
  <c r="AK59" i="7"/>
  <c r="I59" i="7"/>
  <c r="F59" i="7"/>
  <c r="AN57" i="7"/>
  <c r="AI59" i="7" s="1"/>
  <c r="AJ58" i="7" s="1"/>
  <c r="AL57" i="7"/>
  <c r="AM56" i="7" s="1"/>
  <c r="AF57" i="7"/>
  <c r="L57" i="7"/>
  <c r="J57" i="7"/>
  <c r="AG56" i="7"/>
  <c r="AN55" i="7"/>
  <c r="AL55" i="7"/>
  <c r="AH59" i="7" s="1"/>
  <c r="AK55" i="7"/>
  <c r="AI55" i="7"/>
  <c r="AH57" i="7" s="1"/>
  <c r="L55" i="7"/>
  <c r="D59" i="7" s="1"/>
  <c r="J55" i="7"/>
  <c r="K54" i="7" s="1"/>
  <c r="I55" i="7"/>
  <c r="D57" i="7" s="1"/>
  <c r="G55" i="7"/>
  <c r="F57" i="7" s="1"/>
  <c r="AJ54" i="7"/>
  <c r="AI51" i="7"/>
  <c r="AH51" i="7"/>
  <c r="AF51" i="7"/>
  <c r="AG50" i="7" s="1"/>
  <c r="G51" i="7"/>
  <c r="H50" i="7" s="1"/>
  <c r="F51" i="7"/>
  <c r="AN49" i="7"/>
  <c r="AL49" i="7"/>
  <c r="AH49" i="7"/>
  <c r="L49" i="7"/>
  <c r="J49" i="7"/>
  <c r="I51" i="7" s="1"/>
  <c r="F49" i="7"/>
  <c r="K48" i="7"/>
  <c r="AN47" i="7"/>
  <c r="AL47" i="7"/>
  <c r="AK47" i="7"/>
  <c r="AF49" i="7" s="1"/>
  <c r="AG48" i="7" s="1"/>
  <c r="AI47" i="7"/>
  <c r="L47" i="7"/>
  <c r="D51" i="7" s="1"/>
  <c r="J47" i="7"/>
  <c r="K46" i="7" s="1"/>
  <c r="I47" i="7"/>
  <c r="H46" i="7" s="1"/>
  <c r="O46" i="7" s="1"/>
  <c r="G47" i="7"/>
  <c r="AM46" i="7"/>
  <c r="AJ46" i="7"/>
  <c r="AO46" i="7" s="1"/>
  <c r="AD23" i="7"/>
  <c r="B23" i="7"/>
  <c r="AD21" i="7"/>
  <c r="B21" i="7"/>
  <c r="AD19" i="7"/>
  <c r="B19" i="7"/>
  <c r="AD17" i="7"/>
  <c r="B17" i="7"/>
  <c r="AD15" i="7"/>
  <c r="B15" i="7"/>
  <c r="AD13" i="7"/>
  <c r="B13" i="7"/>
  <c r="AR11" i="7"/>
  <c r="AF11" i="7"/>
  <c r="P11" i="7"/>
  <c r="D11" i="7"/>
  <c r="AF3" i="7"/>
  <c r="D3" i="7"/>
  <c r="M34" i="5"/>
  <c r="N12" i="6" s="1"/>
  <c r="AC74" i="7" s="1"/>
  <c r="AL69" i="7" s="1"/>
  <c r="J34" i="5"/>
  <c r="L12" i="6" s="1"/>
  <c r="L27" i="6" s="1"/>
  <c r="AT19" i="7" s="1"/>
  <c r="F34" i="5"/>
  <c r="N7" i="6" s="1"/>
  <c r="N23" i="6" s="1"/>
  <c r="AX17" i="7" s="1"/>
  <c r="C34" i="5"/>
  <c r="L7" i="6" s="1"/>
  <c r="L30" i="5"/>
  <c r="M10" i="6" s="1"/>
  <c r="E30" i="5"/>
  <c r="M5" i="6" s="1"/>
  <c r="U7" i="10"/>
  <c r="U5" i="10"/>
  <c r="F7" i="11"/>
  <c r="M26" i="5"/>
  <c r="H12" i="6" s="1"/>
  <c r="F31" i="6" s="1"/>
  <c r="R23" i="7" s="1"/>
  <c r="J26" i="5"/>
  <c r="F12" i="6" s="1"/>
  <c r="G31" i="6" s="1"/>
  <c r="Y23" i="7" s="1"/>
  <c r="F26" i="5"/>
  <c r="H7" i="6" s="1"/>
  <c r="C26" i="5"/>
  <c r="F7" i="6" s="1"/>
  <c r="F7" i="10"/>
  <c r="L22" i="5"/>
  <c r="G10" i="6" s="1"/>
  <c r="V5" i="7" s="1"/>
  <c r="E22" i="5"/>
  <c r="G5" i="6" s="1"/>
  <c r="P5" i="7" s="1"/>
  <c r="F5" i="10"/>
  <c r="U20" i="5"/>
  <c r="U7" i="9" s="1"/>
  <c r="U68" i="9" s="1"/>
  <c r="M17" i="5"/>
  <c r="K12" i="6" s="1"/>
  <c r="J21" i="6" s="1"/>
  <c r="AO15" i="7" s="1"/>
  <c r="J17" i="5"/>
  <c r="I12" i="6" s="1"/>
  <c r="K21" i="6" s="1"/>
  <c r="AL15" i="7" s="1"/>
  <c r="F17" i="5"/>
  <c r="K7" i="6" s="1"/>
  <c r="J19" i="6" s="1"/>
  <c r="AO13" i="7" s="1"/>
  <c r="C17" i="5"/>
  <c r="I7" i="6" s="1"/>
  <c r="K19" i="6" s="1"/>
  <c r="AL13" i="7" s="1"/>
  <c r="U5" i="9"/>
  <c r="U10" i="9" s="1"/>
  <c r="L13" i="5"/>
  <c r="J10" i="6" s="1"/>
  <c r="AL5" i="7" s="1"/>
  <c r="E13" i="5"/>
  <c r="J5" i="6" s="1"/>
  <c r="K29" i="6" s="1"/>
  <c r="AL21" i="7" s="1"/>
  <c r="U5" i="8"/>
  <c r="F7" i="9"/>
  <c r="M9" i="5"/>
  <c r="E12" i="6" s="1"/>
  <c r="J9" i="5"/>
  <c r="C12" i="6" s="1"/>
  <c r="F9" i="5"/>
  <c r="E7" i="6" s="1"/>
  <c r="C9" i="5"/>
  <c r="C7" i="6" s="1"/>
  <c r="C23" i="6" s="1"/>
  <c r="F17" i="7" s="1"/>
  <c r="F6" i="9"/>
  <c r="N10" i="9" s="1"/>
  <c r="F5" i="9"/>
  <c r="F7" i="8"/>
  <c r="F6" i="8"/>
  <c r="L5" i="5"/>
  <c r="D10" i="6" s="1"/>
  <c r="D27" i="6" s="1"/>
  <c r="M19" i="7" s="1"/>
  <c r="E5" i="5"/>
  <c r="D5" i="6" s="1"/>
  <c r="C19" i="6" s="1"/>
  <c r="F13" i="7" s="1"/>
  <c r="U4" i="5"/>
  <c r="F5" i="8" s="1"/>
  <c r="F10" i="8" s="1"/>
  <c r="B2" i="5"/>
  <c r="U28" i="4"/>
  <c r="Q28" i="4"/>
  <c r="M28" i="4"/>
  <c r="I28" i="4"/>
  <c r="U27" i="4"/>
  <c r="Q27" i="4"/>
  <c r="M27" i="4"/>
  <c r="I27" i="4"/>
  <c r="U26" i="4"/>
  <c r="Q26" i="4"/>
  <c r="M26" i="4"/>
  <c r="I26" i="4"/>
  <c r="U25" i="4"/>
  <c r="Q25" i="4"/>
  <c r="M25" i="4"/>
  <c r="I25" i="4"/>
  <c r="U24" i="4"/>
  <c r="Q24" i="4"/>
  <c r="M24" i="4"/>
  <c r="I24" i="4"/>
  <c r="U23" i="4"/>
  <c r="Q23" i="4"/>
  <c r="M23" i="4"/>
  <c r="I23" i="4"/>
  <c r="U22" i="4"/>
  <c r="Q22" i="4"/>
  <c r="M22" i="4"/>
  <c r="I22" i="4"/>
  <c r="U21" i="4"/>
  <c r="Q21" i="4"/>
  <c r="M21" i="4"/>
  <c r="I21" i="4"/>
  <c r="U20" i="4"/>
  <c r="Q20" i="4"/>
  <c r="M20" i="4"/>
  <c r="I20" i="4"/>
  <c r="U19" i="4"/>
  <c r="Q19" i="4"/>
  <c r="M19" i="4"/>
  <c r="I19" i="4"/>
  <c r="U18" i="4"/>
  <c r="Q18" i="4"/>
  <c r="M18" i="4"/>
  <c r="I18" i="4"/>
  <c r="U17" i="4"/>
  <c r="Q17" i="4"/>
  <c r="M17" i="4"/>
  <c r="I17" i="4"/>
  <c r="E17" i="4"/>
  <c r="U16" i="4"/>
  <c r="Q16" i="4"/>
  <c r="M16" i="4"/>
  <c r="I16" i="4"/>
  <c r="E16" i="4"/>
  <c r="C16" i="4"/>
  <c r="U15" i="4"/>
  <c r="Q15" i="4"/>
  <c r="M15" i="4"/>
  <c r="I15" i="4"/>
  <c r="E15" i="4"/>
  <c r="C15" i="4"/>
  <c r="U14" i="4"/>
  <c r="Q14" i="4"/>
  <c r="M14" i="4"/>
  <c r="I14" i="4"/>
  <c r="E14" i="4"/>
  <c r="C14" i="4"/>
  <c r="U13" i="4"/>
  <c r="Q13" i="4"/>
  <c r="M13" i="4"/>
  <c r="I13" i="4"/>
  <c r="E13" i="4"/>
  <c r="C13" i="4"/>
  <c r="U12" i="4"/>
  <c r="Q12" i="4"/>
  <c r="M12" i="4"/>
  <c r="I12" i="4"/>
  <c r="E12" i="4"/>
  <c r="C12" i="4"/>
  <c r="U11" i="4"/>
  <c r="Q11" i="4"/>
  <c r="M11" i="4"/>
  <c r="I11" i="4"/>
  <c r="E11" i="4"/>
  <c r="C11" i="4"/>
  <c r="U10" i="4"/>
  <c r="Q10" i="4"/>
  <c r="M10" i="4"/>
  <c r="I10" i="4"/>
  <c r="E10" i="4"/>
  <c r="C10" i="4"/>
  <c r="U9" i="4"/>
  <c r="Q9" i="4"/>
  <c r="M9" i="4"/>
  <c r="I9" i="4"/>
  <c r="E9" i="4"/>
  <c r="C9" i="4"/>
  <c r="U8" i="4"/>
  <c r="Q8" i="4"/>
  <c r="M8" i="4"/>
  <c r="I8" i="4"/>
  <c r="E8" i="4"/>
  <c r="C8" i="4"/>
  <c r="U7" i="4"/>
  <c r="Q7" i="4"/>
  <c r="M7" i="4"/>
  <c r="I7" i="4"/>
  <c r="E7" i="4"/>
  <c r="C7" i="4"/>
  <c r="U6" i="4"/>
  <c r="Q6" i="4"/>
  <c r="M6" i="4"/>
  <c r="I6" i="4"/>
  <c r="E6" i="4"/>
  <c r="C6" i="4"/>
  <c r="U5" i="4"/>
  <c r="Q5" i="4"/>
  <c r="M5" i="4"/>
  <c r="I5" i="4"/>
  <c r="E5" i="4"/>
  <c r="C5" i="4"/>
  <c r="C2" i="4"/>
  <c r="C1" i="4"/>
  <c r="V108" i="3"/>
  <c r="E108" i="3"/>
  <c r="C31" i="3"/>
  <c r="C30" i="3"/>
  <c r="A2" i="3"/>
  <c r="A1" i="1"/>
  <c r="U7" i="11" l="1"/>
  <c r="AC39" i="11" s="1"/>
  <c r="F5" i="11"/>
  <c r="N68" i="11" s="1"/>
  <c r="N83" i="11" s="1"/>
  <c r="F6" i="11"/>
  <c r="N10" i="11" s="1"/>
  <c r="U6" i="9"/>
  <c r="U39" i="9" s="1"/>
  <c r="U47" i="9" s="1"/>
  <c r="E20" i="4"/>
  <c r="U6" i="10"/>
  <c r="AC10" i="10" s="1"/>
  <c r="U6" i="8"/>
  <c r="U39" i="8" s="1"/>
  <c r="F6" i="10"/>
  <c r="F39" i="10" s="1"/>
  <c r="U5" i="11"/>
  <c r="U10" i="11" s="1"/>
  <c r="U7" i="8"/>
  <c r="AC39" i="8" s="1"/>
  <c r="AC58" i="8" s="1"/>
  <c r="U6" i="11"/>
  <c r="U39" i="11" s="1"/>
  <c r="I31" i="6"/>
  <c r="AH23" i="7" s="1"/>
  <c r="G19" i="6"/>
  <c r="Y13" i="7" s="1"/>
  <c r="F29" i="6"/>
  <c r="R21" i="7" s="1"/>
  <c r="L31" i="6"/>
  <c r="AT23" i="7" s="1"/>
  <c r="H31" i="6"/>
  <c r="V23" i="7" s="1"/>
  <c r="P7" i="7"/>
  <c r="N27" i="6"/>
  <c r="AX19" i="7" s="1"/>
  <c r="D29" i="6"/>
  <c r="M21" i="7" s="1"/>
  <c r="E29" i="6"/>
  <c r="J21" i="7" s="1"/>
  <c r="I27" i="6"/>
  <c r="AH19" i="7" s="1"/>
  <c r="A58" i="7"/>
  <c r="J53" i="7" s="1"/>
  <c r="A70" i="7"/>
  <c r="D69" i="7" s="1"/>
  <c r="AC62" i="7"/>
  <c r="AF61" i="7" s="1"/>
  <c r="M21" i="6"/>
  <c r="BA15" i="7" s="1"/>
  <c r="J5" i="7"/>
  <c r="H27" i="6"/>
  <c r="V19" i="7" s="1"/>
  <c r="AC25" i="13"/>
  <c r="AC47" i="13"/>
  <c r="F39" i="9"/>
  <c r="F44" i="9" s="1"/>
  <c r="F49" i="13"/>
  <c r="F13" i="13"/>
  <c r="F22" i="13"/>
  <c r="U27" i="13"/>
  <c r="N45" i="13"/>
  <c r="U22" i="13"/>
  <c r="F68" i="13"/>
  <c r="AC111" i="13"/>
  <c r="F69" i="13"/>
  <c r="F10" i="13"/>
  <c r="F56" i="13"/>
  <c r="F70" i="13"/>
  <c r="U68" i="13"/>
  <c r="F11" i="13"/>
  <c r="F75" i="13"/>
  <c r="F12" i="13"/>
  <c r="F51" i="13"/>
  <c r="U76" i="13"/>
  <c r="F76" i="13"/>
  <c r="U15" i="13"/>
  <c r="F77" i="13"/>
  <c r="F84" i="13"/>
  <c r="F18" i="13"/>
  <c r="U85" i="13"/>
  <c r="F98" i="13"/>
  <c r="F85" i="13"/>
  <c r="U106" i="13"/>
  <c r="F107" i="13"/>
  <c r="AC82" i="13"/>
  <c r="F21" i="13"/>
  <c r="F26" i="13"/>
  <c r="AC53" i="13"/>
  <c r="N44" i="13"/>
  <c r="F23" i="8"/>
  <c r="N15" i="9"/>
  <c r="F24" i="8"/>
  <c r="N31" i="9"/>
  <c r="U27" i="9"/>
  <c r="N46" i="13"/>
  <c r="U69" i="13"/>
  <c r="U82" i="13"/>
  <c r="U97" i="13"/>
  <c r="N109" i="13"/>
  <c r="U98" i="13"/>
  <c r="U70" i="13"/>
  <c r="AC12" i="13"/>
  <c r="N49" i="13"/>
  <c r="AC79" i="13"/>
  <c r="U99" i="13"/>
  <c r="N54" i="13"/>
  <c r="F71" i="13"/>
  <c r="F79" i="13"/>
  <c r="F82" i="13"/>
  <c r="F100" i="13"/>
  <c r="AC22" i="13"/>
  <c r="AC27" i="13"/>
  <c r="N38" i="13"/>
  <c r="U72" i="13"/>
  <c r="U83" i="13"/>
  <c r="F86" i="13"/>
  <c r="U101" i="13"/>
  <c r="AC15" i="13"/>
  <c r="F23" i="13"/>
  <c r="N39" i="13"/>
  <c r="N50" i="13"/>
  <c r="F72" i="13"/>
  <c r="F101" i="13"/>
  <c r="F16" i="13"/>
  <c r="AC40" i="13"/>
  <c r="N55" i="13"/>
  <c r="U73" i="13"/>
  <c r="U80" i="13"/>
  <c r="U102" i="13"/>
  <c r="F17" i="13"/>
  <c r="F28" i="13"/>
  <c r="F41" i="13"/>
  <c r="U66" i="13"/>
  <c r="F73" i="13"/>
  <c r="U84" i="13"/>
  <c r="U104" i="13"/>
  <c r="AC66" i="13"/>
  <c r="U74" i="13"/>
  <c r="AC84" i="13"/>
  <c r="U105" i="13"/>
  <c r="F19" i="13"/>
  <c r="N42" i="13"/>
  <c r="N51" i="13"/>
  <c r="F66" i="13"/>
  <c r="AC74" i="13"/>
  <c r="F80" i="13"/>
  <c r="AC105" i="13"/>
  <c r="U77" i="13"/>
  <c r="N41" i="13"/>
  <c r="AC19" i="13"/>
  <c r="F25" i="13"/>
  <c r="F44" i="13"/>
  <c r="N56" i="13"/>
  <c r="U67" i="13"/>
  <c r="U75" i="13"/>
  <c r="U81" i="13"/>
  <c r="F105" i="13"/>
  <c r="N113" i="13"/>
  <c r="E23" i="6"/>
  <c r="J17" i="7" s="1"/>
  <c r="D19" i="6"/>
  <c r="M13" i="7" s="1"/>
  <c r="A50" i="7"/>
  <c r="J45" i="7" s="1"/>
  <c r="C29" i="6"/>
  <c r="F21" i="7" s="1"/>
  <c r="D7" i="7"/>
  <c r="AX5" i="7"/>
  <c r="M27" i="6"/>
  <c r="BA19" i="7" s="1"/>
  <c r="AC70" i="7"/>
  <c r="AF69" i="7" s="1"/>
  <c r="N31" i="6"/>
  <c r="AX23" i="7" s="1"/>
  <c r="L21" i="6"/>
  <c r="AT15" i="7" s="1"/>
  <c r="AJ74" i="7"/>
  <c r="AO74" i="7" s="1"/>
  <c r="E21" i="6"/>
  <c r="J15" i="7" s="1"/>
  <c r="D31" i="6"/>
  <c r="M23" i="7" s="1"/>
  <c r="A64" i="7"/>
  <c r="G61" i="7" s="1"/>
  <c r="C27" i="6"/>
  <c r="F19" i="7" s="1"/>
  <c r="J6" i="7"/>
  <c r="N19" i="6"/>
  <c r="AX13" i="7" s="1"/>
  <c r="AR6" i="7"/>
  <c r="M29" i="6"/>
  <c r="BA21" i="7" s="1"/>
  <c r="AC56" i="7"/>
  <c r="AI53" i="7" s="1"/>
  <c r="L23" i="6"/>
  <c r="AT17" i="7" s="1"/>
  <c r="N10" i="8"/>
  <c r="F39" i="8"/>
  <c r="A56" i="7"/>
  <c r="G53" i="7" s="1"/>
  <c r="F23" i="6"/>
  <c r="R17" i="7" s="1"/>
  <c r="G29" i="6"/>
  <c r="Y21" i="7" s="1"/>
  <c r="P6" i="7"/>
  <c r="H19" i="6"/>
  <c r="V13" i="7" s="1"/>
  <c r="AM72" i="7"/>
  <c r="AK75" i="7"/>
  <c r="AC68" i="10"/>
  <c r="U10" i="10"/>
  <c r="AC54" i="7"/>
  <c r="AF53" i="7" s="1"/>
  <c r="AR5" i="7"/>
  <c r="N29" i="6"/>
  <c r="AX21" i="7" s="1"/>
  <c r="D49" i="7"/>
  <c r="E48" i="7" s="1"/>
  <c r="F16" i="8"/>
  <c r="D6" i="7"/>
  <c r="E19" i="6"/>
  <c r="J13" i="7" s="1"/>
  <c r="M66" i="7"/>
  <c r="AC39" i="10"/>
  <c r="U68" i="10"/>
  <c r="I19" i="6"/>
  <c r="AH13" i="7" s="1"/>
  <c r="G23" i="6"/>
  <c r="Y17" i="7" s="1"/>
  <c r="F19" i="8"/>
  <c r="F26" i="8"/>
  <c r="AC72" i="7"/>
  <c r="AI69" i="7" s="1"/>
  <c r="M40" i="14"/>
  <c r="S29" i="14"/>
  <c r="E40" i="14"/>
  <c r="R20" i="14"/>
  <c r="Z16" i="14"/>
  <c r="N27" i="9"/>
  <c r="N24" i="9"/>
  <c r="AC68" i="8"/>
  <c r="U10" i="8"/>
  <c r="M23" i="6"/>
  <c r="BA17" i="7" s="1"/>
  <c r="AF5" i="7"/>
  <c r="I29" i="6"/>
  <c r="AH21" i="7" s="1"/>
  <c r="AC50" i="7"/>
  <c r="AL45" i="7" s="1"/>
  <c r="AF7" i="7"/>
  <c r="K23" i="6"/>
  <c r="AL17" i="7" s="1"/>
  <c r="F20" i="8"/>
  <c r="M19" i="6"/>
  <c r="BA13" i="7" s="1"/>
  <c r="E31" i="6"/>
  <c r="J23" i="7" s="1"/>
  <c r="H54" i="7"/>
  <c r="F73" i="7"/>
  <c r="H70" i="7"/>
  <c r="G75" i="7"/>
  <c r="H74" i="7" s="1"/>
  <c r="M74" i="7" s="1"/>
  <c r="K72" i="7"/>
  <c r="N68" i="9"/>
  <c r="F10" i="9"/>
  <c r="N18" i="9"/>
  <c r="U28" i="9"/>
  <c r="U23" i="9"/>
  <c r="U16" i="9"/>
  <c r="U30" i="9"/>
  <c r="U25" i="9"/>
  <c r="U19" i="9"/>
  <c r="U31" i="9"/>
  <c r="U21" i="9"/>
  <c r="U14" i="9"/>
  <c r="U24" i="9"/>
  <c r="U17" i="9"/>
  <c r="U26" i="9"/>
  <c r="U20" i="9"/>
  <c r="U29" i="9"/>
  <c r="U15" i="9"/>
  <c r="A66" i="7"/>
  <c r="J61" i="7" s="1"/>
  <c r="C31" i="6"/>
  <c r="F23" i="7" s="1"/>
  <c r="AP56" i="7"/>
  <c r="AO56" i="7"/>
  <c r="AR56" i="7" s="1"/>
  <c r="J29" i="6"/>
  <c r="AO21" i="7" s="1"/>
  <c r="N64" i="7"/>
  <c r="M64" i="7"/>
  <c r="P64" i="7" s="1"/>
  <c r="AP48" i="7"/>
  <c r="AP74" i="7"/>
  <c r="L19" i="6"/>
  <c r="AT13" i="7" s="1"/>
  <c r="AK51" i="7"/>
  <c r="AJ50" i="7" s="1"/>
  <c r="AM48" i="7"/>
  <c r="AQ48" i="7" s="1"/>
  <c r="AM54" i="7"/>
  <c r="AF59" i="7"/>
  <c r="AG58" i="7" s="1"/>
  <c r="AM62" i="7"/>
  <c r="D23" i="6"/>
  <c r="M17" i="7" s="1"/>
  <c r="A46" i="7"/>
  <c r="D45" i="7" s="1"/>
  <c r="D5" i="7"/>
  <c r="D21" i="6"/>
  <c r="M15" i="7" s="1"/>
  <c r="M46" i="7"/>
  <c r="P46" i="7" s="1"/>
  <c r="A48" i="7"/>
  <c r="G45" i="7" s="1"/>
  <c r="E72" i="7"/>
  <c r="AF73" i="7"/>
  <c r="AG72" i="7" s="1"/>
  <c r="U18" i="9"/>
  <c r="H29" i="6"/>
  <c r="V21" i="7" s="1"/>
  <c r="A54" i="7"/>
  <c r="D53" i="7" s="1"/>
  <c r="F19" i="6"/>
  <c r="R13" i="7" s="1"/>
  <c r="J31" i="6"/>
  <c r="AO23" i="7" s="1"/>
  <c r="AL6" i="7"/>
  <c r="AC64" i="7"/>
  <c r="AI61" i="7" s="1"/>
  <c r="AQ46" i="7"/>
  <c r="AC46" i="7"/>
  <c r="AF45" i="7" s="1"/>
  <c r="J23" i="6"/>
  <c r="AO17" i="7" s="1"/>
  <c r="AX7" i="7"/>
  <c r="E56" i="7"/>
  <c r="G59" i="7"/>
  <c r="H58" i="7" s="1"/>
  <c r="K56" i="7"/>
  <c r="AJ62" i="7"/>
  <c r="AF65" i="7"/>
  <c r="AG64" i="7" s="1"/>
  <c r="AJ66" i="7"/>
  <c r="AQ66" i="7" s="1"/>
  <c r="U86" i="9"/>
  <c r="U81" i="9"/>
  <c r="U74" i="9"/>
  <c r="U88" i="9"/>
  <c r="U83" i="9"/>
  <c r="U77" i="9"/>
  <c r="U85" i="9"/>
  <c r="U87" i="9"/>
  <c r="U76" i="9"/>
  <c r="U89" i="9"/>
  <c r="U79" i="9"/>
  <c r="U72" i="9"/>
  <c r="U82" i="9"/>
  <c r="U75" i="9"/>
  <c r="U84" i="9"/>
  <c r="U78" i="9"/>
  <c r="M62" i="7"/>
  <c r="P62" i="7" s="1"/>
  <c r="O62" i="7"/>
  <c r="N62" i="7"/>
  <c r="F10" i="10"/>
  <c r="N68" i="10"/>
  <c r="E50" i="7"/>
  <c r="N39" i="9"/>
  <c r="F68" i="9"/>
  <c r="N66" i="7"/>
  <c r="G27" i="6"/>
  <c r="Y19" i="7" s="1"/>
  <c r="F21" i="6"/>
  <c r="R15" i="7" s="1"/>
  <c r="O66" i="7"/>
  <c r="A62" i="7"/>
  <c r="D61" i="7" s="1"/>
  <c r="C21" i="6"/>
  <c r="F15" i="7" s="1"/>
  <c r="K31" i="6"/>
  <c r="AL23" i="7" s="1"/>
  <c r="I21" i="6"/>
  <c r="AH15" i="7" s="1"/>
  <c r="J27" i="6"/>
  <c r="AO19" i="7" s="1"/>
  <c r="E27" i="6"/>
  <c r="J19" i="7" s="1"/>
  <c r="AX6" i="7"/>
  <c r="N46" i="7"/>
  <c r="AC39" i="9"/>
  <c r="AC68" i="9"/>
  <c r="U73" i="9"/>
  <c r="U80" i="9"/>
  <c r="AR7" i="7"/>
  <c r="AC58" i="7"/>
  <c r="AL53" i="7" s="1"/>
  <c r="L29" i="6"/>
  <c r="AT21" i="7" s="1"/>
  <c r="N39" i="8"/>
  <c r="F68" i="8"/>
  <c r="F27" i="6"/>
  <c r="R19" i="7" s="1"/>
  <c r="V6" i="7"/>
  <c r="H21" i="6"/>
  <c r="V15" i="7" s="1"/>
  <c r="A72" i="7"/>
  <c r="G69" i="7" s="1"/>
  <c r="J7" i="7"/>
  <c r="AO54" i="7"/>
  <c r="AQ54" i="7"/>
  <c r="AP54" i="7"/>
  <c r="AQ56" i="7"/>
  <c r="U22" i="9"/>
  <c r="AF6" i="7"/>
  <c r="I23" i="6"/>
  <c r="AH17" i="7" s="1"/>
  <c r="A74" i="7"/>
  <c r="J69" i="7" s="1"/>
  <c r="G21" i="6"/>
  <c r="Y15" i="7" s="1"/>
  <c r="AP46" i="7"/>
  <c r="AR46" i="7" s="1"/>
  <c r="AC48" i="7"/>
  <c r="AI45" i="7" s="1"/>
  <c r="F29" i="8"/>
  <c r="F27" i="8"/>
  <c r="F18" i="8"/>
  <c r="F21" i="8"/>
  <c r="F17" i="8"/>
  <c r="F30" i="8"/>
  <c r="F31" i="8"/>
  <c r="F28" i="8"/>
  <c r="F22" i="8"/>
  <c r="F14" i="8"/>
  <c r="F15" i="8"/>
  <c r="N68" i="8"/>
  <c r="M31" i="6"/>
  <c r="BA23" i="7" s="1"/>
  <c r="V7" i="7"/>
  <c r="N21" i="6"/>
  <c r="AX15" i="7" s="1"/>
  <c r="F25" i="8"/>
  <c r="AC66" i="7"/>
  <c r="AL61" i="7" s="1"/>
  <c r="AL7" i="7"/>
  <c r="K27" i="6"/>
  <c r="AL19" i="7" s="1"/>
  <c r="E58" i="7"/>
  <c r="H23" i="6"/>
  <c r="V17" i="7" s="1"/>
  <c r="AM70" i="7"/>
  <c r="AQ70" i="7" s="1"/>
  <c r="N28" i="9"/>
  <c r="N23" i="9"/>
  <c r="N16" i="9"/>
  <c r="N30" i="9"/>
  <c r="N19" i="9"/>
  <c r="N29" i="9"/>
  <c r="N21" i="9"/>
  <c r="N14" i="9"/>
  <c r="N26" i="9"/>
  <c r="N20" i="9"/>
  <c r="I2" i="6"/>
  <c r="N39" i="11"/>
  <c r="F68" i="11"/>
  <c r="N17" i="9"/>
  <c r="N25" i="9"/>
  <c r="M41" i="14"/>
  <c r="AE37" i="14"/>
  <c r="F68" i="10"/>
  <c r="N39" i="10"/>
  <c r="N22" i="9"/>
  <c r="U11" i="13"/>
  <c r="F15" i="13"/>
  <c r="U18" i="13"/>
  <c r="U24" i="13"/>
  <c r="F27" i="13"/>
  <c r="F40" i="13"/>
  <c r="U43" i="13"/>
  <c r="F47" i="13"/>
  <c r="U50" i="13"/>
  <c r="F53" i="13"/>
  <c r="AC55" i="13"/>
  <c r="AC81" i="13"/>
  <c r="AC104" i="13"/>
  <c r="U110" i="13"/>
  <c r="L16" i="14"/>
  <c r="Z23" i="14"/>
  <c r="R28" i="14"/>
  <c r="W37" i="14"/>
  <c r="AC11" i="13"/>
  <c r="N15" i="13"/>
  <c r="AC18" i="13"/>
  <c r="AC24" i="13"/>
  <c r="N27" i="13"/>
  <c r="N40" i="13"/>
  <c r="AC43" i="13"/>
  <c r="N47" i="13"/>
  <c r="AC50" i="13"/>
  <c r="N53" i="13"/>
  <c r="AC69" i="13"/>
  <c r="AC73" i="13"/>
  <c r="N81" i="13"/>
  <c r="AC98" i="13"/>
  <c r="F104" i="13"/>
  <c r="R16" i="14"/>
  <c r="L20" i="14"/>
  <c r="U40" i="13"/>
  <c r="U47" i="13"/>
  <c r="U53" i="13"/>
  <c r="N102" i="13"/>
  <c r="N105" i="13"/>
  <c r="N98" i="13"/>
  <c r="N85" i="13"/>
  <c r="N80" i="13"/>
  <c r="N73" i="13"/>
  <c r="N104" i="13"/>
  <c r="N97" i="13"/>
  <c r="N84" i="13"/>
  <c r="N103" i="13"/>
  <c r="N96" i="13"/>
  <c r="N77" i="13"/>
  <c r="U115" i="13"/>
  <c r="U116" i="13"/>
  <c r="U113" i="13"/>
  <c r="N12" i="13"/>
  <c r="N19" i="13"/>
  <c r="N25" i="13"/>
  <c r="N69" i="13"/>
  <c r="U111" i="13"/>
  <c r="U12" i="13"/>
  <c r="U19" i="13"/>
  <c r="U25" i="13"/>
  <c r="U44" i="13"/>
  <c r="U51" i="13"/>
  <c r="N99" i="13"/>
  <c r="U29" i="14"/>
  <c r="E41" i="14"/>
  <c r="AE41" i="14"/>
  <c r="N16" i="13"/>
  <c r="N23" i="13"/>
  <c r="AC44" i="13"/>
  <c r="AC51" i="13"/>
  <c r="N74" i="13"/>
  <c r="N79" i="13"/>
  <c r="AC110" i="13"/>
  <c r="AC112" i="13"/>
  <c r="AC116" i="13"/>
  <c r="AC109" i="13"/>
  <c r="AC113" i="13"/>
  <c r="AC115" i="13"/>
  <c r="S21" i="14"/>
  <c r="K26" i="14"/>
  <c r="AE38" i="14"/>
  <c r="U30" i="14"/>
  <c r="U22" i="14"/>
  <c r="W38" i="14"/>
  <c r="S30" i="14"/>
  <c r="Z28" i="14"/>
  <c r="S22" i="14"/>
  <c r="Z20" i="14"/>
  <c r="U28" i="14"/>
  <c r="U20" i="14"/>
  <c r="AE40" i="14"/>
  <c r="U31" i="14"/>
  <c r="U23" i="14"/>
  <c r="U16" i="14"/>
  <c r="AE39" i="14"/>
  <c r="U27" i="14"/>
  <c r="U19" i="14"/>
  <c r="W39" i="14"/>
  <c r="Z32" i="14"/>
  <c r="S27" i="14"/>
  <c r="Z25" i="14"/>
  <c r="S19" i="14"/>
  <c r="Z17" i="14"/>
  <c r="U16" i="13"/>
  <c r="U23" i="13"/>
  <c r="F38" i="13"/>
  <c r="U41" i="13"/>
  <c r="F45" i="13"/>
  <c r="U49" i="13"/>
  <c r="F54" i="13"/>
  <c r="N66" i="13"/>
  <c r="N70" i="13"/>
  <c r="F112" i="13"/>
  <c r="F114" i="13"/>
  <c r="F116" i="13"/>
  <c r="F115" i="13"/>
  <c r="F110" i="13"/>
  <c r="N100" i="13"/>
  <c r="N106" i="13"/>
  <c r="U21" i="14"/>
  <c r="S26" i="14"/>
  <c r="W43" i="14"/>
  <c r="N13" i="13"/>
  <c r="AC16" i="13"/>
  <c r="N21" i="13"/>
  <c r="AC23" i="13"/>
  <c r="N28" i="13"/>
  <c r="AC41" i="13"/>
  <c r="AC49" i="13"/>
  <c r="U56" i="13"/>
  <c r="AC71" i="13"/>
  <c r="AC75" i="13"/>
  <c r="AC85" i="13"/>
  <c r="K18" i="14"/>
  <c r="U26" i="14"/>
  <c r="K30" i="14"/>
  <c r="AE43" i="14"/>
  <c r="U13" i="13"/>
  <c r="U21" i="13"/>
  <c r="U38" i="13"/>
  <c r="F42" i="13"/>
  <c r="U45" i="13"/>
  <c r="F52" i="13"/>
  <c r="AC56" i="13"/>
  <c r="AC67" i="13"/>
  <c r="N107" i="13"/>
  <c r="U112" i="13"/>
  <c r="S18" i="14"/>
  <c r="N10" i="13"/>
  <c r="AC13" i="13"/>
  <c r="N17" i="13"/>
  <c r="AC21" i="13"/>
  <c r="N26" i="13"/>
  <c r="AC38" i="13"/>
  <c r="AC45" i="13"/>
  <c r="N52" i="13"/>
  <c r="N67" i="13"/>
  <c r="N71" i="13"/>
  <c r="N75" i="13"/>
  <c r="AC80" i="13"/>
  <c r="N82" i="13"/>
  <c r="N101" i="13"/>
  <c r="U109" i="13"/>
  <c r="E39" i="14"/>
  <c r="U18" i="14"/>
  <c r="K22" i="14"/>
  <c r="U10" i="13"/>
  <c r="F14" i="13"/>
  <c r="U17" i="13"/>
  <c r="U28" i="13"/>
  <c r="F39" i="13"/>
  <c r="U42" i="13"/>
  <c r="F46" i="13"/>
  <c r="F50" i="13"/>
  <c r="AC54" i="13"/>
  <c r="AC96" i="13"/>
  <c r="F109" i="13"/>
  <c r="Z27" i="14"/>
  <c r="L31" i="14"/>
  <c r="AC10" i="13"/>
  <c r="N14" i="13"/>
  <c r="AC17" i="13"/>
  <c r="N24" i="13"/>
  <c r="AC28" i="13"/>
  <c r="AC42" i="13"/>
  <c r="F55" i="13"/>
  <c r="AC68" i="13"/>
  <c r="AC72" i="13"/>
  <c r="AC76" i="13"/>
  <c r="F83" i="13"/>
  <c r="F113" i="13"/>
  <c r="W42" i="14"/>
  <c r="R31" i="14"/>
  <c r="U14" i="13"/>
  <c r="U39" i="13"/>
  <c r="U46" i="13"/>
  <c r="U52" i="13"/>
  <c r="AC106" i="13"/>
  <c r="AC99" i="13"/>
  <c r="AC102" i="13"/>
  <c r="AC83" i="13"/>
  <c r="AC77" i="13"/>
  <c r="AC70" i="13"/>
  <c r="AC101" i="13"/>
  <c r="AC107" i="13"/>
  <c r="AC100" i="13"/>
  <c r="N83" i="13"/>
  <c r="AC97" i="13"/>
  <c r="AC103" i="13"/>
  <c r="Z19" i="14"/>
  <c r="L23" i="14"/>
  <c r="Z31" i="14"/>
  <c r="W36" i="14"/>
  <c r="N11" i="13"/>
  <c r="AC14" i="13"/>
  <c r="N18" i="13"/>
  <c r="AC39" i="13"/>
  <c r="AC46" i="13"/>
  <c r="U55" i="13"/>
  <c r="F106" i="13"/>
  <c r="F99" i="13"/>
  <c r="F81" i="13"/>
  <c r="F74" i="13"/>
  <c r="F67" i="13"/>
  <c r="F103" i="13"/>
  <c r="F96" i="13"/>
  <c r="N68" i="13"/>
  <c r="N72" i="13"/>
  <c r="N76" i="13"/>
  <c r="F97" i="13"/>
  <c r="R23" i="14"/>
  <c r="L28" i="14"/>
  <c r="AE36" i="14"/>
  <c r="N112" i="13"/>
  <c r="U17" i="14"/>
  <c r="R19" i="14"/>
  <c r="K21" i="14"/>
  <c r="U25" i="14"/>
  <c r="R27" i="14"/>
  <c r="K29" i="14"/>
  <c r="U32" i="14"/>
  <c r="AJ33" i="14"/>
  <c r="M39" i="14"/>
  <c r="AE42" i="14"/>
  <c r="U100" i="13"/>
  <c r="U107" i="13"/>
  <c r="L21" i="14"/>
  <c r="L29" i="14"/>
  <c r="E36" i="14"/>
  <c r="E43" i="14"/>
  <c r="N110" i="13"/>
  <c r="N115" i="13"/>
  <c r="K16" i="14"/>
  <c r="R21" i="14"/>
  <c r="K23" i="14"/>
  <c r="R29" i="14"/>
  <c r="K31" i="14"/>
  <c r="M36" i="14"/>
  <c r="M43" i="14"/>
  <c r="S16" i="14"/>
  <c r="L18" i="14"/>
  <c r="Z21" i="14"/>
  <c r="S23" i="14"/>
  <c r="L26" i="14"/>
  <c r="Z29" i="14"/>
  <c r="S31" i="14"/>
  <c r="E37" i="14"/>
  <c r="W40" i="14"/>
  <c r="N111" i="13"/>
  <c r="R18" i="14"/>
  <c r="K20" i="14"/>
  <c r="R26" i="14"/>
  <c r="K28" i="14"/>
  <c r="M37" i="14"/>
  <c r="Z18" i="14"/>
  <c r="S20" i="14"/>
  <c r="L22" i="14"/>
  <c r="Z26" i="14"/>
  <c r="S28" i="14"/>
  <c r="L30" i="14"/>
  <c r="E38" i="14"/>
  <c r="W41" i="14"/>
  <c r="N116" i="13"/>
  <c r="K17" i="14"/>
  <c r="R22" i="14"/>
  <c r="K25" i="14"/>
  <c r="R30" i="14"/>
  <c r="K32" i="14"/>
  <c r="M38" i="14"/>
  <c r="L17" i="14"/>
  <c r="L25" i="14"/>
  <c r="L32" i="14"/>
  <c r="E42" i="14"/>
  <c r="R17" i="14"/>
  <c r="K19" i="14"/>
  <c r="R25" i="14"/>
  <c r="K27" i="14"/>
  <c r="R32" i="14"/>
  <c r="M42" i="14"/>
  <c r="U71" i="13"/>
  <c r="U79" i="13"/>
  <c r="U86" i="13"/>
  <c r="U96" i="13"/>
  <c r="S17" i="14"/>
  <c r="L19" i="14"/>
  <c r="Z22" i="14"/>
  <c r="S25" i="14"/>
  <c r="L27" i="14"/>
  <c r="Z30" i="14"/>
  <c r="S32" i="14"/>
  <c r="N75" i="11" l="1"/>
  <c r="N87" i="11"/>
  <c r="N73" i="11"/>
  <c r="N88" i="11"/>
  <c r="U60" i="9"/>
  <c r="N82" i="11"/>
  <c r="U50" i="9"/>
  <c r="U58" i="9"/>
  <c r="U68" i="11"/>
  <c r="U77" i="11" s="1"/>
  <c r="U48" i="9"/>
  <c r="N74" i="11"/>
  <c r="N84" i="11"/>
  <c r="U56" i="9"/>
  <c r="U44" i="9"/>
  <c r="U54" i="9"/>
  <c r="U59" i="9"/>
  <c r="U43" i="9"/>
  <c r="N79" i="11"/>
  <c r="N76" i="11"/>
  <c r="N85" i="11"/>
  <c r="N77" i="11"/>
  <c r="N72" i="11"/>
  <c r="N80" i="11"/>
  <c r="F10" i="11"/>
  <c r="F27" i="11" s="1"/>
  <c r="AC10" i="11"/>
  <c r="AC28" i="11" s="1"/>
  <c r="N81" i="11"/>
  <c r="N86" i="11"/>
  <c r="N78" i="11"/>
  <c r="U49" i="9"/>
  <c r="AC55" i="8"/>
  <c r="AC56" i="8"/>
  <c r="U39" i="10"/>
  <c r="U52" i="10" s="1"/>
  <c r="AC60" i="8"/>
  <c r="AC49" i="8"/>
  <c r="AC53" i="8"/>
  <c r="AC45" i="8"/>
  <c r="AC52" i="8"/>
  <c r="U55" i="9"/>
  <c r="AC57" i="8"/>
  <c r="U46" i="9"/>
  <c r="AC68" i="11"/>
  <c r="AC78" i="11" s="1"/>
  <c r="AC48" i="8"/>
  <c r="N89" i="11"/>
  <c r="U53" i="9"/>
  <c r="AC50" i="8"/>
  <c r="AC47" i="8"/>
  <c r="AC43" i="8"/>
  <c r="AC59" i="8"/>
  <c r="U45" i="9"/>
  <c r="U52" i="9"/>
  <c r="U57" i="9"/>
  <c r="AC46" i="8"/>
  <c r="AC10" i="8"/>
  <c r="AC26" i="8" s="1"/>
  <c r="AC44" i="8"/>
  <c r="U68" i="8"/>
  <c r="U72" i="8" s="1"/>
  <c r="AC51" i="8"/>
  <c r="AC54" i="8"/>
  <c r="F39" i="11"/>
  <c r="F43" i="11" s="1"/>
  <c r="U51" i="9"/>
  <c r="AC10" i="9"/>
  <c r="AC29" i="9" s="1"/>
  <c r="N10" i="10"/>
  <c r="N20" i="10" s="1"/>
  <c r="F43" i="9"/>
  <c r="F48" i="9"/>
  <c r="F46" i="9"/>
  <c r="F50" i="9"/>
  <c r="F57" i="9"/>
  <c r="F56" i="9"/>
  <c r="F51" i="9"/>
  <c r="F49" i="9"/>
  <c r="F54" i="9"/>
  <c r="F55" i="9"/>
  <c r="F53" i="9"/>
  <c r="F60" i="9"/>
  <c r="F58" i="9"/>
  <c r="F59" i="9"/>
  <c r="F47" i="9"/>
  <c r="F45" i="9"/>
  <c r="F52" i="9"/>
  <c r="AO50" i="7"/>
  <c r="AP50" i="7"/>
  <c r="AQ50" i="7"/>
  <c r="F88" i="10"/>
  <c r="F77" i="10"/>
  <c r="F83" i="10"/>
  <c r="F80" i="10"/>
  <c r="F73" i="10"/>
  <c r="F85" i="10"/>
  <c r="F76" i="10"/>
  <c r="F87" i="10"/>
  <c r="F79" i="10"/>
  <c r="F72" i="10"/>
  <c r="F89" i="10"/>
  <c r="F82" i="10"/>
  <c r="F75" i="10"/>
  <c r="F84" i="10"/>
  <c r="F78" i="10"/>
  <c r="F86" i="10"/>
  <c r="F81" i="10"/>
  <c r="F74" i="10"/>
  <c r="AO48" i="7"/>
  <c r="AR48" i="7" s="1"/>
  <c r="U24" i="8"/>
  <c r="U31" i="8"/>
  <c r="U21" i="8"/>
  <c r="U14" i="8"/>
  <c r="U16" i="8"/>
  <c r="U20" i="8"/>
  <c r="U23" i="8"/>
  <c r="U19" i="8"/>
  <c r="U15" i="8"/>
  <c r="U28" i="8"/>
  <c r="U25" i="8"/>
  <c r="U22" i="8"/>
  <c r="U18" i="8"/>
  <c r="U17" i="8"/>
  <c r="U27" i="8"/>
  <c r="U30" i="8"/>
  <c r="U26" i="8"/>
  <c r="U29" i="8"/>
  <c r="N74" i="7"/>
  <c r="AO70" i="7"/>
  <c r="AC87" i="10"/>
  <c r="AC76" i="10"/>
  <c r="AC89" i="10"/>
  <c r="AC79" i="10"/>
  <c r="AC72" i="10"/>
  <c r="AC82" i="10"/>
  <c r="AC75" i="10"/>
  <c r="AC84" i="10"/>
  <c r="AC78" i="10"/>
  <c r="AC86" i="10"/>
  <c r="AC81" i="10"/>
  <c r="AC74" i="10"/>
  <c r="AC85" i="10"/>
  <c r="AC80" i="10"/>
  <c r="AC73" i="10"/>
  <c r="AC88" i="10"/>
  <c r="AC77" i="10"/>
  <c r="AC83" i="10"/>
  <c r="N54" i="10"/>
  <c r="N51" i="10"/>
  <c r="N44" i="10"/>
  <c r="N56" i="10"/>
  <c r="N47" i="10"/>
  <c r="N58" i="10"/>
  <c r="N50" i="10"/>
  <c r="N43" i="10"/>
  <c r="N60" i="10"/>
  <c r="N53" i="10"/>
  <c r="N46" i="10"/>
  <c r="N55" i="10"/>
  <c r="N49" i="10"/>
  <c r="N59" i="10"/>
  <c r="N48" i="10"/>
  <c r="N52" i="10"/>
  <c r="N57" i="10"/>
  <c r="N45" i="10"/>
  <c r="Q62" i="7"/>
  <c r="AR74" i="7"/>
  <c r="AR54" i="7"/>
  <c r="AC88" i="9"/>
  <c r="AC83" i="9"/>
  <c r="AC77" i="9"/>
  <c r="AC85" i="9"/>
  <c r="AC80" i="9"/>
  <c r="AC73" i="9"/>
  <c r="AC87" i="9"/>
  <c r="AC76" i="9"/>
  <c r="AC89" i="9"/>
  <c r="AC79" i="9"/>
  <c r="AC72" i="9"/>
  <c r="AC82" i="9"/>
  <c r="AC75" i="9"/>
  <c r="AC86" i="9"/>
  <c r="AC81" i="9"/>
  <c r="AC74" i="9"/>
  <c r="AC78" i="9"/>
  <c r="AC84" i="9"/>
  <c r="F59" i="10"/>
  <c r="F48" i="10"/>
  <c r="F54" i="10"/>
  <c r="F51" i="10"/>
  <c r="F44" i="10"/>
  <c r="F56" i="10"/>
  <c r="F47" i="10"/>
  <c r="F58" i="10"/>
  <c r="F50" i="10"/>
  <c r="F43" i="10"/>
  <c r="F60" i="10"/>
  <c r="F53" i="10"/>
  <c r="F46" i="10"/>
  <c r="F55" i="10"/>
  <c r="F49" i="10"/>
  <c r="F57" i="10"/>
  <c r="F52" i="10"/>
  <c r="F45" i="10"/>
  <c r="P74" i="7"/>
  <c r="AC84" i="8"/>
  <c r="AC78" i="8"/>
  <c r="AC86" i="8"/>
  <c r="AC81" i="8"/>
  <c r="AC74" i="8"/>
  <c r="AC87" i="8"/>
  <c r="AC79" i="8"/>
  <c r="AC72" i="8"/>
  <c r="AC83" i="8"/>
  <c r="AC85" i="8"/>
  <c r="AC82" i="8"/>
  <c r="AC75" i="8"/>
  <c r="AC73" i="8"/>
  <c r="AC88" i="8"/>
  <c r="AC80" i="8"/>
  <c r="AC77" i="8"/>
  <c r="AC76" i="8"/>
  <c r="AC89" i="8"/>
  <c r="O74" i="7"/>
  <c r="F58" i="8"/>
  <c r="F50" i="8"/>
  <c r="F43" i="8"/>
  <c r="F60" i="8"/>
  <c r="F59" i="8"/>
  <c r="F56" i="8"/>
  <c r="F47" i="8"/>
  <c r="F54" i="8"/>
  <c r="F45" i="8"/>
  <c r="F53" i="8"/>
  <c r="F55" i="8"/>
  <c r="F52" i="8"/>
  <c r="F51" i="8"/>
  <c r="F57" i="8"/>
  <c r="F49" i="8"/>
  <c r="F46" i="8"/>
  <c r="F48" i="8"/>
  <c r="F44" i="8"/>
  <c r="AC59" i="9"/>
  <c r="AC54" i="9"/>
  <c r="AC48" i="9"/>
  <c r="AC56" i="9"/>
  <c r="AC51" i="9"/>
  <c r="AC44" i="9"/>
  <c r="AC58" i="9"/>
  <c r="AC60" i="9"/>
  <c r="AC53" i="9"/>
  <c r="AC46" i="9"/>
  <c r="AC57" i="9"/>
  <c r="AC52" i="9"/>
  <c r="AC45" i="9"/>
  <c r="AC43" i="9"/>
  <c r="AC50" i="9"/>
  <c r="AC55" i="9"/>
  <c r="AC49" i="9"/>
  <c r="AC47" i="9"/>
  <c r="Q64" i="7"/>
  <c r="O70" i="7"/>
  <c r="N70" i="7"/>
  <c r="M70" i="7"/>
  <c r="P70" i="7" s="1"/>
  <c r="U27" i="10"/>
  <c r="U22" i="10"/>
  <c r="U15" i="10"/>
  <c r="U29" i="10"/>
  <c r="U18" i="10"/>
  <c r="U31" i="10"/>
  <c r="U21" i="10"/>
  <c r="U14" i="10"/>
  <c r="U24" i="10"/>
  <c r="U17" i="10"/>
  <c r="U26" i="10"/>
  <c r="U20" i="10"/>
  <c r="U28" i="10"/>
  <c r="U23" i="10"/>
  <c r="U16" i="10"/>
  <c r="U30" i="10"/>
  <c r="U25" i="10"/>
  <c r="U19" i="10"/>
  <c r="N26" i="8"/>
  <c r="N20" i="8"/>
  <c r="N30" i="8"/>
  <c r="N27" i="8"/>
  <c r="N16" i="8"/>
  <c r="N31" i="8"/>
  <c r="N25" i="8"/>
  <c r="N14" i="8"/>
  <c r="N28" i="8"/>
  <c r="N22" i="8"/>
  <c r="N18" i="8"/>
  <c r="N29" i="8"/>
  <c r="N24" i="8"/>
  <c r="N23" i="8"/>
  <c r="N17" i="8"/>
  <c r="N15" i="8"/>
  <c r="N19" i="8"/>
  <c r="N21" i="8"/>
  <c r="AP70" i="7"/>
  <c r="AQ64" i="7"/>
  <c r="AP64" i="7"/>
  <c r="AO64" i="7"/>
  <c r="AR64" i="7" s="1"/>
  <c r="M54" i="7"/>
  <c r="N54" i="7"/>
  <c r="O54" i="7"/>
  <c r="U85" i="10"/>
  <c r="U80" i="10"/>
  <c r="U73" i="10"/>
  <c r="U87" i="10"/>
  <c r="U76" i="10"/>
  <c r="U89" i="10"/>
  <c r="U79" i="10"/>
  <c r="U72" i="10"/>
  <c r="U82" i="10"/>
  <c r="U75" i="10"/>
  <c r="U84" i="10"/>
  <c r="U78" i="10"/>
  <c r="U86" i="10"/>
  <c r="U81" i="10"/>
  <c r="U74" i="10"/>
  <c r="U88" i="10"/>
  <c r="U83" i="10"/>
  <c r="U77" i="10"/>
  <c r="U89" i="11"/>
  <c r="U88" i="11"/>
  <c r="U80" i="11"/>
  <c r="N89" i="8"/>
  <c r="N82" i="8"/>
  <c r="N75" i="8"/>
  <c r="N84" i="8"/>
  <c r="N78" i="8"/>
  <c r="N79" i="8"/>
  <c r="N72" i="8"/>
  <c r="N87" i="8"/>
  <c r="N83" i="8"/>
  <c r="N77" i="8"/>
  <c r="N85" i="8"/>
  <c r="N81" i="8"/>
  <c r="N74" i="8"/>
  <c r="N88" i="8"/>
  <c r="N80" i="8"/>
  <c r="N76" i="8"/>
  <c r="N73" i="8"/>
  <c r="N86" i="8"/>
  <c r="AP62" i="7"/>
  <c r="AQ62" i="7"/>
  <c r="AO62" i="7"/>
  <c r="AO58" i="7"/>
  <c r="AQ58" i="7"/>
  <c r="AP58" i="7"/>
  <c r="AC58" i="10"/>
  <c r="AC47" i="10"/>
  <c r="AC60" i="10"/>
  <c r="AC50" i="10"/>
  <c r="AC43" i="10"/>
  <c r="AC53" i="10"/>
  <c r="AC46" i="10"/>
  <c r="AC55" i="10"/>
  <c r="AC49" i="10"/>
  <c r="AC57" i="10"/>
  <c r="AC52" i="10"/>
  <c r="AC45" i="10"/>
  <c r="AC56" i="10"/>
  <c r="AC51" i="10"/>
  <c r="AC44" i="10"/>
  <c r="AC59" i="10"/>
  <c r="AC48" i="10"/>
  <c r="AC54" i="10"/>
  <c r="AP66" i="7"/>
  <c r="AC53" i="11"/>
  <c r="AC46" i="11"/>
  <c r="AC55" i="11"/>
  <c r="AC49" i="11"/>
  <c r="AC57" i="11"/>
  <c r="AC52" i="11"/>
  <c r="AC45" i="11"/>
  <c r="AC59" i="11"/>
  <c r="AC54" i="11"/>
  <c r="AC48" i="11"/>
  <c r="AC56" i="11"/>
  <c r="AC51" i="11"/>
  <c r="AC44" i="11"/>
  <c r="AC58" i="11"/>
  <c r="AC60" i="11"/>
  <c r="AC50" i="11"/>
  <c r="AC43" i="11"/>
  <c r="AC47" i="11"/>
  <c r="F84" i="9"/>
  <c r="F78" i="9"/>
  <c r="F86" i="9"/>
  <c r="F81" i="9"/>
  <c r="F74" i="9"/>
  <c r="F88" i="9"/>
  <c r="F83" i="9"/>
  <c r="F80" i="9"/>
  <c r="F73" i="9"/>
  <c r="F85" i="9"/>
  <c r="F76" i="9"/>
  <c r="F87" i="9"/>
  <c r="F79" i="9"/>
  <c r="F72" i="9"/>
  <c r="F89" i="9"/>
  <c r="F82" i="9"/>
  <c r="F75" i="9"/>
  <c r="F77" i="9"/>
  <c r="AO72" i="7"/>
  <c r="AR72" i="7" s="1"/>
  <c r="AQ72" i="7"/>
  <c r="AP72" i="7"/>
  <c r="P66" i="7"/>
  <c r="Q66" i="7" s="1"/>
  <c r="AO66" i="7"/>
  <c r="F87" i="8"/>
  <c r="F79" i="8"/>
  <c r="F72" i="8"/>
  <c r="F89" i="8"/>
  <c r="F82" i="8"/>
  <c r="F75" i="8"/>
  <c r="F88" i="8"/>
  <c r="F77" i="8"/>
  <c r="F83" i="8"/>
  <c r="F80" i="8"/>
  <c r="F73" i="8"/>
  <c r="F85" i="8"/>
  <c r="F76" i="8"/>
  <c r="F84" i="8"/>
  <c r="F78" i="8"/>
  <c r="F74" i="8"/>
  <c r="F81" i="8"/>
  <c r="F86" i="8"/>
  <c r="N57" i="9"/>
  <c r="N52" i="9"/>
  <c r="N45" i="9"/>
  <c r="N59" i="9"/>
  <c r="N48" i="9"/>
  <c r="N56" i="9"/>
  <c r="N58" i="9"/>
  <c r="N50" i="9"/>
  <c r="N43" i="9"/>
  <c r="N55" i="9"/>
  <c r="N49" i="9"/>
  <c r="N47" i="9"/>
  <c r="N54" i="9"/>
  <c r="N46" i="9"/>
  <c r="N53" i="9"/>
  <c r="N51" i="9"/>
  <c r="N44" i="9"/>
  <c r="N60" i="9"/>
  <c r="M72" i="7"/>
  <c r="O72" i="7"/>
  <c r="N72" i="7"/>
  <c r="N60" i="8"/>
  <c r="N55" i="8"/>
  <c r="N49" i="8"/>
  <c r="N50" i="8"/>
  <c r="N45" i="8"/>
  <c r="N44" i="8"/>
  <c r="N58" i="8"/>
  <c r="N43" i="8"/>
  <c r="N51" i="8"/>
  <c r="N57" i="8"/>
  <c r="N46" i="8"/>
  <c r="N47" i="8"/>
  <c r="N53" i="8"/>
  <c r="N52" i="8"/>
  <c r="N56" i="8"/>
  <c r="N54" i="8"/>
  <c r="N48" i="8"/>
  <c r="N59" i="8"/>
  <c r="N29" i="11"/>
  <c r="N21" i="11"/>
  <c r="N14" i="11"/>
  <c r="N31" i="11"/>
  <c r="N24" i="11"/>
  <c r="N17" i="11"/>
  <c r="N26" i="11"/>
  <c r="N20" i="11"/>
  <c r="N28" i="11"/>
  <c r="N23" i="11"/>
  <c r="N16" i="11"/>
  <c r="N30" i="11"/>
  <c r="N19" i="11"/>
  <c r="N27" i="11"/>
  <c r="N18" i="11"/>
  <c r="N22" i="11"/>
  <c r="N25" i="11"/>
  <c r="N15" i="11"/>
  <c r="O50" i="7"/>
  <c r="N50" i="7"/>
  <c r="M50" i="7"/>
  <c r="P50" i="7" s="1"/>
  <c r="Q50" i="7" s="1"/>
  <c r="N56" i="7"/>
  <c r="M56" i="7"/>
  <c r="P56" i="7" s="1"/>
  <c r="O56" i="7"/>
  <c r="F85" i="11"/>
  <c r="F76" i="11"/>
  <c r="F87" i="11"/>
  <c r="F79" i="11"/>
  <c r="F72" i="11"/>
  <c r="F89" i="11"/>
  <c r="F82" i="11"/>
  <c r="F75" i="11"/>
  <c r="F84" i="11"/>
  <c r="F78" i="11"/>
  <c r="F86" i="11"/>
  <c r="F81" i="11"/>
  <c r="F74" i="11"/>
  <c r="F88" i="11"/>
  <c r="F77" i="11"/>
  <c r="F83" i="11"/>
  <c r="F80" i="11"/>
  <c r="F73" i="11"/>
  <c r="N83" i="10"/>
  <c r="N80" i="10"/>
  <c r="N73" i="10"/>
  <c r="N85" i="10"/>
  <c r="N76" i="10"/>
  <c r="N87" i="10"/>
  <c r="N79" i="10"/>
  <c r="N72" i="10"/>
  <c r="N89" i="10"/>
  <c r="N82" i="10"/>
  <c r="N75" i="10"/>
  <c r="N84" i="10"/>
  <c r="N78" i="10"/>
  <c r="N88" i="10"/>
  <c r="N77" i="10"/>
  <c r="N81" i="10"/>
  <c r="N86" i="10"/>
  <c r="N74" i="10"/>
  <c r="N58" i="11"/>
  <c r="N50" i="11"/>
  <c r="N43" i="11"/>
  <c r="N60" i="11"/>
  <c r="N53" i="11"/>
  <c r="N46" i="11"/>
  <c r="N55" i="11"/>
  <c r="N49" i="11"/>
  <c r="N57" i="11"/>
  <c r="N52" i="11"/>
  <c r="N45" i="11"/>
  <c r="N59" i="11"/>
  <c r="N48" i="11"/>
  <c r="N56" i="11"/>
  <c r="N47" i="11"/>
  <c r="N51" i="11"/>
  <c r="N44" i="11"/>
  <c r="N54" i="11"/>
  <c r="F30" i="10"/>
  <c r="F19" i="10"/>
  <c r="F25" i="10"/>
  <c r="F22" i="10"/>
  <c r="F15" i="10"/>
  <c r="F27" i="10"/>
  <c r="F18" i="10"/>
  <c r="F29" i="10"/>
  <c r="F21" i="10"/>
  <c r="F14" i="10"/>
  <c r="F31" i="10"/>
  <c r="F24" i="10"/>
  <c r="F17" i="10"/>
  <c r="F26" i="10"/>
  <c r="F20" i="10"/>
  <c r="F28" i="10"/>
  <c r="F23" i="10"/>
  <c r="F16" i="10"/>
  <c r="U31" i="11"/>
  <c r="U21" i="11"/>
  <c r="U14" i="11"/>
  <c r="U24" i="11"/>
  <c r="U17" i="11"/>
  <c r="U26" i="11"/>
  <c r="U20" i="11"/>
  <c r="U28" i="11"/>
  <c r="U23" i="11"/>
  <c r="U16" i="11"/>
  <c r="U30" i="11"/>
  <c r="U25" i="11"/>
  <c r="U19" i="11"/>
  <c r="U27" i="11"/>
  <c r="U22" i="11"/>
  <c r="U15" i="11"/>
  <c r="U29" i="11"/>
  <c r="U18" i="11"/>
  <c r="AC29" i="10"/>
  <c r="AC18" i="10"/>
  <c r="AC31" i="10"/>
  <c r="AC21" i="10"/>
  <c r="AC14" i="10"/>
  <c r="AC24" i="10"/>
  <c r="AC17" i="10"/>
  <c r="AC26" i="10"/>
  <c r="AC20" i="10"/>
  <c r="AC28" i="10"/>
  <c r="AC23" i="10"/>
  <c r="AC16" i="10"/>
  <c r="AC27" i="10"/>
  <c r="AC22" i="10"/>
  <c r="AC15" i="10"/>
  <c r="AC30" i="10"/>
  <c r="AC19" i="10"/>
  <c r="AC25" i="10"/>
  <c r="U60" i="11"/>
  <c r="U50" i="11"/>
  <c r="U43" i="11"/>
  <c r="U53" i="11"/>
  <c r="U46" i="11"/>
  <c r="U55" i="11"/>
  <c r="U49" i="11"/>
  <c r="U57" i="11"/>
  <c r="U52" i="11"/>
  <c r="U45" i="11"/>
  <c r="U59" i="11"/>
  <c r="U54" i="11"/>
  <c r="U48" i="11"/>
  <c r="U56" i="11"/>
  <c r="U51" i="11"/>
  <c r="U44" i="11"/>
  <c r="U58" i="11"/>
  <c r="U47" i="11"/>
  <c r="N58" i="7"/>
  <c r="O58" i="7"/>
  <c r="M58" i="7"/>
  <c r="F26" i="9"/>
  <c r="F20" i="9"/>
  <c r="F28" i="9"/>
  <c r="F23" i="9"/>
  <c r="F16" i="9"/>
  <c r="F27" i="9"/>
  <c r="F18" i="9"/>
  <c r="F29" i="9"/>
  <c r="F21" i="9"/>
  <c r="F14" i="9"/>
  <c r="F31" i="9"/>
  <c r="F24" i="9"/>
  <c r="F17" i="9"/>
  <c r="F22" i="9"/>
  <c r="F25" i="9"/>
  <c r="F15" i="9"/>
  <c r="F30" i="9"/>
  <c r="F19" i="9"/>
  <c r="U53" i="8"/>
  <c r="U46" i="8"/>
  <c r="U56" i="8"/>
  <c r="U58" i="8"/>
  <c r="U60" i="8"/>
  <c r="U50" i="8"/>
  <c r="U43" i="8"/>
  <c r="U45" i="8"/>
  <c r="U49" i="8"/>
  <c r="U48" i="8"/>
  <c r="U47" i="8"/>
  <c r="U57" i="8"/>
  <c r="U54" i="8"/>
  <c r="U51" i="8"/>
  <c r="U52" i="8"/>
  <c r="U55" i="8"/>
  <c r="U44" i="8"/>
  <c r="U59" i="8"/>
  <c r="AQ74" i="7"/>
  <c r="N86" i="9"/>
  <c r="N81" i="9"/>
  <c r="N74" i="9"/>
  <c r="N88" i="9"/>
  <c r="N77" i="9"/>
  <c r="N83" i="9"/>
  <c r="N80" i="9"/>
  <c r="N73" i="9"/>
  <c r="N85" i="9"/>
  <c r="N76" i="9"/>
  <c r="N87" i="9"/>
  <c r="N79" i="9"/>
  <c r="N72" i="9"/>
  <c r="N84" i="9"/>
  <c r="N78" i="9"/>
  <c r="N75" i="9"/>
  <c r="N82" i="9"/>
  <c r="N89" i="9"/>
  <c r="O48" i="7"/>
  <c r="N48" i="7"/>
  <c r="M48" i="7"/>
  <c r="P48" i="7" s="1"/>
  <c r="U87" i="11" l="1"/>
  <c r="U72" i="11"/>
  <c r="F24" i="11"/>
  <c r="U74" i="11"/>
  <c r="U81" i="11"/>
  <c r="U86" i="11"/>
  <c r="U78" i="11"/>
  <c r="U83" i="11"/>
  <c r="U84" i="11"/>
  <c r="U75" i="11"/>
  <c r="U76" i="11"/>
  <c r="U82" i="11"/>
  <c r="U73" i="11"/>
  <c r="U79" i="11"/>
  <c r="U85" i="11"/>
  <c r="F17" i="11"/>
  <c r="U44" i="10"/>
  <c r="AC22" i="11"/>
  <c r="AC84" i="11"/>
  <c r="U58" i="10"/>
  <c r="U51" i="10"/>
  <c r="AC15" i="11"/>
  <c r="U48" i="10"/>
  <c r="F23" i="11"/>
  <c r="AC76" i="11"/>
  <c r="U54" i="10"/>
  <c r="F28" i="11"/>
  <c r="AC82" i="11"/>
  <c r="AC27" i="11"/>
  <c r="AC30" i="11"/>
  <c r="AC24" i="9"/>
  <c r="AC75" i="11"/>
  <c r="N22" i="10"/>
  <c r="F16" i="11"/>
  <c r="F14" i="11"/>
  <c r="AC31" i="11"/>
  <c r="F30" i="11"/>
  <c r="F20" i="11"/>
  <c r="AC19" i="11"/>
  <c r="AC25" i="11"/>
  <c r="F26" i="11"/>
  <c r="F52" i="11"/>
  <c r="AC19" i="8"/>
  <c r="F57" i="11"/>
  <c r="AC23" i="11"/>
  <c r="F31" i="11"/>
  <c r="AC20" i="11"/>
  <c r="AC18" i="11"/>
  <c r="AC26" i="11"/>
  <c r="AC17" i="8"/>
  <c r="F15" i="11"/>
  <c r="F21" i="11"/>
  <c r="F55" i="11"/>
  <c r="AC29" i="11"/>
  <c r="AC17" i="11"/>
  <c r="AC21" i="8"/>
  <c r="F22" i="11"/>
  <c r="F29" i="11"/>
  <c r="F46" i="11"/>
  <c r="AC16" i="11"/>
  <c r="AC15" i="8"/>
  <c r="F49" i="11"/>
  <c r="AC14" i="11"/>
  <c r="AC24" i="11"/>
  <c r="AC31" i="8"/>
  <c r="F25" i="11"/>
  <c r="F18" i="11"/>
  <c r="F53" i="11"/>
  <c r="AC21" i="11"/>
  <c r="F19" i="11"/>
  <c r="F58" i="11"/>
  <c r="F50" i="11"/>
  <c r="AC14" i="9"/>
  <c r="U49" i="10"/>
  <c r="U55" i="10"/>
  <c r="U53" i="10"/>
  <c r="U57" i="10"/>
  <c r="U46" i="10"/>
  <c r="F44" i="11"/>
  <c r="F47" i="11"/>
  <c r="AC18" i="9"/>
  <c r="F51" i="11"/>
  <c r="F56" i="11"/>
  <c r="AC79" i="11"/>
  <c r="U43" i="10"/>
  <c r="F54" i="11"/>
  <c r="U84" i="8"/>
  <c r="AC89" i="11"/>
  <c r="U50" i="10"/>
  <c r="F48" i="11"/>
  <c r="N16" i="10"/>
  <c r="AC28" i="9"/>
  <c r="U59" i="10"/>
  <c r="U60" i="10"/>
  <c r="F59" i="11"/>
  <c r="N28" i="10"/>
  <c r="U47" i="10"/>
  <c r="F45" i="11"/>
  <c r="N23" i="10"/>
  <c r="AC87" i="11"/>
  <c r="U78" i="8"/>
  <c r="AC73" i="11"/>
  <c r="U73" i="8"/>
  <c r="AC80" i="11"/>
  <c r="AC85" i="11"/>
  <c r="AC29" i="8"/>
  <c r="U80" i="8"/>
  <c r="AC24" i="8"/>
  <c r="U79" i="8"/>
  <c r="U77" i="8"/>
  <c r="AC77" i="11"/>
  <c r="AC20" i="8"/>
  <c r="AC83" i="11"/>
  <c r="AC16" i="8"/>
  <c r="U88" i="8"/>
  <c r="AC88" i="11"/>
  <c r="AC23" i="8"/>
  <c r="U81" i="8"/>
  <c r="AC74" i="11"/>
  <c r="AC28" i="8"/>
  <c r="U74" i="8"/>
  <c r="AC81" i="11"/>
  <c r="N25" i="10"/>
  <c r="U87" i="8"/>
  <c r="AC86" i="11"/>
  <c r="U45" i="10"/>
  <c r="U56" i="10"/>
  <c r="U76" i="8"/>
  <c r="AC72" i="11"/>
  <c r="AC25" i="9"/>
  <c r="U83" i="8"/>
  <c r="U75" i="8"/>
  <c r="U86" i="8"/>
  <c r="U85" i="8"/>
  <c r="AC27" i="8"/>
  <c r="AC30" i="8"/>
  <c r="AC14" i="8"/>
  <c r="AC18" i="8"/>
  <c r="AC22" i="8"/>
  <c r="U82" i="8"/>
  <c r="AC25" i="8"/>
  <c r="U89" i="8"/>
  <c r="N14" i="10"/>
  <c r="F60" i="11"/>
  <c r="N27" i="10"/>
  <c r="N30" i="10"/>
  <c r="N26" i="10"/>
  <c r="N31" i="10"/>
  <c r="N15" i="10"/>
  <c r="AC30" i="9"/>
  <c r="N21" i="10"/>
  <c r="N18" i="10"/>
  <c r="AC16" i="9"/>
  <c r="AC22" i="9"/>
  <c r="N29" i="10"/>
  <c r="AC31" i="9"/>
  <c r="AC23" i="9"/>
  <c r="AC26" i="9"/>
  <c r="AC21" i="9"/>
  <c r="N19" i="10"/>
  <c r="AC27" i="9"/>
  <c r="N17" i="10"/>
  <c r="AC19" i="9"/>
  <c r="AC15" i="9"/>
  <c r="N24" i="10"/>
  <c r="AC20" i="9"/>
  <c r="AC17" i="9"/>
  <c r="Q70" i="7"/>
  <c r="P58" i="7"/>
  <c r="P54" i="7"/>
  <c r="Q54" i="7" s="1"/>
  <c r="AS48" i="7"/>
  <c r="Q46" i="7"/>
  <c r="AR66" i="7"/>
  <c r="AS66" i="7" s="1"/>
  <c r="P72" i="7"/>
  <c r="Q72" i="7" s="1"/>
  <c r="Q48" i="7"/>
  <c r="Q74" i="7"/>
  <c r="AR70" i="7"/>
  <c r="AS70" i="7" s="1"/>
  <c r="AR58" i="7"/>
  <c r="AR62" i="7"/>
  <c r="AS54" i="7"/>
  <c r="AR50" i="7"/>
  <c r="AS50" i="7" s="1"/>
  <c r="AS74" i="7"/>
  <c r="AS46" i="7"/>
  <c r="Q58" i="7" l="1"/>
  <c r="AS62" i="7"/>
  <c r="AS58" i="7"/>
  <c r="AS56" i="7"/>
  <c r="Q56" i="7"/>
  <c r="AS64" i="7"/>
  <c r="AS72" i="7"/>
</calcChain>
</file>

<file path=xl/sharedStrings.xml><?xml version="1.0" encoding="utf-8"?>
<sst xmlns="http://schemas.openxmlformats.org/spreadsheetml/2006/main" count="29698" uniqueCount="11951">
  <si>
    <t>抽選会及び監督(代表者)会議</t>
  </si>
  <si>
    <t>１．</t>
  </si>
  <si>
    <t>２．</t>
  </si>
  <si>
    <t>３．</t>
  </si>
  <si>
    <t>参加チーム</t>
  </si>
  <si>
    <t>チーム</t>
  </si>
  <si>
    <t>Aブロック（フリー）</t>
  </si>
  <si>
    <t>Bブロック（奇数）</t>
  </si>
  <si>
    <t>地　　区</t>
  </si>
  <si>
    <t>チーム名</t>
  </si>
  <si>
    <t>申込</t>
  </si>
  <si>
    <t>参加料</t>
  </si>
  <si>
    <t>出欠</t>
  </si>
  <si>
    <t>大分</t>
  </si>
  <si>
    <t>中津</t>
  </si>
  <si>
    <t>速杵国東</t>
  </si>
  <si>
    <t>別府</t>
  </si>
  <si>
    <t>日田/玖珠</t>
  </si>
  <si>
    <t>宇佐高田</t>
  </si>
  <si>
    <t>佐伯</t>
  </si>
  <si>
    <t>豊肥</t>
  </si>
  <si>
    <t>臼杵/津久見</t>
  </si>
  <si>
    <t>４．会議次第</t>
  </si>
  <si>
    <t>　①ジュニア委員長あいさつ</t>
  </si>
  <si>
    <t>　②要項の確認</t>
  </si>
  <si>
    <t>　③審判部より</t>
  </si>
  <si>
    <r>
      <t>　　・大会１日目（予選リーグ）は、帯同審判員を（</t>
    </r>
    <r>
      <rPr>
        <b/>
        <sz val="11"/>
        <color indexed="2"/>
        <rFont val="Meiryo UI"/>
        <family val="3"/>
        <charset val="128"/>
      </rPr>
      <t>３級以上</t>
    </r>
    <r>
      <rPr>
        <sz val="11"/>
        <rFont val="Meiryo UI"/>
        <family val="3"/>
        <charset val="128"/>
      </rPr>
      <t>）チームで帯同する。</t>
    </r>
  </si>
  <si>
    <r>
      <t>　　　</t>
    </r>
    <r>
      <rPr>
        <b/>
        <u/>
        <sz val="11"/>
        <rFont val="Meiryo UI"/>
        <family val="3"/>
        <charset val="128"/>
      </rPr>
      <t>※出場チームにて責任を持って準備する事。</t>
    </r>
  </si>
  <si>
    <t>　④質問、諸注意</t>
  </si>
  <si>
    <t>　⑤抽選</t>
  </si>
  <si>
    <t>５．その他</t>
  </si>
  <si>
    <t>　　②領収証は、｢振込みの際の領収証」にかえさせていただきます。</t>
  </si>
  <si>
    <r>
      <t>　　③大会期間中は、</t>
    </r>
    <r>
      <rPr>
        <u/>
        <sz val="11"/>
        <rFont val="Meiryo UI"/>
        <family val="3"/>
        <charset val="128"/>
      </rPr>
      <t>「駐車証」を」車内に表示するこ</t>
    </r>
    <r>
      <rPr>
        <sz val="11"/>
        <rFont val="Meiryo UI"/>
        <family val="3"/>
        <charset val="128"/>
      </rPr>
      <t>と。</t>
    </r>
  </si>
  <si>
    <t>　　④各会場にて、各パートの第1試合開始70分前に、各パートのマッチコーディネーションミーティング(MCM)を、3チーム同時に行います。</t>
  </si>
  <si>
    <t xml:space="preserve">       チーム代表者は必ずユニホームを持参(FP/GKの正副全て現物を。写真等不可。)にて参加願います。</t>
  </si>
  <si>
    <t>６．試合会場</t>
  </si>
  <si>
    <t>会場</t>
  </si>
  <si>
    <t>住所</t>
  </si>
  <si>
    <t>大分市大字松岡6841番地</t>
  </si>
  <si>
    <t>実施要項(案)</t>
  </si>
  <si>
    <t>(１)名　　  称</t>
  </si>
  <si>
    <t>(２)主　　  催</t>
  </si>
  <si>
    <t>一般社団法人大分県サッカー協会</t>
  </si>
  <si>
    <t>(３)主　  　管</t>
  </si>
  <si>
    <t>(一社)大分県サッカー協会4種委員会　</t>
  </si>
  <si>
    <t>(４)特別協賛</t>
  </si>
  <si>
    <t>公益社団法人全日本不動産協会大分県本部</t>
  </si>
  <si>
    <t>(５)協　　　賛</t>
  </si>
  <si>
    <t>(６)後　　  援</t>
  </si>
  <si>
    <t>大分合同新聞社，OBS大分放送局，TOSテレビ大分，OAB大分朝日放送，エフエム大分</t>
  </si>
  <si>
    <t>(７)期　　  日</t>
  </si>
  <si>
    <t>(８)会　　  場</t>
  </si>
  <si>
    <t>(９)参加資格</t>
  </si>
  <si>
    <t>①</t>
  </si>
  <si>
    <t>②</t>
  </si>
  <si>
    <t>大会実施年度に大分県サッカー協会に加盟登録(第4種)されたチームであること。</t>
  </si>
  <si>
    <t>③</t>
  </si>
  <si>
    <t>参加の申し込みは，監督1名を含む引率指導者5名，選手16名までとする。
引率指導者の中に，最低1名以上，日本サッカー協会公認D級以上の指導者資格を有する者が居ること。
(大会には資格証を持参すること。)</t>
  </si>
  <si>
    <t>④</t>
  </si>
  <si>
    <t>複数チームの出場を認めるが、同じ選手が違うチームで出場できない。その際，それぞれのチームに別々の指導者が帯同すること。同じ指導者がチームにまたがって登録することはできない。</t>
  </si>
  <si>
    <t>⑤</t>
  </si>
  <si>
    <t>スポーツ傷害保険に必ず加入していること。</t>
  </si>
  <si>
    <t>⑥</t>
  </si>
  <si>
    <t>各チームの指導者は，できるだけ多くの選手の出場機会を確保するよう努めるものとする。</t>
  </si>
  <si>
    <t xml:space="preserve">(10)試合方法 </t>
  </si>
  <si>
    <t>各地区予選を勝ち上がった24チームを8パートに分け、予選リーグを行う。予選リーグ各パート1位の8チーム
により決勝トーナメントを行い、優勝・準優勝・3位チームを決定する。　</t>
  </si>
  <si>
    <t>予選リーグは、その試合時間を30分(15-5-15)とし、その試合結果により、最上位のチームが決勝トーナメントへ出場する。</t>
  </si>
  <si>
    <t>予選リーグにおける順位は、勝ち点(勝3、引分1、負0)・当該対戦・PKの順で決定する。
予選リーグにおいて、3チーム共に同率時の場合は、3人制のPK方式にて2連勝したチームが次回戦進出とする。</t>
  </si>
  <si>
    <t>決勝トーナメントは、試合時間を30分(15-5-15)とし、勝敗の決しないときは3人制のPK戦を行う。
ただし、決勝戦のみ10分(5分-5分)の延長戦を行い、それでも勝敗が決しない場合3人制のPK戦を行う。</t>
  </si>
  <si>
    <t>登録できる交代要員および交代の最大人数は8名とし，交代して退いた競技者は交代要員となり，再び出場することができる。交代の回数は制限されない。交代は，ボールがインプレー中，アウトオブプレー中にかかわらず行うことができ，チームの指導者，もしくは選手は「第4審」に交代選手の番号を口頭で報告し，用具チェックを受けた後，交代ゾーンから行う。ただし，交代で退く競技者が負傷している場合は，主審の承認を得た上でどこからフィールドを離れてもよい。また，GKが交代する場合はアウトプレー時に主審を通じ行う。
※交代ゾーン＝ベンチ側のハーフウェイラインを挟んで3mずつ6mの範囲</t>
  </si>
  <si>
    <t xml:space="preserve">審判は、予選リーグは、主審1名の1人制とし、相互審判割り当て制とする（第4審は、本部対応とする）。
決勝トーナメントにおいては、主審1名、副審2名　第4審の4人制とし、本部対応とする。各試合にマッチコミッショナーを置き、決勝トーナメントは、ウェルフェアオフィサーも置く。
</t>
  </si>
  <si>
    <t>⑦</t>
  </si>
  <si>
    <t>審判員は、試合開始前にベンチの選手を含めた登録全選手の用具の確認を行う。</t>
  </si>
  <si>
    <t>⑧</t>
  </si>
  <si>
    <t>試合球は4号検定球とし、予選リーグにおいては、各チームの持ち寄りとする。決勝トーナメントにおいては、本部で準備する。</t>
  </si>
  <si>
    <t>⑨</t>
  </si>
  <si>
    <t>⑩</t>
  </si>
  <si>
    <t>競技場の大きさは，縦68m・横45～50mとする。センターサークル半径7m・ゴールエリア4m・ペナルティエリア12m・
ペナルティマーク8m・アーク7m とし、少年用ゴールを使用する。</t>
  </si>
  <si>
    <t>⑪</t>
  </si>
  <si>
    <t xml:space="preserve">大会期間中、累計2回の警告または、退場及び退席を宣告された選手等は次回戦1試合に出場できず、それ以降の処置については本大会の規律・フェアプレー委員会で決定する。
(累積は、地区大会→予選リーグ→決勝トーナメントと持ち越す。)
</t>
  </si>
  <si>
    <t>⑫</t>
  </si>
  <si>
    <t>⑬</t>
  </si>
  <si>
    <t>大会期間中は、大分県協会所属有資格者(3級以上)の審判を必ず1名以上帯同させ、審判服を着用の上、必ず資格ワッペンを付けること。</t>
  </si>
  <si>
    <t>⑭</t>
  </si>
  <si>
    <t>ポイント取り換え式のシューズは着用は認めない。</t>
  </si>
  <si>
    <t>(11)参加方法</t>
  </si>
  <si>
    <t xml:space="preserve">申込先 </t>
  </si>
  <si>
    <t>ジュニア委員会HPに掲載している【大会エントリーガイド】を必ず確認し、対応をお願いします。</t>
  </si>
  <si>
    <t>※修正及び変更手続きについては、Web大会参加申込の問い合わせ先まで連絡の事。</t>
  </si>
  <si>
    <t>【振込先】　</t>
  </si>
  <si>
    <t>抽選会</t>
  </si>
  <si>
    <t>日時:大会事務局にて組合せを決定する。</t>
  </si>
  <si>
    <t>場所:上記</t>
  </si>
  <si>
    <t>(12)そ  の  他</t>
  </si>
  <si>
    <t>大会期間中は、常に選手証及び指導者資格証、審判資格証、もしくはそれぞれの電子証/電子証の写しを携帯し、必要に応じて提示すること。指導者資格のない指導者は本人確認できる証書(運転免許証など)を提示すること。</t>
  </si>
  <si>
    <t>マッチコーディネーションミーティング(MCM)は、予選リーグの各パート第1試合開始70分前(9:20 or 10:10)に、3チーム同時に行う。決勝トーナメントでは、各チーム第1試合の70分前に行う。以降は、次回戦進出チームのみ試合終了後にMCMを行う。その際、チーム代表者は、必ず選手証・指導者資格証及びユニフォームを持参(FP/GKの正副全て現物で確認。写真等不可。)すること。また、大会参加申込書（エントリー表）を本部より受け取り、1部作成し、本部に提出すること。</t>
  </si>
  <si>
    <t>試合開始10分前までに選手証・指導者証と本人の確認を本部にて完了しておくこと。</t>
  </si>
  <si>
    <t>ユニフォーム(ソックスも含む)は、正・副ですべて異色のものを用意(厳守)し、どちらとも背・胸番号は選手本人と一致すること。</t>
  </si>
  <si>
    <t>※番号は胸と背中に必ず明記する事とし、パンツの前面にもあるのが望ましい。</t>
  </si>
  <si>
    <t>※番号は1～16までの通し番号とするのが望ましい。</t>
  </si>
  <si>
    <t>※シャツの色彩は、審判員が通常着用する黒色と明確に判別し得るものでなければならない。</t>
  </si>
  <si>
    <t>※ユニホームの下にアンダーシャツを着用する際は、チームで統一されたものである事。</t>
  </si>
  <si>
    <t>※アンダーショーツおよびタイツは、同一チームの競技者が着用する場合、同色のものとする。</t>
  </si>
  <si>
    <t>※広告表示については、JFA規約 ユニホーム規定 第6条により承認された場合のみ認める。</t>
  </si>
  <si>
    <t>※JFA規約 ユニホームの既定 第5条(7)その他②に明記されているとおり、「チームは，各国代表チーム及びプロクラブチームのレプリカを着用して公式競技会に出場することはできない」こととする。</t>
  </si>
  <si>
    <t>出場選手の保護者の承諾は、必ず取り付けておくこと。</t>
  </si>
  <si>
    <t>応援のマナーや会場の清掃については、各チームにおいて責任を持つこと。</t>
  </si>
  <si>
    <t>○戦術的指示はテクニカルエリア内から、その都度ただ1人の引率指導者が伝えることができる。</t>
  </si>
  <si>
    <t>○特に、相手チーム・審判に対する誹謗・中傷は固く禁じる。</t>
  </si>
  <si>
    <t>○チームは本部席側に椅子を置いてベンチを設定し、グラウンドを挟んで後援会等の応援席とすること。</t>
  </si>
  <si>
    <t>○駐車場の場所取り(椅子を置くなど)は絶対にしないこと。発見した場合は本部にて撤去を行うので周知のこと。</t>
  </si>
  <si>
    <t>○駐車証には必ずチーム名を明記し、駐車時はダッシュボード上などはっきりと見える場所に掲示すること。</t>
  </si>
  <si>
    <t>○駐車場内外における駐車のトラブルについて、大会本部はその責任を一切負わない。</t>
  </si>
  <si>
    <t>「個人情報保護法案」の趣旨に沿って、個人情報を取り扱う。
大会登録書は、本大会においてプログラム及び事務局とチーム間の連絡手段に利用し、漏洩のないように万全の管理を行う。チーム代表者は以下の点を確認の上、申し込むこととし、名簿が提出された時点で選手及び保護者が同意されたものとして取り扱う。</t>
  </si>
  <si>
    <t>(3)提出した名簿をラビットカップの大会冊子に掲載すること、また試合中の写真を次回大会冊子に掲載することに同意する。</t>
  </si>
  <si>
    <t>本大会中、その他に記載されている事項を含め、大会規律違反と見なされる行為があった場合には、当該チームに厳重注意を行うとともに、その程度によっては大会本部にて規律委員会を開き、大会の出場取り消しを含め、ペナルティを科することもある。</t>
  </si>
  <si>
    <t>各自、感染防止の徹底をお願いします。</t>
  </si>
  <si>
    <t>大会参加料について、主催者側の都合による中止以外の場合、返金は行いません。</t>
  </si>
  <si>
    <t>（入金後の出場辞退、感染症や天災による中止等も含む。）</t>
  </si>
  <si>
    <t xml:space="preserve">事務手続き簡素化のため，大会組合せ・日程等の連絡は，大分県サッカー協会HPで行う。
</t>
  </si>
  <si>
    <t>マッチコーディネーションミーティング</t>
  </si>
  <si>
    <t>マッチナンバー：</t>
  </si>
  <si>
    <t>組み合わせ左側チーム</t>
  </si>
  <si>
    <t>（</t>
  </si>
  <si>
    <t>市）</t>
  </si>
  <si>
    <t>ｖｓ</t>
  </si>
  <si>
    <t>組み合わせ右側チーム</t>
  </si>
  <si>
    <t>予選L</t>
  </si>
  <si>
    <t>①10:30　②11:20　③12:10　④13:00　⑤13:50　⑥14:40</t>
  </si>
  <si>
    <t>決勝T</t>
  </si>
  <si>
    <t>①  9:30　②10:20　③11:10　④12:00　⑤14:10</t>
  </si>
  <si>
    <t xml:space="preserve"> 挨拶および出席者の確認</t>
  </si>
  <si>
    <t>主管協会（　一般社団法人　大分県サッカー協会　）</t>
  </si>
  <si>
    <t>a)</t>
  </si>
  <si>
    <t>マッチコミッショナー・・・・・・・・・・・</t>
  </si>
  <si>
    <t>氏</t>
  </si>
  <si>
    <t>b)</t>
  </si>
  <si>
    <t>ウェルフェアオフィサー</t>
  </si>
  <si>
    <t>・・・・・・・・・・・・・・・・・</t>
  </si>
  <si>
    <t>c)</t>
  </si>
  <si>
    <t>d)</t>
  </si>
  <si>
    <t>e)</t>
  </si>
  <si>
    <t>審判団</t>
  </si>
  <si>
    <t>主審・・・・・・・・・・・・・・</t>
  </si>
  <si>
    <t>副審１・・・・・・・・・・・・・・</t>
  </si>
  <si>
    <t>副審２・・・・・・・・・・・・・・・</t>
  </si>
  <si>
    <t>第4の審判員・・・・・・・・・・・・</t>
  </si>
  <si>
    <t>f)</t>
  </si>
  <si>
    <t>主管サッカー協会(司会進行）・・・・・・・・・・・・・・</t>
  </si>
  <si>
    <t>競技関連事項</t>
  </si>
  <si>
    <t>（1）</t>
  </si>
  <si>
    <t>累積警告選手の確認</t>
  </si>
  <si>
    <t>（本大会要項　（10）試合方法 ⑪）</t>
  </si>
  <si>
    <t>（2）</t>
  </si>
  <si>
    <t>ユニフォームの色の決定</t>
  </si>
  <si>
    <t>（3）</t>
  </si>
  <si>
    <t>試合登録メンバー（選手および役員）の確認</t>
  </si>
  <si>
    <t>（４）</t>
  </si>
  <si>
    <t>試合時間</t>
  </si>
  <si>
    <t>○</t>
  </si>
  <si>
    <t>予選リーグは３０分とし、ハーフタイムのインターバル（前半終了から後半開始まで）は原則として5
分とする。予選リーグにおける順位は、勝ち点(勝3、引分1、負0)・当該対戦・PKの順で決定する。
予選リーグにおいて、3チーム共に同率時の場合は、3人制のPK方式にて2連勝したチームが
次回戦進出とする。</t>
  </si>
  <si>
    <t>決勝トーナメントは３０分とし、ハーフタイムのインターバル（前半終了から後半開始まで）は原則
として５分とする。規定の競技時間内に勝敗の決しない場合、3人制のPK方式にて勝敗を決定する。
但し、決勝戦のみ１０分の延長戦を行い、それでも勝敗が決しない場合３人制のPK戦を行う。
＊インターバル＝延長戦に入る前：3分、ペナルティーキック方式に入る前：3分</t>
  </si>
  <si>
    <t>飲水タイムをとる場合は、「その他の理由」により空費された時間として追加する。</t>
  </si>
  <si>
    <t>アディッショナルタイムの標記:</t>
  </si>
  <si>
    <t>行う（表示用ボード）</t>
  </si>
  <si>
    <t>（5）</t>
  </si>
  <si>
    <t>競技者の数</t>
  </si>
  <si>
    <t>○ 試合開始時の人数は、8対8を原則とする。
○ 競技中、怪我人が出た場合は、交代要員から補充すること。
○ 退場者が出た場合は、交代要員から補充し、退場者のベンチ戻入は認めない。
○ 競技者の数がアンバランスになるのは、該当チームに交代要員がいなくなった時に限る。</t>
  </si>
  <si>
    <t>（6）</t>
  </si>
  <si>
    <t>選手の交代</t>
  </si>
  <si>
    <t>○ 競技開始前に登録した最大8名の交代要員の中から、自由な交代が認められ、交代して退いた競技者は
　交代要員となり、再び出場することができる。（交代の回数は制限されない。）
○ 交代は、ボールがインプレー中、アウトオブプレー中にかかわらず行うことができ、チームの指導者、
　もしくは選手は「第4審」に交代選手の番号を口頭で報告し、用具チェックを受けた後、交代ゾーンか
　ら行う。ただし、交代で退く競技者が負傷している場合は、主審の承認を得た上でどこからフィールド
　を離れてもよい。   また、ＧＫが交代する場合はアウトプレー時に主審を通じ行う。</t>
  </si>
  <si>
    <t>（7）</t>
  </si>
  <si>
    <t>チームベンチへの人数</t>
  </si>
  <si>
    <t>ベンチに入る指導者・選手は、あらかじめ明記した監督1名及びその他役職者２名の計３名（うち
1名はJFA公認指導者ライセンスを有すること。）・交代要員となる選手８名を最大とする。
※大会登録書（メンバー表）に記載された選手及び監督・役員以外のベンチ入りは認めない。</t>
  </si>
  <si>
    <t>（8）</t>
  </si>
  <si>
    <t>ウォーミングアップ</t>
  </si>
  <si>
    <t>***試合前***</t>
  </si>
  <si>
    <t>場所：</t>
  </si>
  <si>
    <t>各会場の指定された区域にて</t>
  </si>
  <si>
    <t>時間：</t>
  </si>
  <si>
    <t>ピッチ外：指定された区域にて</t>
  </si>
  <si>
    <t>ピッチ内：ゴール使用　前の試合のハーフタイムのみ</t>
  </si>
  <si>
    <t>ボール使用の可否：</t>
  </si>
  <si>
    <t>可</t>
  </si>
  <si>
    <t>***試合中***</t>
  </si>
  <si>
    <t>ベンチ横</t>
  </si>
  <si>
    <t>否</t>
  </si>
  <si>
    <t>着衣：</t>
  </si>
  <si>
    <t>交代要員の選手は、両チームのユニフォームおよび審判のユニフォームと明確に異なる色の着衣（ビブス等）を身につけること。</t>
  </si>
  <si>
    <t>（9）</t>
  </si>
  <si>
    <t>テクニカルエリア</t>
  </si>
  <si>
    <t>戦術的指示を与える際は、その都度ただ1名の役員(監督に限定されない)のみが、テクニカルエリア(ベンチの両端から１メ－トルとタッチラインから1メ－トル)内で行うこと。</t>
  </si>
  <si>
    <t xml:space="preserve">選手への厳しい叱責や体罰等があったと認められ，主審から一度注意を受けた後に再度同様な行為があった場合は，主審の判断により退席処分とし，それ以降はベンチからのコーチングを不可とする。それ以降の試合については，規律・フェアプレー委員会において協議し，処分することもある。
</t>
  </si>
  <si>
    <t>（10）</t>
  </si>
  <si>
    <t>選手のけがの治療</t>
  </si>
  <si>
    <t>レフェリ－が認める特別な場合でないかぎり、フィ－ルド内での医療処置は一切認められない。</t>
  </si>
  <si>
    <t>ケガをした選手が運び出されたり、主審の許可によりフィ－ルドを出ることが認められる場合、医療担当者は医療処置をフィ－ルドの外で行う。</t>
  </si>
  <si>
    <t>主審の指示を受けた場合にのみ、2名以内のチ－ム役員と担架がフィ－ルドに入ることができる。</t>
  </si>
  <si>
    <t>ゴ－ルキ－パ－がケガをした場合は試合を中断し、フィ－ルド内で手当てを受けることが許される。手当てが終わってから試合は再開される。</t>
  </si>
  <si>
    <t>負傷により出血した選手は、出血が止まったことを審判が確認し、主審の合図を受けてからフィールドに復帰することができる。</t>
  </si>
  <si>
    <t>負傷した選手が交代ゾーン以外からピッチを離れ、交替する場合は交替ゾーンから交替する選手は入場する。負傷した選手が治療をおえ、再度交替し入場する場合も交替ゾーンから行う。</t>
  </si>
  <si>
    <t>（11）</t>
  </si>
  <si>
    <t>選手の品行</t>
  </si>
  <si>
    <t>フェアプレー</t>
  </si>
  <si>
    <t>サッカーのイメージアップ</t>
  </si>
  <si>
    <t>ソックスを引き上げる</t>
  </si>
  <si>
    <t>シャツをショーツの中に入れる</t>
  </si>
  <si>
    <t>試合開始前および終了後のセレモニー</t>
  </si>
  <si>
    <t>（12）</t>
  </si>
  <si>
    <t>試合球</t>
  </si>
  <si>
    <t>「</t>
  </si>
  <si>
    <t>予選L：各チームにて準備</t>
  </si>
  <si>
    <t>」</t>
  </si>
  <si>
    <t>決勝T：本部にて準備</t>
  </si>
  <si>
    <t>（13）</t>
  </si>
  <si>
    <t>選手の用具</t>
  </si>
  <si>
    <t>用具及びメンバーチェック　　キックオフ10分前　</t>
  </si>
  <si>
    <t>シャツについては、胸番号/背番号必須で一致していることとし、色彩は、審判員が通常着用する黒色と明確に判別し得るものでなければならない。</t>
  </si>
  <si>
    <t>ユニフォームのデザイン、ロゴ等が異なっていても、本競技会主催者が認める場合、主たる色が同系色であれば着用することができる。</t>
  </si>
  <si>
    <t>ゴールキーパーのユニフォームについて、ショーツ、ソックスはフィールドプレーヤーと同色系でも良いものとする。</t>
  </si>
  <si>
    <t xml:space="preserve">ソックスにテープまたはその他の材質のものを貼り付ける、または外部に着用する場合、ソックスと同色でなくても良い。 </t>
  </si>
  <si>
    <t>アンダーシャツの色は問わない。ただし原則としてチーム内で同色のものを着用する。</t>
  </si>
  <si>
    <t>アンダーショーツおよびタイツの色は問わない。ただし原則としてチーム内で同色のものを着用する。</t>
  </si>
  <si>
    <t>すねあてを必ず着用</t>
  </si>
  <si>
    <t>ゴ－ルキ－パ－は、フィ－ルドの状態、天候によってはトラックスーツを着用しても良い</t>
  </si>
  <si>
    <t>（14）</t>
  </si>
  <si>
    <t>キックオフ前のセレモニー</t>
  </si>
  <si>
    <t>キックオフ5分前</t>
  </si>
  <si>
    <t>《</t>
  </si>
  <si>
    <t>》</t>
  </si>
  <si>
    <t>＜審判団＞</t>
  </si>
  <si>
    <t>本部</t>
  </si>
  <si>
    <t>×</t>
  </si>
  <si>
    <t>累積警告・退場</t>
  </si>
  <si>
    <t>地区予選</t>
  </si>
  <si>
    <t>予選リーグ　（１試合目）</t>
  </si>
  <si>
    <t>予選リーグ　（2試合目）</t>
  </si>
  <si>
    <t>1回戦</t>
  </si>
  <si>
    <t>準決勝</t>
  </si>
  <si>
    <t>敗戦</t>
  </si>
  <si>
    <t>地区</t>
  </si>
  <si>
    <t>背番号</t>
  </si>
  <si>
    <t>氏名</t>
  </si>
  <si>
    <t>警告/退場</t>
  </si>
  <si>
    <t>内容</t>
  </si>
  <si>
    <t>組み合わせ</t>
  </si>
  <si>
    <t>「Aパート」</t>
  </si>
  <si>
    <t>「Cパート」</t>
  </si>
  <si>
    <t>A1</t>
  </si>
  <si>
    <t>C1</t>
  </si>
  <si>
    <t>A2</t>
  </si>
  <si>
    <t>A3</t>
  </si>
  <si>
    <t>B1</t>
  </si>
  <si>
    <t>B2</t>
  </si>
  <si>
    <t>C2</t>
  </si>
  <si>
    <t>C3</t>
  </si>
  <si>
    <t>B3</t>
  </si>
  <si>
    <t>「Eパート」</t>
  </si>
  <si>
    <t>「Gパート」</t>
  </si>
  <si>
    <t>E1</t>
  </si>
  <si>
    <t>G1</t>
  </si>
  <si>
    <t>D1</t>
  </si>
  <si>
    <t>D2</t>
  </si>
  <si>
    <t>E2</t>
  </si>
  <si>
    <t>E3</t>
  </si>
  <si>
    <t>G2</t>
  </si>
  <si>
    <t>G3</t>
  </si>
  <si>
    <t>D3</t>
  </si>
  <si>
    <t>「Bパート」</t>
  </si>
  <si>
    <t>「Dパート」</t>
  </si>
  <si>
    <t>F1</t>
  </si>
  <si>
    <t>F2</t>
  </si>
  <si>
    <t>F3</t>
  </si>
  <si>
    <t>「Fパート」</t>
  </si>
  <si>
    <t>「Hパート」</t>
  </si>
  <si>
    <t>H1</t>
  </si>
  <si>
    <t>H2</t>
  </si>
  <si>
    <t>H3</t>
  </si>
  <si>
    <t>＜抽選方法＞</t>
  </si>
  <si>
    <t>Bブロック 9地区の各第1代表が8パートに分かれるように抽選。</t>
  </si>
  <si>
    <t>(まず、大分地区以外が全パートに入る事が前提で、開会式がある場合は、A1を選手宣誓とする。)</t>
  </si>
  <si>
    <t>２チーム出場の地区が、第1代表と決勝戦まで対戦しないように、左右のパートに分かれるように抽選。</t>
  </si>
  <si>
    <t>大分地区は、振込順にて抽選</t>
  </si>
  <si>
    <t>《予選リーグ日程》</t>
  </si>
  <si>
    <t xml:space="preserve">8:00
</t>
  </si>
  <si>
    <t xml:space="preserve">グラウンド設営
</t>
  </si>
  <si>
    <t>8:50</t>
  </si>
  <si>
    <t>9:20</t>
  </si>
  <si>
    <t xml:space="preserve">MCM(各会場第1試合ﾊﾟｰﾄ)
</t>
  </si>
  <si>
    <t>10:20</t>
  </si>
  <si>
    <t>MCM(各会場第2試合ﾊﾟｰﾄ)</t>
  </si>
  <si>
    <t>開始時刻</t>
  </si>
  <si>
    <t>「A」コート</t>
  </si>
  <si>
    <t>「B」コート</t>
  </si>
  <si>
    <t>会場設営</t>
  </si>
  <si>
    <t>ｺﾞｰﾙ運搬</t>
  </si>
  <si>
    <t>審判</t>
  </si>
  <si>
    <t>1人
審判</t>
  </si>
  <si>
    <t>休　　　　　　憩</t>
  </si>
  <si>
    <t>＜予選リーグ組み合わせ・結果＞</t>
  </si>
  <si>
    <t>グループ</t>
  </si>
  <si>
    <t>【　A　】</t>
  </si>
  <si>
    <t>【　C　】</t>
  </si>
  <si>
    <t>【　B　】</t>
  </si>
  <si>
    <t>【　D　】</t>
  </si>
  <si>
    <t>【　E　】</t>
  </si>
  <si>
    <t>【　G　】</t>
  </si>
  <si>
    <t>【　F　】</t>
  </si>
  <si>
    <t>【　H　】</t>
  </si>
  <si>
    <t>【組合せ・時間割】</t>
  </si>
  <si>
    <t>コート</t>
  </si>
  <si>
    <t>対戦相手</t>
  </si>
  <si>
    <t>1人審判</t>
  </si>
  <si>
    <t>-</t>
  </si>
  <si>
    <t>得失点</t>
  </si>
  <si>
    <t>勝点表</t>
  </si>
  <si>
    <t>勝</t>
  </si>
  <si>
    <t>分</t>
  </si>
  <si>
    <t>負</t>
  </si>
  <si>
    <t>Aパート</t>
  </si>
  <si>
    <t>敗</t>
  </si>
  <si>
    <t>勝
点</t>
  </si>
  <si>
    <t>勝点
順位</t>
  </si>
  <si>
    <t>ﾄｰﾀﾙ
順位</t>
  </si>
  <si>
    <t>Eパート</t>
  </si>
  <si>
    <t>星取表</t>
  </si>
  <si>
    <t>位</t>
  </si>
  <si>
    <t>Bパート</t>
  </si>
  <si>
    <t>Fパート</t>
  </si>
  <si>
    <t>Cパート</t>
  </si>
  <si>
    <t>Gパート</t>
  </si>
  <si>
    <t>Dパート</t>
  </si>
  <si>
    <t>Hパート</t>
  </si>
  <si>
    <t>予選リーグ結果　報告用紙</t>
  </si>
  <si>
    <t>MC</t>
  </si>
  <si>
    <t>前半</t>
  </si>
  <si>
    <t>）</t>
  </si>
  <si>
    <t>Welfare
Officer</t>
  </si>
  <si>
    <t>後半</t>
  </si>
  <si>
    <t>記録</t>
  </si>
  <si>
    <t>PK</t>
  </si>
  <si>
    <t>＜Referee＞</t>
  </si>
  <si>
    <t>番号</t>
  </si>
  <si>
    <t>得点者</t>
  </si>
  <si>
    <t>R</t>
  </si>
  <si>
    <t>AR1:</t>
  </si>
  <si>
    <t>AR2:</t>
  </si>
  <si>
    <t>4th:</t>
  </si>
  <si>
    <t>《決勝トーナメント日程》</t>
  </si>
  <si>
    <t>８：００　開場</t>
  </si>
  <si>
    <t>☆優勝</t>
  </si>
  <si>
    <t>☆準優勝</t>
  </si>
  <si>
    <t>・</t>
  </si>
  <si>
    <t>☆３位</t>
  </si>
  <si>
    <t>A-１位</t>
  </si>
  <si>
    <t>E-１位</t>
  </si>
  <si>
    <t>B-１位</t>
  </si>
  <si>
    <t>F-１位</t>
  </si>
  <si>
    <t>Match No:33</t>
  </si>
  <si>
    <t>M N:29 勝</t>
  </si>
  <si>
    <t>M N:31 勝</t>
  </si>
  <si>
    <t>C-１位</t>
  </si>
  <si>
    <t>G-１位</t>
  </si>
  <si>
    <t>D-１位</t>
  </si>
  <si>
    <t>H-１位</t>
  </si>
  <si>
    <t>Match No：25  負</t>
  </si>
  <si>
    <t>Match No：26  負</t>
  </si>
  <si>
    <t>Match No：25 勝</t>
  </si>
  <si>
    <t>Match No：26 勝</t>
  </si>
  <si>
    <t>Match No:29</t>
  </si>
  <si>
    <t>Match No:31</t>
  </si>
  <si>
    <t>M N:25 勝</t>
  </si>
  <si>
    <t>M N:26 勝</t>
  </si>
  <si>
    <t>M N:27 勝</t>
  </si>
  <si>
    <t>M N:28 勝</t>
  </si>
  <si>
    <t>Match No：27  負</t>
  </si>
  <si>
    <t>Match No：28  負</t>
  </si>
  <si>
    <t>Match No：27 勝</t>
  </si>
  <si>
    <t>Match No：28 勝</t>
  </si>
  <si>
    <t>Match No:25</t>
  </si>
  <si>
    <t>Match No:26</t>
  </si>
  <si>
    <t>Match No:27</t>
  </si>
  <si>
    <t>Match No:28</t>
  </si>
  <si>
    <t>休憩</t>
  </si>
  <si>
    <t>Match No：29 勝</t>
  </si>
  <si>
    <t>Match No：31 勝</t>
  </si>
  <si>
    <t>M N:25 負</t>
  </si>
  <si>
    <t>M N:26 負</t>
  </si>
  <si>
    <t>M N:27 負</t>
  </si>
  <si>
    <t>M N:28 負</t>
  </si>
  <si>
    <t>Match No:30</t>
  </si>
  <si>
    <t>Match No:32</t>
  </si>
  <si>
    <t>閉会式</t>
  </si>
  <si>
    <t>決勝トーナメント結果　報告用紙</t>
  </si>
  <si>
    <t>Match No：25</t>
  </si>
  <si>
    <t>Match No：26</t>
  </si>
  <si>
    <t>Match No：27</t>
  </si>
  <si>
    <t>Match No：28</t>
  </si>
  <si>
    <t>Match No：30</t>
  </si>
  <si>
    <t>Match No：29</t>
  </si>
  <si>
    <t>Match No：32</t>
  </si>
  <si>
    <t>Match No：31</t>
  </si>
  <si>
    <t>公式記録</t>
  </si>
  <si>
    <t>Match No：</t>
  </si>
  <si>
    <t>大</t>
  </si>
  <si>
    <t>第</t>
  </si>
  <si>
    <t>日</t>
  </si>
  <si>
    <t>競技</t>
  </si>
  <si>
    <t>30分</t>
  </si>
  <si>
    <t>記</t>
  </si>
  <si>
    <t>会</t>
  </si>
  <si>
    <t>2回戦</t>
  </si>
  <si>
    <t>時間</t>
  </si>
  <si>
    <t>録</t>
  </si>
  <si>
    <t>名</t>
  </si>
  <si>
    <t>決勝</t>
  </si>
  <si>
    <t>試合開始　14時10分～</t>
  </si>
  <si>
    <t>延長</t>
  </si>
  <si>
    <t>10分</t>
  </si>
  <si>
    <t>者</t>
  </si>
  <si>
    <t>天</t>
  </si>
  <si>
    <t>晴</t>
  </si>
  <si>
    <t>風</t>
  </si>
  <si>
    <t>強</t>
  </si>
  <si>
    <t>弱</t>
  </si>
  <si>
    <t>無</t>
  </si>
  <si>
    <t>芝</t>
  </si>
  <si>
    <t>状</t>
  </si>
  <si>
    <t>良好</t>
  </si>
  <si>
    <t>審</t>
  </si>
  <si>
    <t>主審</t>
  </si>
  <si>
    <t>副審</t>
  </si>
  <si>
    <t>第4の審判員</t>
  </si>
  <si>
    <t>曇</t>
  </si>
  <si>
    <t>気温</t>
  </si>
  <si>
    <t>℃</t>
  </si>
  <si>
    <t>不良</t>
  </si>
  <si>
    <t>場</t>
  </si>
  <si>
    <t>候</t>
  </si>
  <si>
    <t>雨</t>
  </si>
  <si>
    <t>湿度</t>
  </si>
  <si>
    <t>％</t>
  </si>
  <si>
    <t>土</t>
  </si>
  <si>
    <t>態</t>
  </si>
  <si>
    <t>泥沼</t>
  </si>
  <si>
    <t>判</t>
  </si>
  <si>
    <t>【チーム名】</t>
  </si>
  <si>
    <t>kick off</t>
  </si>
  <si>
    <t>延前</t>
  </si>
  <si>
    <t>延後</t>
  </si>
  <si>
    <t>先</t>
  </si>
  <si>
    <t>後</t>
  </si>
  <si>
    <t>ＰＫ戦</t>
  </si>
  <si>
    <t>シュート（得点者は○印）</t>
  </si>
  <si>
    <t>学</t>
  </si>
  <si>
    <t>番</t>
  </si>
  <si>
    <t>A</t>
  </si>
  <si>
    <t>B</t>
  </si>
  <si>
    <t>合</t>
  </si>
  <si>
    <t>延</t>
  </si>
  <si>
    <t>前</t>
  </si>
  <si>
    <t>選</t>
  </si>
  <si>
    <t>手</t>
  </si>
  <si>
    <t>位置</t>
  </si>
  <si>
    <t>地区名</t>
  </si>
  <si>
    <t>A市</t>
  </si>
  <si>
    <t>B市</t>
  </si>
  <si>
    <t>計</t>
  </si>
  <si>
    <t>半</t>
  </si>
  <si>
    <t>年</t>
  </si>
  <si>
    <t>号</t>
  </si>
  <si>
    <t>交替要員</t>
  </si>
  <si>
    <t>小計</t>
  </si>
  <si>
    <t>合計</t>
  </si>
  <si>
    <t>シュート数</t>
  </si>
  <si>
    <t>OUT</t>
  </si>
  <si>
    <t>→</t>
  </si>
  <si>
    <t>IN</t>
  </si>
  <si>
    <t>交代</t>
  </si>
  <si>
    <t>選手</t>
  </si>
  <si>
    <t>警告（Ｃ）・退場（Ｓ）など</t>
  </si>
  <si>
    <t>チーム
合計</t>
  </si>
  <si>
    <t>Ｇ</t>
  </si>
  <si>
    <t>Ｋ</t>
  </si>
  <si>
    <t>Ｃ</t>
  </si>
  <si>
    <t>直接</t>
  </si>
  <si>
    <t>ＦＫ</t>
  </si>
  <si>
    <t>間接</t>
  </si>
  <si>
    <t>Ｐ</t>
  </si>
  <si>
    <t>得　　点　　経　　過</t>
  </si>
  <si>
    <t xml:space="preserve"> </t>
  </si>
  <si>
    <t>《略号例》</t>
  </si>
  <si>
    <t>ドリブル</t>
  </si>
  <si>
    <t>～</t>
  </si>
  <si>
    <t>ゴロのパス</t>
  </si>
  <si>
    <t>浮き球</t>
  </si>
  <si>
    <t>∩</t>
  </si>
  <si>
    <t>混戦</t>
  </si>
  <si>
    <t>ヘディング</t>
  </si>
  <si>
    <t>H</t>
  </si>
  <si>
    <t>シュート</t>
  </si>
  <si>
    <t>S</t>
  </si>
  <si>
    <t>[警告理由]C1：反スポーツ的行為，C2：ラフプレー，C3：異議，C4：繰り返し違反，C5：遅延行為，C6：距離不足，C7：無許可入，C8：無許可去</t>
  </si>
  <si>
    <t>[退場理由]S1：著しく不正なプレー，S2：乱暴な行為，S3：つば吐き，S4：得点機会阻止(ハンド)，S5：得点機会阻止(他)，S6：侮辱的発言，CS：警告2回による退場</t>
  </si>
  <si>
    <t>戦評者氏名</t>
  </si>
  <si>
    <t>勤務先または所属</t>
  </si>
  <si>
    <t>　）</t>
  </si>
  <si>
    <t>M   C</t>
  </si>
  <si>
    <t>会　場　長</t>
  </si>
  <si>
    <t>主　　審</t>
  </si>
  <si>
    <t>中原　圭介</t>
  </si>
  <si>
    <t>安東　信二</t>
  </si>
  <si>
    <t>佐々木　秀樹</t>
  </si>
  <si>
    <t>白江　直樹</t>
  </si>
  <si>
    <t>＜警告選択肢＞</t>
  </si>
  <si>
    <t>＜会場＞</t>
  </si>
  <si>
    <t>＜役員名簿＞</t>
  </si>
  <si>
    <t>＜審判名簿＞</t>
  </si>
  <si>
    <t>警告</t>
  </si>
  <si>
    <t>反スポ</t>
  </si>
  <si>
    <t>矢羽田　崇</t>
  </si>
  <si>
    <t>R008537139</t>
  </si>
  <si>
    <t>退場</t>
  </si>
  <si>
    <t>ラフ</t>
  </si>
  <si>
    <t>安東　幹雄</t>
  </si>
  <si>
    <t>小石川　悟</t>
  </si>
  <si>
    <t>R001256402</t>
  </si>
  <si>
    <t>警告(累積2枚目次節出場停止）</t>
  </si>
  <si>
    <t>異議</t>
  </si>
  <si>
    <t>大分県サッカー協会人工芝グラウンド</t>
  </si>
  <si>
    <t>仲野　昭博</t>
  </si>
  <si>
    <t>長田　敏明</t>
  </si>
  <si>
    <t>R001262731</t>
  </si>
  <si>
    <t>繰り返し</t>
  </si>
  <si>
    <t>西部スポーツ交流ひろば「人工芝」</t>
  </si>
  <si>
    <t>真鍋　裕一</t>
  </si>
  <si>
    <t>R001264580</t>
  </si>
  <si>
    <t>遅延</t>
  </si>
  <si>
    <t>阿部　浩之</t>
  </si>
  <si>
    <t>R001262209</t>
  </si>
  <si>
    <t>距離</t>
  </si>
  <si>
    <t>榊　謙治</t>
  </si>
  <si>
    <t>須藤　健二</t>
  </si>
  <si>
    <t>R001265385</t>
  </si>
  <si>
    <t>無断入</t>
  </si>
  <si>
    <t>菊地　謙一</t>
  </si>
  <si>
    <t>R003256053</t>
  </si>
  <si>
    <t>無断去</t>
  </si>
  <si>
    <t>河野　千恵子</t>
  </si>
  <si>
    <t>久保　雅敬</t>
  </si>
  <si>
    <t>R003677131</t>
  </si>
  <si>
    <t>＜退場選択肢＞</t>
  </si>
  <si>
    <t>上野　貴士</t>
  </si>
  <si>
    <t>相良　章成</t>
  </si>
  <si>
    <t>R006664864</t>
  </si>
  <si>
    <t>不正</t>
  </si>
  <si>
    <t>岡部　司</t>
  </si>
  <si>
    <t>宇髙　篤史</t>
  </si>
  <si>
    <t>R007003431</t>
  </si>
  <si>
    <t>乱暴</t>
  </si>
  <si>
    <t>毛藤　勇三</t>
  </si>
  <si>
    <t>柳元　哲哉</t>
  </si>
  <si>
    <t>R009197594</t>
  </si>
  <si>
    <t>つば</t>
  </si>
  <si>
    <t>隅田　哲平</t>
  </si>
  <si>
    <t>佐藤　慎二</t>
  </si>
  <si>
    <t>R009460551</t>
  </si>
  <si>
    <t>阻止(手)</t>
  </si>
  <si>
    <t>羽田野　亘</t>
  </si>
  <si>
    <t>R009554780</t>
  </si>
  <si>
    <t>阻止(他)</t>
  </si>
  <si>
    <t>伊達　洋介</t>
  </si>
  <si>
    <t>清家　大介</t>
  </si>
  <si>
    <t>R010027823</t>
  </si>
  <si>
    <t>暴言</t>
  </si>
  <si>
    <t>田尻　貴志</t>
  </si>
  <si>
    <t>警告2</t>
  </si>
  <si>
    <t>大鶴　翔太郎</t>
  </si>
  <si>
    <t>寺次　良生</t>
  </si>
  <si>
    <t>R010120117</t>
  </si>
  <si>
    <t>津守　一雄</t>
  </si>
  <si>
    <t>R010120124</t>
  </si>
  <si>
    <t>後藤　寿</t>
  </si>
  <si>
    <t>田中　靖之</t>
  </si>
  <si>
    <t>R010189067</t>
  </si>
  <si>
    <t>中野　観司郎</t>
  </si>
  <si>
    <t>安部　正信</t>
  </si>
  <si>
    <t>R010281814</t>
  </si>
  <si>
    <t>諌本　秀樹</t>
  </si>
  <si>
    <t>金田　智朗</t>
  </si>
  <si>
    <t>R010396582</t>
  </si>
  <si>
    <t>石井　洋平</t>
  </si>
  <si>
    <t>山田　将来</t>
  </si>
  <si>
    <t>R010396589</t>
  </si>
  <si>
    <t>甲斐　直樹</t>
  </si>
  <si>
    <t>横山　大悟</t>
  </si>
  <si>
    <t>R010599590</t>
  </si>
  <si>
    <t>磯村　信一</t>
  </si>
  <si>
    <t>R008798013</t>
  </si>
  <si>
    <t>市原　宗久</t>
  </si>
  <si>
    <t>松下　省吾</t>
  </si>
  <si>
    <t>秋吉　明</t>
  </si>
  <si>
    <t>大会参加チーム名</t>
  </si>
  <si>
    <t>ポジション</t>
  </si>
  <si>
    <t>選手名漢字</t>
  </si>
  <si>
    <t>選手名カナ</t>
  </si>
  <si>
    <t>学年</t>
  </si>
  <si>
    <t>男女区分</t>
  </si>
  <si>
    <t>選手登録番号</t>
  </si>
  <si>
    <t>キャプテン</t>
  </si>
  <si>
    <t>ＭＦＣ三花少年サッカー教室</t>
  </si>
  <si>
    <t>DF</t>
  </si>
  <si>
    <t>上田　暖</t>
  </si>
  <si>
    <t>ウエダ　ハル</t>
  </si>
  <si>
    <t>男子</t>
  </si>
  <si>
    <t>MF</t>
  </si>
  <si>
    <t>女子小学生</t>
  </si>
  <si>
    <t>本多　太惺</t>
  </si>
  <si>
    <t>ホンダ　タイセイ</t>
  </si>
  <si>
    <t>小野　紘弥</t>
  </si>
  <si>
    <t>オノ　ヒロヤ</t>
  </si>
  <si>
    <t>内海　輝月</t>
  </si>
  <si>
    <t>ウツミ　ヒマル</t>
  </si>
  <si>
    <t>FW</t>
  </si>
  <si>
    <t>GK</t>
  </si>
  <si>
    <t>オノ　ソウマ</t>
  </si>
  <si>
    <t>宮崎　大珠</t>
  </si>
  <si>
    <t>ミヤザキ　タイジュ</t>
  </si>
  <si>
    <t>若宮サッカースポーツ少年団</t>
  </si>
  <si>
    <t>千原　蓮己</t>
  </si>
  <si>
    <t>チハラ　レンゴ</t>
  </si>
  <si>
    <t>伊藤　朔麻</t>
  </si>
  <si>
    <t>イトウ　サクマ</t>
  </si>
  <si>
    <t>渡邉　聡典</t>
  </si>
  <si>
    <t>ワタナベ　ソウスケ</t>
  </si>
  <si>
    <t>阿南　颯磨</t>
  </si>
  <si>
    <t>アナン　ソウマ</t>
  </si>
  <si>
    <t>吉谷　海翔</t>
  </si>
  <si>
    <t>ヨシタニ　カイト</t>
  </si>
  <si>
    <t>井上　大馳</t>
  </si>
  <si>
    <t>イノウエ　タイチ</t>
  </si>
  <si>
    <t>立川　佑奈</t>
  </si>
  <si>
    <t>タツカワ　ユナ</t>
  </si>
  <si>
    <t>黒木　丈介</t>
  </si>
  <si>
    <t>クロキ　ジョウスケ</t>
  </si>
  <si>
    <t>幸　龍弥</t>
  </si>
  <si>
    <t>ユキ　タツヤ</t>
  </si>
  <si>
    <t>ＦＣアリアーレ</t>
  </si>
  <si>
    <t>伊藤　翠</t>
  </si>
  <si>
    <t>イトウ　スイ</t>
  </si>
  <si>
    <t>小山　清志郎</t>
  </si>
  <si>
    <t>コヤマ　セイシロウ</t>
  </si>
  <si>
    <t>松尾　俊輝</t>
  </si>
  <si>
    <t>マツオ　トシキ</t>
  </si>
  <si>
    <t>松岡　蓮音</t>
  </si>
  <si>
    <t>マツオカ　レント</t>
  </si>
  <si>
    <t>串尾　遼馬</t>
  </si>
  <si>
    <t>クシオ　ハルマ</t>
  </si>
  <si>
    <t>三芳少年サッカースクール</t>
  </si>
  <si>
    <t>小山　泉粋</t>
  </si>
  <si>
    <t>コヤマ　センスイ</t>
  </si>
  <si>
    <t>河津　壮真</t>
  </si>
  <si>
    <t>カワヅ　ソウマ</t>
  </si>
  <si>
    <t>佐藤　煌汰</t>
  </si>
  <si>
    <t>サトウ　コウタ</t>
  </si>
  <si>
    <t>大鶴　拳志郎</t>
  </si>
  <si>
    <t>オオツル　ケンシロウ</t>
  </si>
  <si>
    <t>玖珠サッカースポーツ少年団</t>
  </si>
  <si>
    <t>清藤　槙斗</t>
  </si>
  <si>
    <t>キヨフジ　マキト</t>
  </si>
  <si>
    <t>佐古　慎之助</t>
  </si>
  <si>
    <t>サコ　シンノスケ</t>
  </si>
  <si>
    <t>小幡　玲治</t>
  </si>
  <si>
    <t>オバタ　レイジ</t>
  </si>
  <si>
    <t>吉武　龍玄</t>
  </si>
  <si>
    <t>ヨシタケ　リュウゲン</t>
  </si>
  <si>
    <t>安部　叶音</t>
  </si>
  <si>
    <t>アベ　カナト</t>
  </si>
  <si>
    <t>佐藤　龍輝</t>
  </si>
  <si>
    <t>サトウ　リュウキ</t>
  </si>
  <si>
    <t>衛藤　昇</t>
  </si>
  <si>
    <t>エトウ　ショウ</t>
  </si>
  <si>
    <t>嶋末　大地</t>
  </si>
  <si>
    <t>シマスエ　ダイチ</t>
  </si>
  <si>
    <t>江隈　涼星</t>
  </si>
  <si>
    <t>エグマ　リョウセイ</t>
  </si>
  <si>
    <t>松岡　瑞季</t>
  </si>
  <si>
    <t>マツオカ　ミズキ</t>
  </si>
  <si>
    <t>オオタ　ユウト</t>
  </si>
  <si>
    <t>ＦＣ．ＵＳＡ</t>
  </si>
  <si>
    <t>大力　隼翔</t>
  </si>
  <si>
    <t>ダイリキ　ハヤト</t>
  </si>
  <si>
    <t>豊永　優人</t>
  </si>
  <si>
    <t>トヨナガ　ユウト</t>
  </si>
  <si>
    <t>髙橋　旺太郎</t>
  </si>
  <si>
    <t>タカハシ　オウタロウ</t>
  </si>
  <si>
    <t>吉田　幸永</t>
  </si>
  <si>
    <t>ヨシダ　ユキヒサ</t>
  </si>
  <si>
    <t>友松　蒼士</t>
  </si>
  <si>
    <t>トモマツ　アオシ</t>
  </si>
  <si>
    <t>梶原　志煌</t>
  </si>
  <si>
    <t>カジワラ　シオン</t>
  </si>
  <si>
    <t>ＦＣ　ＷＡＹＳ</t>
  </si>
  <si>
    <t>佐藤　稜真</t>
  </si>
  <si>
    <t>サトウ　リオマ</t>
  </si>
  <si>
    <t>小山　千慧</t>
  </si>
  <si>
    <t>コヤマ　チサト</t>
  </si>
  <si>
    <t>四日市南ＳＳＣ</t>
  </si>
  <si>
    <t>川端　一誓</t>
  </si>
  <si>
    <t>カワバタ　イッセイ</t>
  </si>
  <si>
    <t>川野　樹</t>
  </si>
  <si>
    <t>カワノ　イツキ</t>
  </si>
  <si>
    <t>合原　竜毅</t>
  </si>
  <si>
    <t>ゴウバル　リュウキ</t>
  </si>
  <si>
    <t>銅野　男児</t>
  </si>
  <si>
    <t>ドウノ　ダンジ</t>
  </si>
  <si>
    <t>岡部　龍大</t>
  </si>
  <si>
    <t>オカベ　リュウダイ</t>
  </si>
  <si>
    <t>三村　真史</t>
  </si>
  <si>
    <t>ミムラ　ナオフミ</t>
  </si>
  <si>
    <t>四日市北ＪＦＣ</t>
  </si>
  <si>
    <t>竹島　琉生</t>
  </si>
  <si>
    <t>タケシマ　ルイ</t>
  </si>
  <si>
    <t>高橋　なな子</t>
  </si>
  <si>
    <t>タカハシ　ナナコ</t>
  </si>
  <si>
    <t>羽賀　遼太郎</t>
  </si>
  <si>
    <t>ハガ　リョウタロウ</t>
  </si>
  <si>
    <t>衛藤　紘太</t>
  </si>
  <si>
    <t>エトウ　コウタ</t>
  </si>
  <si>
    <t>徳丸　緒憧</t>
  </si>
  <si>
    <t>トクマル　ショア</t>
  </si>
  <si>
    <t>立脇　蓮惟</t>
  </si>
  <si>
    <t>タテワキ　レイ</t>
  </si>
  <si>
    <t>内藤　士穏</t>
  </si>
  <si>
    <t>ナイトウ　シオン</t>
  </si>
  <si>
    <t>合原　秀馬</t>
  </si>
  <si>
    <t>ゴウバラ　シュウマ</t>
  </si>
  <si>
    <t>量山　慶宗</t>
  </si>
  <si>
    <t>リョウザン　ヨシムネ</t>
  </si>
  <si>
    <t>荒巻　央琥</t>
  </si>
  <si>
    <t>アラマキ　オウガ</t>
  </si>
  <si>
    <t>長谷雄　銀士</t>
  </si>
  <si>
    <t>ハセオ　ギンジ</t>
  </si>
  <si>
    <t>カワノ　ソウスケ</t>
  </si>
  <si>
    <t>浅井　仁成</t>
  </si>
  <si>
    <t>アザイ　ジンセイ</t>
  </si>
  <si>
    <t>酒井　脩翔</t>
  </si>
  <si>
    <t>サカイ　シュウト</t>
  </si>
  <si>
    <t>川野　葵翔</t>
  </si>
  <si>
    <t>カワノ　アオト</t>
  </si>
  <si>
    <t>八坂少年サッカークラブ</t>
  </si>
  <si>
    <t>吉田　律</t>
  </si>
  <si>
    <t>ヨシダ　リツ</t>
  </si>
  <si>
    <t>南　翔真</t>
  </si>
  <si>
    <t>ミナミ　ショウマ</t>
  </si>
  <si>
    <t>三浦　颯真</t>
  </si>
  <si>
    <t>ミウラ　ソウマ</t>
  </si>
  <si>
    <t>河野　結斗</t>
  </si>
  <si>
    <t>コウノ　ユイト</t>
  </si>
  <si>
    <t>本多　蓮雅</t>
  </si>
  <si>
    <t>ホンダ　レンマ</t>
  </si>
  <si>
    <t>冨来　柊介</t>
  </si>
  <si>
    <t>トミク　シュウスケ</t>
  </si>
  <si>
    <t>青野　良誠</t>
  </si>
  <si>
    <t>アオノ　リョウセイ</t>
  </si>
  <si>
    <t>国東ジュニアサッカークラブ</t>
  </si>
  <si>
    <t>中磨　龍信</t>
  </si>
  <si>
    <t>ナカマ　リュウシン</t>
  </si>
  <si>
    <t>板井　月音</t>
  </si>
  <si>
    <t>イタイ　ツキノ</t>
  </si>
  <si>
    <t>中磨　詩乃</t>
  </si>
  <si>
    <t>ナカマ　シノ</t>
  </si>
  <si>
    <t>吉田　慶知</t>
  </si>
  <si>
    <t>ヨシダ　ケイジ</t>
  </si>
  <si>
    <t>吉武　真叶</t>
  </si>
  <si>
    <t>ヨシタケ　マサト</t>
  </si>
  <si>
    <t>カヤシマ　ハヤタ</t>
  </si>
  <si>
    <t>松本　絢斗</t>
  </si>
  <si>
    <t>マツモト　アヤト</t>
  </si>
  <si>
    <t>宮本　結生</t>
  </si>
  <si>
    <t>ミヤモト　ユウキ</t>
  </si>
  <si>
    <t>平野　嵩晴</t>
  </si>
  <si>
    <t>ヒラノ　スバル</t>
  </si>
  <si>
    <t>平野　亜紗妃</t>
  </si>
  <si>
    <t>ヒラノ　アサヒ</t>
  </si>
  <si>
    <t>河野　維月</t>
  </si>
  <si>
    <t>コウノ　イツキ</t>
  </si>
  <si>
    <t>はやぶさフットボールクラブ</t>
  </si>
  <si>
    <t>今西　叶</t>
  </si>
  <si>
    <t>イマニシ　カナト</t>
  </si>
  <si>
    <t>小谷瀬　悠</t>
  </si>
  <si>
    <t>コヤセ　ユウ</t>
  </si>
  <si>
    <t>高橋　悠太郎</t>
  </si>
  <si>
    <t>タカハシ　ユウタロウ</t>
  </si>
  <si>
    <t>松本　蒼介</t>
  </si>
  <si>
    <t>マツモト　ソウスケ</t>
  </si>
  <si>
    <t>平川　凛空</t>
  </si>
  <si>
    <t>ヒラカワ　リク</t>
  </si>
  <si>
    <t>鶴居ＳＳＳ</t>
  </si>
  <si>
    <t>坂内　陸斗</t>
  </si>
  <si>
    <t>サカウチ　リクト</t>
  </si>
  <si>
    <t>中川　友喜</t>
  </si>
  <si>
    <t>ナカガワ　トモキ</t>
  </si>
  <si>
    <t>尾川　勇冴</t>
  </si>
  <si>
    <t>オガワ　ユウゴ</t>
  </si>
  <si>
    <t>原　直人</t>
  </si>
  <si>
    <t>ハラ　ナオト</t>
  </si>
  <si>
    <t>稲吉　夢月</t>
  </si>
  <si>
    <t>イナヨシ　ムツキ</t>
  </si>
  <si>
    <t>上川　颯太</t>
  </si>
  <si>
    <t>カミカワ　ソウタ</t>
  </si>
  <si>
    <t>上家　伯斗</t>
  </si>
  <si>
    <t>カミイエ　ハクト</t>
  </si>
  <si>
    <t>小川　悠斗</t>
  </si>
  <si>
    <t>ＦＣ大野</t>
  </si>
  <si>
    <t>麻生　倫太</t>
  </si>
  <si>
    <t>アソウ　ミチタ</t>
  </si>
  <si>
    <t>オノ　ユウキ</t>
  </si>
  <si>
    <t>廣瀬　芽生</t>
  </si>
  <si>
    <t>ヒロセ　メイ</t>
  </si>
  <si>
    <t>廣瀬　健支</t>
  </si>
  <si>
    <t>ヒロセ　ケンシ</t>
  </si>
  <si>
    <t>荻本　拓摩</t>
  </si>
  <si>
    <t>オギモト　タクマ</t>
  </si>
  <si>
    <t>高橋　颯志</t>
  </si>
  <si>
    <t>タカハシ　ソウシ</t>
  </si>
  <si>
    <t>足立　昊之輔</t>
  </si>
  <si>
    <t>アダチ　コウノスケ</t>
  </si>
  <si>
    <t>カイ　アキラ</t>
  </si>
  <si>
    <t>鶴見ジュニアサッカークラブ</t>
  </si>
  <si>
    <t>ゴトウ　ユウダイ</t>
  </si>
  <si>
    <t>緑丘サッカースポーツ少年団</t>
  </si>
  <si>
    <t>エトウ　ソウスケ</t>
  </si>
  <si>
    <t>黒田　陸</t>
  </si>
  <si>
    <t>クロダ　リク</t>
  </si>
  <si>
    <t>坂田　琉仁</t>
  </si>
  <si>
    <t>サカタ　リュウト</t>
  </si>
  <si>
    <t>田原　颯冴</t>
  </si>
  <si>
    <t>タハラ　ソウゴ</t>
  </si>
  <si>
    <t>Ｓｈｙｎｔ　ＦＣ</t>
  </si>
  <si>
    <t>田中　修斗</t>
  </si>
  <si>
    <t>タナカ　シュウト</t>
  </si>
  <si>
    <t>山田　晴香</t>
  </si>
  <si>
    <t>ヤマダ　ハルカ</t>
  </si>
  <si>
    <t>田中　遥翔</t>
  </si>
  <si>
    <t>タナカ　ハルト</t>
  </si>
  <si>
    <t>清水　琉季士</t>
  </si>
  <si>
    <t>シミズ　ルキト</t>
  </si>
  <si>
    <t>和田少年サッカークラブ</t>
  </si>
  <si>
    <t>江口　佳樹</t>
  </si>
  <si>
    <t>エグチ　ヨシキ</t>
  </si>
  <si>
    <t>古間地　櫻咲</t>
  </si>
  <si>
    <t>フルマジ　ハル</t>
  </si>
  <si>
    <t>邑本　一真</t>
  </si>
  <si>
    <t>ムラモト　カズマ</t>
  </si>
  <si>
    <t>古間地　悠愛</t>
  </si>
  <si>
    <t>フルマジ　ユウア</t>
  </si>
  <si>
    <t>伊東　琉彩</t>
  </si>
  <si>
    <t>イトウ　リュウア</t>
  </si>
  <si>
    <t>畑辺　杏</t>
  </si>
  <si>
    <t>ハタベ　アン</t>
  </si>
  <si>
    <t>下毛ＦＣ</t>
  </si>
  <si>
    <t>山本　寿輝</t>
  </si>
  <si>
    <t>ヤマモト　トシキ</t>
  </si>
  <si>
    <t>岩尾　奈瑞菜</t>
  </si>
  <si>
    <t>イワオ　ナズナ</t>
  </si>
  <si>
    <t>元木　蓮哉</t>
  </si>
  <si>
    <t>モトキ　レンヤ</t>
  </si>
  <si>
    <t>岡山　銀臣</t>
  </si>
  <si>
    <t>オカヤマ　ギンジ</t>
  </si>
  <si>
    <t>堀内　琥嗣</t>
  </si>
  <si>
    <t>ホリウチ　コウシ</t>
  </si>
  <si>
    <t>林　稜久</t>
  </si>
  <si>
    <t>ハヤシ　リク</t>
  </si>
  <si>
    <t>中津豊南ＦＣ</t>
  </si>
  <si>
    <t>小松　未来</t>
  </si>
  <si>
    <t>コマツ　ミキ</t>
  </si>
  <si>
    <t>森本　峻太</t>
  </si>
  <si>
    <t>モリモト　シュンタ</t>
  </si>
  <si>
    <t>平山　聖佳</t>
  </si>
  <si>
    <t>ヒラヤマ　キヨカ</t>
  </si>
  <si>
    <t>秋吉　太耀</t>
  </si>
  <si>
    <t>アキヨシ　タイヨウ</t>
  </si>
  <si>
    <t>中津沖代ジュニアサッカークラブ</t>
  </si>
  <si>
    <t>タナカ　レオ</t>
  </si>
  <si>
    <t>堀部　翔太</t>
  </si>
  <si>
    <t>ホリベ　ショウタ</t>
  </si>
  <si>
    <t>笠原　惇希</t>
  </si>
  <si>
    <t>カサハラ　アツキ</t>
  </si>
  <si>
    <t>山口　蒼空</t>
  </si>
  <si>
    <t>ヤマグチ　ソラ</t>
  </si>
  <si>
    <t>村上　瑛翔</t>
  </si>
  <si>
    <t>ムラカミ　エイト</t>
  </si>
  <si>
    <t>立川　格</t>
  </si>
  <si>
    <t>タツカワ　イタル</t>
  </si>
  <si>
    <t>オノ　ユイト</t>
  </si>
  <si>
    <t>村上　颯真</t>
  </si>
  <si>
    <t>ムラカミ　ソウマ</t>
  </si>
  <si>
    <t>千怒サッカースポーツ少年団</t>
  </si>
  <si>
    <t>内藤　尚音</t>
  </si>
  <si>
    <t>ナイトウ　ショウオン</t>
  </si>
  <si>
    <t>深津　空斗</t>
  </si>
  <si>
    <t>フカヅ　ソラト</t>
  </si>
  <si>
    <t>伊賀上　智竣</t>
  </si>
  <si>
    <t>イガウエ　チハヤ</t>
  </si>
  <si>
    <t>上田　真絆斗</t>
  </si>
  <si>
    <t>ウエダ　マナト</t>
  </si>
  <si>
    <t>有永　睦基</t>
  </si>
  <si>
    <t>アリナガ　ムツキ</t>
  </si>
  <si>
    <t>清家　世良</t>
  </si>
  <si>
    <t>セイケ　セラ</t>
  </si>
  <si>
    <t>小川　颯介</t>
  </si>
  <si>
    <t>オガワ　ソウスケ</t>
  </si>
  <si>
    <t>塩月　宗右</t>
  </si>
  <si>
    <t>シオツキ　ソウ</t>
  </si>
  <si>
    <t>矢石　皇惺</t>
  </si>
  <si>
    <t>ヤイシ　コウセイ</t>
  </si>
  <si>
    <t>渡邉　雅功</t>
  </si>
  <si>
    <t>ワタナベ　ガク</t>
  </si>
  <si>
    <t>弥生少年サッカークラブ</t>
  </si>
  <si>
    <t>安達　嘉人</t>
  </si>
  <si>
    <t>アダチ　ヨシト</t>
  </si>
  <si>
    <t>川田　侑</t>
  </si>
  <si>
    <t>カワタ　アツム</t>
  </si>
  <si>
    <t>江藤　陽</t>
  </si>
  <si>
    <t>エトウ　ヒナタ</t>
  </si>
  <si>
    <t>松下　和樹</t>
  </si>
  <si>
    <t>マツシタ　カズキ</t>
  </si>
  <si>
    <t>橋井　航</t>
  </si>
  <si>
    <t>ハシイ　ワタル</t>
  </si>
  <si>
    <t>岡田　琉希</t>
  </si>
  <si>
    <t>オカダ　ルキ</t>
  </si>
  <si>
    <t>工藤　栄伸</t>
  </si>
  <si>
    <t>クドウ　シゲノブ</t>
  </si>
  <si>
    <t>宮脇　陸人</t>
  </si>
  <si>
    <t>ミヤワキ　リクト</t>
  </si>
  <si>
    <t>角崎　暖</t>
  </si>
  <si>
    <t>カクザキ　ハル</t>
  </si>
  <si>
    <t>山村　朔人</t>
  </si>
  <si>
    <t>ヤマムラ　サクト</t>
  </si>
  <si>
    <t>ミウラ　ケンタロウ</t>
  </si>
  <si>
    <t>上堅田少年サッカークラブ</t>
  </si>
  <si>
    <t>大島　佑太</t>
  </si>
  <si>
    <t>オオシマ　ユウタ</t>
  </si>
  <si>
    <t>横山　玲志</t>
  </si>
  <si>
    <t>ヨコヤマ　レイシ</t>
  </si>
  <si>
    <t>柴田　柚希</t>
  </si>
  <si>
    <t>シバタ　ユズキ</t>
  </si>
  <si>
    <t>柴田　賢十</t>
  </si>
  <si>
    <t>シバタ　ケント</t>
  </si>
  <si>
    <t>藤原　颯天</t>
  </si>
  <si>
    <t>フジワラ　ハヤテ</t>
  </si>
  <si>
    <t>古木　岬</t>
  </si>
  <si>
    <t>フルキ　ミサキ</t>
  </si>
  <si>
    <t>鶴岡Ｓ―ｐｌａｙ・ＭＩＮＡＭＩ</t>
  </si>
  <si>
    <t>矢野　海斗</t>
  </si>
  <si>
    <t>ヤノ　カイト</t>
  </si>
  <si>
    <t>津田　楓翔</t>
  </si>
  <si>
    <t>ツダ　フウト</t>
  </si>
  <si>
    <t>本田　一葵</t>
  </si>
  <si>
    <t>ホンダ　イツキ</t>
  </si>
  <si>
    <t>矢野　晶大</t>
  </si>
  <si>
    <t>ヤノ　ショウダイ</t>
  </si>
  <si>
    <t>児玉　隼人</t>
  </si>
  <si>
    <t>コダマ　ハヤト</t>
  </si>
  <si>
    <t>イトウ　シュンタ</t>
  </si>
  <si>
    <t>吉野内　歩真</t>
  </si>
  <si>
    <t>ヨシノウチ　アユマ</t>
  </si>
  <si>
    <t>佐伯リベロフットボールクラブ</t>
  </si>
  <si>
    <t>冨澤　樹</t>
  </si>
  <si>
    <t>トミザワ　イツキ</t>
  </si>
  <si>
    <t>日吉　獅恩</t>
  </si>
  <si>
    <t>ヒヨシ　シオン</t>
  </si>
  <si>
    <t>河野　結人</t>
  </si>
  <si>
    <t>カワノ　ユイト</t>
  </si>
  <si>
    <t>日吉　虎輔</t>
  </si>
  <si>
    <t>ヒヨシ　コスケ</t>
  </si>
  <si>
    <t>佐藤　陽斗</t>
  </si>
  <si>
    <t>サトウ　ハルト</t>
  </si>
  <si>
    <t>上野　蒼太</t>
  </si>
  <si>
    <t>ウエノ　ソウタ</t>
  </si>
  <si>
    <t>児玉　冴徠</t>
  </si>
  <si>
    <t>コダマ　サク</t>
  </si>
  <si>
    <t>山村　悠人</t>
  </si>
  <si>
    <t>ヤマムラ　ヒサト</t>
  </si>
  <si>
    <t>渡邉　翔太</t>
  </si>
  <si>
    <t>ワタナベ　ショウタ</t>
  </si>
  <si>
    <t>上野　杏莉</t>
  </si>
  <si>
    <t>ウエノ　アンリ</t>
  </si>
  <si>
    <t>藤本　大粋</t>
  </si>
  <si>
    <t>フジモト　タイキ</t>
  </si>
  <si>
    <t>別府フットボールクラブ．ミネルバＵ－１２</t>
  </si>
  <si>
    <t>塚田　英翔</t>
  </si>
  <si>
    <t>ツカダ　アルト</t>
  </si>
  <si>
    <t>大石　凌久</t>
  </si>
  <si>
    <t>オオイシ　リク</t>
  </si>
  <si>
    <t>西林　貴臣</t>
  </si>
  <si>
    <t>ニシバヤシ　タカオミ</t>
  </si>
  <si>
    <t>古賀　結景</t>
  </si>
  <si>
    <t>コガ　ユウケイ</t>
  </si>
  <si>
    <t>佐藤　蓮</t>
  </si>
  <si>
    <t>サトウ　レン</t>
  </si>
  <si>
    <t>坂本　海晟</t>
  </si>
  <si>
    <t>サカモト　カイセイ</t>
  </si>
  <si>
    <t>大分トリニータＵ－１２</t>
  </si>
  <si>
    <t>湯之原　旺輔</t>
  </si>
  <si>
    <t>ユノハラ　オウスケ</t>
  </si>
  <si>
    <t>橋本　万璃</t>
  </si>
  <si>
    <t>ハシモト　バンリ</t>
  </si>
  <si>
    <t>藤原　頼翔</t>
  </si>
  <si>
    <t>フジワラ　ライト</t>
  </si>
  <si>
    <t>木許　賀琥</t>
  </si>
  <si>
    <t>キモト　ガク</t>
  </si>
  <si>
    <t>高橋　新ノ介</t>
  </si>
  <si>
    <t>タカハシ　シンノスケ</t>
  </si>
  <si>
    <t>上杉　結希</t>
  </si>
  <si>
    <t>ウエスギ　ユウキ</t>
  </si>
  <si>
    <t>小林　咲翔</t>
  </si>
  <si>
    <t>コバヤシ　サクト</t>
  </si>
  <si>
    <t>黒木　颯馬</t>
  </si>
  <si>
    <t>クロキ　ソウマ</t>
  </si>
  <si>
    <t>碩田サッカースポーツ少年団</t>
  </si>
  <si>
    <t>西村　翔舞</t>
  </si>
  <si>
    <t>ニシムラ　ショウマ</t>
  </si>
  <si>
    <t>久冨　かりん</t>
  </si>
  <si>
    <t>ヒサトミ　カリン</t>
  </si>
  <si>
    <t>宮脇　黄鈴</t>
  </si>
  <si>
    <t>ミヤワキ　キリン</t>
  </si>
  <si>
    <t>安部　咲</t>
  </si>
  <si>
    <t>アベ　サキ</t>
  </si>
  <si>
    <t>竹内　順之丞</t>
  </si>
  <si>
    <t>タケウチ　ジュンノスケ</t>
  </si>
  <si>
    <t>汐月　春斗</t>
  </si>
  <si>
    <t>シオツキ　ハルト</t>
  </si>
  <si>
    <t>江藤　友優</t>
  </si>
  <si>
    <t>エトウ　ユウマ</t>
  </si>
  <si>
    <t>江藤　翼</t>
  </si>
  <si>
    <t>エトウ　ツバサ</t>
  </si>
  <si>
    <t>オザキ　ワタル</t>
  </si>
  <si>
    <t>南大分サッカー少年団</t>
  </si>
  <si>
    <t>佐藤　大地</t>
  </si>
  <si>
    <t>サトウ　ダイチ</t>
  </si>
  <si>
    <t>河野　安璃</t>
  </si>
  <si>
    <t>カワノ　アンリ</t>
  </si>
  <si>
    <t>山﨑　碧真</t>
  </si>
  <si>
    <t>ヤマサキ　アオマ</t>
  </si>
  <si>
    <t>山﨑　颯真</t>
  </si>
  <si>
    <t>ヤマサキ　ソウマ</t>
  </si>
  <si>
    <t>小野　豹雅</t>
  </si>
  <si>
    <t>オノ　ヒョウガ</t>
  </si>
  <si>
    <t>小野　烈魁</t>
  </si>
  <si>
    <t>オノ　レッカ</t>
  </si>
  <si>
    <t>草野　煌太</t>
  </si>
  <si>
    <t>クサノ　コウタ</t>
  </si>
  <si>
    <t>岡原　瑞月</t>
  </si>
  <si>
    <t>オカハラ　ミヅキ</t>
  </si>
  <si>
    <t>二ノ宮　颯太</t>
  </si>
  <si>
    <t>ニノミヤ　ソウタ</t>
  </si>
  <si>
    <t>森下　葵翔</t>
  </si>
  <si>
    <t>モリシタ　アオト</t>
  </si>
  <si>
    <t>アトレチコエラン横瀬</t>
  </si>
  <si>
    <t>和田　湊樹</t>
  </si>
  <si>
    <t>ワダ　ソウキ</t>
  </si>
  <si>
    <t>三澤　碧空</t>
  </si>
  <si>
    <t>ミサワ　ソラ</t>
  </si>
  <si>
    <t>松下　新</t>
  </si>
  <si>
    <t>マツシタ　アラタ</t>
  </si>
  <si>
    <t>元島　拓海</t>
  </si>
  <si>
    <t>モトシマ　タクミ</t>
  </si>
  <si>
    <t>仁部屋　友希</t>
  </si>
  <si>
    <t>ニブヤ　ユウキ</t>
  </si>
  <si>
    <t>阿部　唯信</t>
  </si>
  <si>
    <t>アベ　ユイシン</t>
  </si>
  <si>
    <t>平野　聖樹</t>
  </si>
  <si>
    <t>ヒラノ　イブキ</t>
  </si>
  <si>
    <t>日野　結翔</t>
  </si>
  <si>
    <t>ヒノ　ユイト</t>
  </si>
  <si>
    <t>三浦　颯斗</t>
  </si>
  <si>
    <t>ミウラ　ハヤト</t>
  </si>
  <si>
    <t>荻本　圭</t>
  </si>
  <si>
    <t>オギモト　ケイ</t>
  </si>
  <si>
    <t>明野北フットボールクラブ</t>
  </si>
  <si>
    <t>中野　幹太</t>
  </si>
  <si>
    <t>ナカノ　カンタ</t>
  </si>
  <si>
    <t>黒川　壱綺</t>
  </si>
  <si>
    <t>クロカワ　イチギ</t>
  </si>
  <si>
    <t>明治北ＳＳＣ</t>
  </si>
  <si>
    <t>小川　英志</t>
  </si>
  <si>
    <t>オガワ　エイジ</t>
  </si>
  <si>
    <t>エトウ　コウスケ</t>
  </si>
  <si>
    <t>阿孫　悠琉</t>
  </si>
  <si>
    <t>アソン　ハル</t>
  </si>
  <si>
    <t>一万田　蓮</t>
  </si>
  <si>
    <t>イチマンダ　レン</t>
  </si>
  <si>
    <t>井上　椋太</t>
  </si>
  <si>
    <t>イノウエ　リョウタ</t>
  </si>
  <si>
    <t>石黒　大智</t>
  </si>
  <si>
    <t>イシグロ　ダイチ</t>
  </si>
  <si>
    <t>フルカワ　コウヘイ</t>
  </si>
  <si>
    <t>高橋　英斗</t>
  </si>
  <si>
    <t>タカハシ　エイト</t>
  </si>
  <si>
    <t>西村　央</t>
  </si>
  <si>
    <t>ニシムラ　オウ</t>
  </si>
  <si>
    <t>中村　一心</t>
  </si>
  <si>
    <t>ナカムラ　イッシン</t>
  </si>
  <si>
    <t>森田　亘英</t>
  </si>
  <si>
    <t>モリタ　ノブヒデ</t>
  </si>
  <si>
    <t>明野東サッカースポーツ少年団</t>
  </si>
  <si>
    <t>藤山　陸斗</t>
  </si>
  <si>
    <t>フジヤマ　リクト</t>
  </si>
  <si>
    <t>オノ　オウシロウ</t>
  </si>
  <si>
    <t>佐藤　魁音</t>
  </si>
  <si>
    <t>サトウ　カイト</t>
  </si>
  <si>
    <t>朝倉　宏天</t>
  </si>
  <si>
    <t>アサクラ　ヒロタカ</t>
  </si>
  <si>
    <t>加藤　咲妃</t>
  </si>
  <si>
    <t>カトウ　サキ</t>
  </si>
  <si>
    <t>甲斐　錬介</t>
  </si>
  <si>
    <t>カイ　レンスケ</t>
  </si>
  <si>
    <t>櫛間　椿</t>
  </si>
  <si>
    <t>クシマ　ツバキ</t>
  </si>
  <si>
    <t>岩尾　彩華</t>
  </si>
  <si>
    <t>イワオ　アヤカ</t>
  </si>
  <si>
    <t>清原　睦貴</t>
  </si>
  <si>
    <t>キヨハラ　ムツキ</t>
  </si>
  <si>
    <t>武田　歩睦</t>
  </si>
  <si>
    <t>タケダ　アユム</t>
  </si>
  <si>
    <t>大道サッカースポーツ少年団</t>
  </si>
  <si>
    <t>石井　智也</t>
  </si>
  <si>
    <t>イシイ　トモヤ</t>
  </si>
  <si>
    <t>益子　航</t>
  </si>
  <si>
    <t>マシコ　ワタル</t>
  </si>
  <si>
    <t>橋本　拓弥</t>
  </si>
  <si>
    <t>ハシモト　タクヤ</t>
  </si>
  <si>
    <t>二宮　渉</t>
  </si>
  <si>
    <t>ニノミヤ　ワタル</t>
  </si>
  <si>
    <t>佐藤　想真</t>
  </si>
  <si>
    <t>サトウ　ソウマ</t>
  </si>
  <si>
    <t>帶刀　春馬</t>
  </si>
  <si>
    <t>タテワキ　ハルマ</t>
  </si>
  <si>
    <t>岐部　樹希</t>
  </si>
  <si>
    <t>キベ　タツキ</t>
  </si>
  <si>
    <t>東稙田サッカースポーツ少年団</t>
  </si>
  <si>
    <t>カイ　ミナト</t>
  </si>
  <si>
    <t>ゴトウ　ユウセイ</t>
  </si>
  <si>
    <t>ゴトウ　コウセイ</t>
  </si>
  <si>
    <t>寒田．敷戸ＦＣ</t>
  </si>
  <si>
    <t>後藤　渚玖</t>
  </si>
  <si>
    <t>ゴトウ　サク</t>
  </si>
  <si>
    <t>サイトウ　ヒナタ</t>
  </si>
  <si>
    <t>宮脇　百合愛</t>
  </si>
  <si>
    <t>ミヤワキ　リリア</t>
  </si>
  <si>
    <t>廣瀬　開</t>
  </si>
  <si>
    <t>ヒロセ　カイ</t>
  </si>
  <si>
    <t>堀　夢希</t>
  </si>
  <si>
    <t>ホリ　ユノン</t>
  </si>
  <si>
    <t>河野　蘭心</t>
  </si>
  <si>
    <t>カワノ　ラン</t>
  </si>
  <si>
    <t>福田　翔</t>
  </si>
  <si>
    <t>フクダ　ショウ</t>
  </si>
  <si>
    <t>廣瀬　圭</t>
  </si>
  <si>
    <t>ヒロセ　ケイ</t>
  </si>
  <si>
    <t>滝尾下郡サッカースポーツ少年団</t>
  </si>
  <si>
    <t>藤原　亜希斗</t>
  </si>
  <si>
    <t>フジワラ　アキト</t>
  </si>
  <si>
    <t>井　成生</t>
  </si>
  <si>
    <t>イ　ナルキ</t>
  </si>
  <si>
    <t>豊府サッカースポーツ少年団</t>
  </si>
  <si>
    <t>友永　大翔</t>
  </si>
  <si>
    <t>トモナガ　ヒロト</t>
  </si>
  <si>
    <t>前田　隆之介</t>
  </si>
  <si>
    <t>マエダ　リュウノスケ</t>
  </si>
  <si>
    <t>土谷　兼世</t>
  </si>
  <si>
    <t>ツチヤ　ケンセイ</t>
  </si>
  <si>
    <t>植田　琉海</t>
  </si>
  <si>
    <t>ウエダ　ルイ</t>
  </si>
  <si>
    <t>大野　広翔</t>
  </si>
  <si>
    <t>オオノ　ヒロト</t>
  </si>
  <si>
    <t>釘宮　康人</t>
  </si>
  <si>
    <t>クギミヤ　コウト</t>
  </si>
  <si>
    <t>アベ　ミズキ</t>
  </si>
  <si>
    <t>内田　麟太朗</t>
  </si>
  <si>
    <t>ウチダ　リンタロウ</t>
  </si>
  <si>
    <t>ハヤシ　コウタ</t>
  </si>
  <si>
    <t>野尻　風羽</t>
  </si>
  <si>
    <t>ノジリ　フウ</t>
  </si>
  <si>
    <t>明治サッカースポーツ少年団</t>
  </si>
  <si>
    <t>安藤　心大</t>
  </si>
  <si>
    <t>アンドウ　シンタ</t>
  </si>
  <si>
    <t>相川　莉久</t>
  </si>
  <si>
    <t>アイカワ　リク</t>
  </si>
  <si>
    <t>河野　桜晴</t>
  </si>
  <si>
    <t>カワノ　オウセイ</t>
  </si>
  <si>
    <t>金高　光哉</t>
  </si>
  <si>
    <t>カネタカ　コウヤ</t>
  </si>
  <si>
    <t>古澤　愛斗</t>
  </si>
  <si>
    <t>フルサワ　マナト</t>
  </si>
  <si>
    <t>園田　蓮</t>
  </si>
  <si>
    <t>ソノダ　レン</t>
  </si>
  <si>
    <t>阿部　哲大</t>
  </si>
  <si>
    <t>アベ　テツト</t>
  </si>
  <si>
    <t>古屋　直己</t>
  </si>
  <si>
    <t>コヤ　ナオキ</t>
  </si>
  <si>
    <t>藤澤　健琉</t>
  </si>
  <si>
    <t>フジサワ　タケル</t>
  </si>
  <si>
    <t>植木　杏亮</t>
  </si>
  <si>
    <t>明野西ＪＦＣ</t>
  </si>
  <si>
    <t>喜多　陽喜</t>
  </si>
  <si>
    <t>キタ　ハルキ</t>
  </si>
  <si>
    <t>アダチ　リク</t>
  </si>
  <si>
    <t>タカナミ　リョウマ</t>
  </si>
  <si>
    <t>井上　篤志</t>
  </si>
  <si>
    <t>イノウエ　アツシ</t>
  </si>
  <si>
    <t>カワベ　トウゴ</t>
  </si>
  <si>
    <t>長澤　友輝</t>
  </si>
  <si>
    <t>ナガサワ　トモキ</t>
  </si>
  <si>
    <t>金池長浜サッカースポーツ少年団</t>
  </si>
  <si>
    <t>小野　湊人</t>
  </si>
  <si>
    <t>オノ　ミナト</t>
  </si>
  <si>
    <t>安東　周平</t>
  </si>
  <si>
    <t>アンドウ　シュウヘイ</t>
  </si>
  <si>
    <t>丸田　恵也</t>
  </si>
  <si>
    <t>マルタ　ケイヤ</t>
  </si>
  <si>
    <t>牛野　瑛太</t>
  </si>
  <si>
    <t>ウシノ　エイタ</t>
  </si>
  <si>
    <t>三ノ宮　作太郎</t>
  </si>
  <si>
    <t>サンノミヤ　サクタロウ</t>
  </si>
  <si>
    <t>荒金　総志</t>
  </si>
  <si>
    <t>アラカネ　ソウシ</t>
  </si>
  <si>
    <t>八幡サッカースポーツ少年団</t>
  </si>
  <si>
    <t>衞藤　優太</t>
  </si>
  <si>
    <t>エトウ　ユウタ</t>
  </si>
  <si>
    <t>後藤　叶翔</t>
  </si>
  <si>
    <t>ゴトウ　トア</t>
  </si>
  <si>
    <t>後藤　翔琉</t>
  </si>
  <si>
    <t>ゴトウ　カイリ</t>
  </si>
  <si>
    <t>小川　湊斗</t>
  </si>
  <si>
    <t>オガワ　ミナト</t>
  </si>
  <si>
    <t>長尾　龍真</t>
  </si>
  <si>
    <t>ナガオ　リョウマ</t>
  </si>
  <si>
    <t>二宮　蓮王</t>
  </si>
  <si>
    <t>ニノミヤ　レオ</t>
  </si>
  <si>
    <t>畑上　湊</t>
  </si>
  <si>
    <t>ハタガミ　ミナト</t>
  </si>
  <si>
    <t>稙田ＦＣサッカースポーツ少年団</t>
  </si>
  <si>
    <t>高橋　桜将</t>
  </si>
  <si>
    <t>タカハシ　オウスケ</t>
  </si>
  <si>
    <t>安野　七音</t>
  </si>
  <si>
    <t>ヤスノ　ナオト</t>
  </si>
  <si>
    <t>北郡坂ノ市サッカースポーツ少年団</t>
  </si>
  <si>
    <t>佐藤　蓮斗</t>
  </si>
  <si>
    <t>サトウ　レント</t>
  </si>
  <si>
    <t>カワベ　ソウタ</t>
  </si>
  <si>
    <t>牧　凛生</t>
  </si>
  <si>
    <t>マキ　リオウ</t>
  </si>
  <si>
    <t>日高　颯真</t>
  </si>
  <si>
    <t>釘宮　蓮</t>
  </si>
  <si>
    <t>クギミヤ　レン</t>
  </si>
  <si>
    <t>オノ　ハルト</t>
  </si>
  <si>
    <t>田尻サッカースポーツ少年団</t>
  </si>
  <si>
    <t>原田　蒼汰</t>
  </si>
  <si>
    <t>ハラダ　ソウタ</t>
  </si>
  <si>
    <t>後藤　生翔</t>
  </si>
  <si>
    <t>ゴトウ　イクト</t>
  </si>
  <si>
    <t>萱田　桜凰</t>
  </si>
  <si>
    <t>カヤタ　レオ</t>
  </si>
  <si>
    <t>後藤　蒼翔</t>
  </si>
  <si>
    <t>下元　脩希</t>
  </si>
  <si>
    <t>シモモト　ハルキ</t>
  </si>
  <si>
    <t>小曽根　育太</t>
  </si>
  <si>
    <t>コゾネ　イクタ</t>
  </si>
  <si>
    <t>和田　彩人</t>
  </si>
  <si>
    <t>ワダ　アヤト</t>
  </si>
  <si>
    <t>山崎　璃道</t>
  </si>
  <si>
    <t>ヤマサキ　リドウ</t>
  </si>
  <si>
    <t>後藤　絢人</t>
  </si>
  <si>
    <t>ゴトウ　アヤト</t>
  </si>
  <si>
    <t>村山　ことね</t>
  </si>
  <si>
    <t>ムラヤマ　コトネ</t>
  </si>
  <si>
    <t>後藤　大翔</t>
  </si>
  <si>
    <t>ゴトウ　タイガ</t>
  </si>
  <si>
    <t>泉　琉希</t>
  </si>
  <si>
    <t>イズミ　リュウキ</t>
  </si>
  <si>
    <t>桃園サッカースポーツ少年団</t>
  </si>
  <si>
    <t>村上　陽哉</t>
  </si>
  <si>
    <t>ムラカミ　ハルヤ</t>
  </si>
  <si>
    <t>竹内　新汰</t>
  </si>
  <si>
    <t>タケウチ　アラタ</t>
  </si>
  <si>
    <t>三浦　悠生</t>
  </si>
  <si>
    <t>ミウラ　ハルキ</t>
  </si>
  <si>
    <t>小畠　健</t>
  </si>
  <si>
    <t>オバタ　タケル</t>
  </si>
  <si>
    <t>西　琉汰</t>
  </si>
  <si>
    <t>ニシ　リュウタ</t>
  </si>
  <si>
    <t>馬場　栄汰</t>
  </si>
  <si>
    <t>ババ　エイタ</t>
  </si>
  <si>
    <t>野崎　佑斗</t>
  </si>
  <si>
    <t>ノザキ　ユウト</t>
  </si>
  <si>
    <t>高井　琉雅</t>
  </si>
  <si>
    <t>タカイ　リュウガ</t>
  </si>
  <si>
    <t>此本　晴仁</t>
  </si>
  <si>
    <t>コノモト　ハルヒト</t>
  </si>
  <si>
    <t>高月　海真</t>
  </si>
  <si>
    <t>タカツキ　カイシン</t>
  </si>
  <si>
    <t>ミウラ　タケル</t>
  </si>
  <si>
    <t>渡町台サッカークラブ</t>
  </si>
  <si>
    <t>多田　怜真</t>
  </si>
  <si>
    <t>タダ　リョウマ</t>
  </si>
  <si>
    <t>宮脇　遙冴</t>
  </si>
  <si>
    <t>ミヤワキ　ハルヒ</t>
  </si>
  <si>
    <t>青木　大和</t>
  </si>
  <si>
    <t>アオキ　ヤマト</t>
  </si>
  <si>
    <t>上杉　想真</t>
  </si>
  <si>
    <t>ウエスギ　ソウマ</t>
  </si>
  <si>
    <t>團塚　煌</t>
  </si>
  <si>
    <t>ダンヅカ　コウ</t>
  </si>
  <si>
    <t>安藤　岳</t>
  </si>
  <si>
    <t>アンドウ　ガク</t>
  </si>
  <si>
    <t>橋迫　大河</t>
  </si>
  <si>
    <t>山本　悠真</t>
  </si>
  <si>
    <t>ヤマモト　ユウマ</t>
  </si>
  <si>
    <t>白江　朔麻</t>
  </si>
  <si>
    <t>シラエ　サクマ</t>
  </si>
  <si>
    <t>西の台ＪＦＣ</t>
  </si>
  <si>
    <t>首藤　悠緋</t>
  </si>
  <si>
    <t>シュトウ　ユウヒ</t>
  </si>
  <si>
    <t>イワオ　コウスケ</t>
  </si>
  <si>
    <t>青木　稜羽</t>
  </si>
  <si>
    <t>アオキ　リウ</t>
  </si>
  <si>
    <t>マツオ　エイト</t>
  </si>
  <si>
    <t>大茂　蓮人</t>
  </si>
  <si>
    <t>オオシゲ　レント</t>
  </si>
  <si>
    <t>テシマ　コウシロウ</t>
  </si>
  <si>
    <t>江藤　大央</t>
  </si>
  <si>
    <t>エトウ　タオ</t>
  </si>
  <si>
    <t>阿南　大和</t>
  </si>
  <si>
    <t>アナミ　ヤマト</t>
  </si>
  <si>
    <t>秋吉　侃太</t>
  </si>
  <si>
    <t>アキヨシ　カンタ</t>
  </si>
  <si>
    <t>大野　拓翔</t>
  </si>
  <si>
    <t>オオノ　タクト</t>
  </si>
  <si>
    <t>豊後高田ＦＣ　Ｂｏｒｄｅｒ　Ｊｒ</t>
  </si>
  <si>
    <t>安藤　心翔</t>
  </si>
  <si>
    <t>アンドウ　マナト</t>
  </si>
  <si>
    <t>市原　琉生</t>
  </si>
  <si>
    <t>竹田直入ＦＣ</t>
  </si>
  <si>
    <t>小林　里奈</t>
  </si>
  <si>
    <t>コバヤシ　リナ</t>
  </si>
  <si>
    <t>サカモト　ハル</t>
  </si>
  <si>
    <t>渡邊　彩人</t>
  </si>
  <si>
    <t>ワタナベ　アヤト</t>
  </si>
  <si>
    <t>後藤　侑大</t>
  </si>
  <si>
    <t>ゴトウ　ユウタ</t>
  </si>
  <si>
    <t>森　煌太郎</t>
  </si>
  <si>
    <t>モリ　コウタロウ</t>
  </si>
  <si>
    <t>土屋　澄怜</t>
  </si>
  <si>
    <t>ツチヤ　スミレ</t>
  </si>
  <si>
    <t>田村　鷹雪</t>
  </si>
  <si>
    <t>タムラ　タカユキ</t>
  </si>
  <si>
    <t>佐田　稜祐</t>
  </si>
  <si>
    <t>サダ　リョウスケ</t>
  </si>
  <si>
    <t>村上　真威人</t>
  </si>
  <si>
    <t>ムラカミ　マイト</t>
  </si>
  <si>
    <t>南立石サッカースポーツ少年団</t>
  </si>
  <si>
    <t>松浦　幸輝</t>
  </si>
  <si>
    <t>マツウラ　コウキ</t>
  </si>
  <si>
    <t>川瀬　晴斗</t>
  </si>
  <si>
    <t>カワセ　ハルト</t>
  </si>
  <si>
    <t>澤井　司聡</t>
  </si>
  <si>
    <t>サワイ　ツカサ</t>
  </si>
  <si>
    <t>佐藤　譲治</t>
  </si>
  <si>
    <t>サトウ　ジョウジ</t>
  </si>
  <si>
    <t>大久保　孝紀</t>
  </si>
  <si>
    <t>オオクボ　コウキ</t>
  </si>
  <si>
    <t>イノウエ　ハルト</t>
  </si>
  <si>
    <t>廣田　瑠依</t>
  </si>
  <si>
    <t>ヒロタ　ルイ</t>
  </si>
  <si>
    <t>釘宮　旭希</t>
  </si>
  <si>
    <t>クギミヤ　アサキ</t>
  </si>
  <si>
    <t>本田　光</t>
  </si>
  <si>
    <t>ホンダ　レイ</t>
  </si>
  <si>
    <t>ドリームキッズフットボールクラブ</t>
  </si>
  <si>
    <t>石田　頼樹</t>
  </si>
  <si>
    <t>イシダ　ライキ</t>
  </si>
  <si>
    <t>木村　琳一</t>
  </si>
  <si>
    <t>キムラ　リヒト</t>
  </si>
  <si>
    <t>宇野　藤獅郎</t>
  </si>
  <si>
    <t>ウノ　トウシロウ</t>
  </si>
  <si>
    <t>中鶴　悠翔</t>
  </si>
  <si>
    <t>ナカツル　ユウト</t>
  </si>
  <si>
    <t>池田　蒼梧</t>
  </si>
  <si>
    <t>イケダ　ソウゴ</t>
  </si>
  <si>
    <t>大塚　優河</t>
  </si>
  <si>
    <t>オオツカ　ユウガ</t>
  </si>
  <si>
    <t>カイ　サクト</t>
  </si>
  <si>
    <t>東陽フットボールクラブ</t>
  </si>
  <si>
    <t>児玉　颯汰</t>
  </si>
  <si>
    <t>コダマ　ソウタ</t>
  </si>
  <si>
    <t>安部　伍輝</t>
  </si>
  <si>
    <t>アベ　イツキ</t>
  </si>
  <si>
    <t>政村　春瑠</t>
  </si>
  <si>
    <t>マサムラ　ハル</t>
  </si>
  <si>
    <t>鶴原　瑞葵</t>
  </si>
  <si>
    <t>ツルハラ　ミズキ</t>
  </si>
  <si>
    <t>椎葉　琉稀</t>
  </si>
  <si>
    <t>シイバ　ルキ</t>
  </si>
  <si>
    <t>松尾　翔</t>
  </si>
  <si>
    <t>マツオ　ショウ</t>
  </si>
  <si>
    <t>鹿内　叶蹴</t>
  </si>
  <si>
    <t>シカナイ　カケル</t>
  </si>
  <si>
    <t>松本　優志</t>
  </si>
  <si>
    <t>マツモト　ユウシ</t>
  </si>
  <si>
    <t>ワタナベ　マサムネ</t>
  </si>
  <si>
    <t>ＯＫＹ山香サッカークラブ</t>
  </si>
  <si>
    <t>小松　直輝</t>
  </si>
  <si>
    <t>コマツ　ナオキ</t>
  </si>
  <si>
    <t>山本　京次郎</t>
  </si>
  <si>
    <t>ヤマモト　キョウジロウ</t>
  </si>
  <si>
    <t>釜堀　廉士</t>
  </si>
  <si>
    <t>カマホリ　レント</t>
  </si>
  <si>
    <t>アベ　ソウマ</t>
  </si>
  <si>
    <t>臼杵ＳＳＳ</t>
  </si>
  <si>
    <t>林　悠羽</t>
  </si>
  <si>
    <t>ハヤシ　ユウワ</t>
  </si>
  <si>
    <t>タカノ　ソウスケ</t>
  </si>
  <si>
    <t>眞庭　航</t>
  </si>
  <si>
    <t>マニワ　コウ</t>
  </si>
  <si>
    <t>芥川　勇翔</t>
  </si>
  <si>
    <t>アクタガワ　ユウト</t>
  </si>
  <si>
    <t>薬師寺　洵翔</t>
  </si>
  <si>
    <t>ヤクシジ　シュント</t>
  </si>
  <si>
    <t>椎原　颯哉</t>
  </si>
  <si>
    <t>シイハラ　ソウヤ</t>
  </si>
  <si>
    <t>大戸　隆成</t>
  </si>
  <si>
    <t>ネギ　リュウセイ</t>
  </si>
  <si>
    <t>伊東　武流</t>
  </si>
  <si>
    <t>イトウ　タケル</t>
  </si>
  <si>
    <t>芦刈　仁</t>
  </si>
  <si>
    <t>アシカリ　ジン</t>
  </si>
  <si>
    <t>挾間ＪＦＣ</t>
  </si>
  <si>
    <t>渡辺　晃大</t>
  </si>
  <si>
    <t>ワタナベ　コウタ</t>
  </si>
  <si>
    <t>藤原　颯大</t>
  </si>
  <si>
    <t>フジワラ　ソウタ</t>
  </si>
  <si>
    <t>橋本　拓翔</t>
  </si>
  <si>
    <t>ハシモト　タクト</t>
  </si>
  <si>
    <t>依田　侑大</t>
  </si>
  <si>
    <t>ヨダ　ユウダイ</t>
  </si>
  <si>
    <t>山本　康人</t>
  </si>
  <si>
    <t>ヤマモト　ヤスヒト</t>
  </si>
  <si>
    <t>佐藤　湊斗</t>
  </si>
  <si>
    <t>サトウ　ミナト</t>
  </si>
  <si>
    <t>佐藤　永祐</t>
  </si>
  <si>
    <t>サトウ　エイスケ</t>
  </si>
  <si>
    <t>後藤　玖瑠</t>
  </si>
  <si>
    <t>ゴトウ　キイル</t>
  </si>
  <si>
    <t>ＦＣ安岐</t>
  </si>
  <si>
    <t>勝見　悠樹</t>
  </si>
  <si>
    <t>カツミ　ユウキ</t>
  </si>
  <si>
    <t>松丸　真大</t>
  </si>
  <si>
    <t>マツマル　マサト</t>
  </si>
  <si>
    <t>仮屋　月雲</t>
  </si>
  <si>
    <t>カリヤ　ツクモ</t>
  </si>
  <si>
    <t>小玉　湊翔</t>
  </si>
  <si>
    <t>コダマ　ミナト</t>
  </si>
  <si>
    <t>矢野　拓己</t>
  </si>
  <si>
    <t>ヤノ　タクミ</t>
  </si>
  <si>
    <t>橋本　理央</t>
  </si>
  <si>
    <t>ハシモト　リオ</t>
  </si>
  <si>
    <t>伊賀上　陸</t>
  </si>
  <si>
    <t>イガガミ　リク</t>
  </si>
  <si>
    <t>スマイス・セレソン</t>
  </si>
  <si>
    <t>ヨコタ　マキ</t>
  </si>
  <si>
    <t>桒野　董士</t>
  </si>
  <si>
    <t>クワノ　トウジ</t>
  </si>
  <si>
    <t>クワノ　ユリナ</t>
  </si>
  <si>
    <t>松田　煌</t>
  </si>
  <si>
    <t>マツダ　コウ</t>
  </si>
  <si>
    <t>松尾　颯磨</t>
  </si>
  <si>
    <t>マツオ　ソウマ</t>
  </si>
  <si>
    <t>工藤　義人</t>
  </si>
  <si>
    <t>クドウ　ヨシト</t>
  </si>
  <si>
    <t>マツモト　ユウリ</t>
  </si>
  <si>
    <t>カティオーラフットボールクラブＵ－１２</t>
  </si>
  <si>
    <t>三崎　陸翔</t>
  </si>
  <si>
    <t>ミサキ　リクト</t>
  </si>
  <si>
    <t>夏井　陸</t>
  </si>
  <si>
    <t>ナツイ　リク</t>
  </si>
  <si>
    <t>池永　煌一朗</t>
  </si>
  <si>
    <t>イケナガ　コウイチロウ</t>
  </si>
  <si>
    <t>菅　健琉</t>
  </si>
  <si>
    <t>スガ　タケル</t>
  </si>
  <si>
    <t>河野　朔</t>
  </si>
  <si>
    <t>カワノ　サク</t>
  </si>
  <si>
    <t>宮本　歩真</t>
  </si>
  <si>
    <t>ミヤモト　アルマ</t>
  </si>
  <si>
    <t>南　祐輔</t>
  </si>
  <si>
    <t>ミナミ　ユウスケ</t>
  </si>
  <si>
    <t>河野　蒼空</t>
  </si>
  <si>
    <t>カワノ　ソラ</t>
  </si>
  <si>
    <t>山﨑　耕大</t>
  </si>
  <si>
    <t>ヤマサキ　コウダイ</t>
  </si>
  <si>
    <t>池田　龍之介</t>
  </si>
  <si>
    <t>イケダ　リュウノスケ</t>
  </si>
  <si>
    <t>川上　倫央</t>
  </si>
  <si>
    <t>カワカミ　リオン</t>
  </si>
  <si>
    <t>カティオーラフットボールクラブＵ－１２　Ｎｅｘｔ</t>
  </si>
  <si>
    <t>岩永　燈和</t>
  </si>
  <si>
    <t>イワナガ　トワ</t>
  </si>
  <si>
    <t>園　智尋</t>
  </si>
  <si>
    <t>ソノ　チヒロ</t>
  </si>
  <si>
    <t>横尾　優空</t>
  </si>
  <si>
    <t>ヨコオ　ソラ</t>
  </si>
  <si>
    <t>麻生　健心</t>
  </si>
  <si>
    <t>アソウ　ケンシン</t>
  </si>
  <si>
    <t>猪原　秀哉</t>
  </si>
  <si>
    <t>イハラ　シュウヤ</t>
  </si>
  <si>
    <t>實方　萌莉</t>
  </si>
  <si>
    <t>ジツカタ　メリ</t>
  </si>
  <si>
    <t>志村　聖</t>
  </si>
  <si>
    <t>シムラ　ヒジリ</t>
  </si>
  <si>
    <t>カティオーラフットボールクラブＵ－１２　Ｆｕｔｕｒｅ</t>
  </si>
  <si>
    <t>阿南　幸助</t>
  </si>
  <si>
    <t>アナン　コウスケ</t>
  </si>
  <si>
    <t>川野　優斗</t>
  </si>
  <si>
    <t>カワノ　ユウト</t>
  </si>
  <si>
    <t>コテガワ　トモキ</t>
  </si>
  <si>
    <t>森岡サッカースポーツ少年団</t>
  </si>
  <si>
    <t>長岡　蒼空</t>
  </si>
  <si>
    <t>ナガオカ　ソラ</t>
  </si>
  <si>
    <t>角谷　春樹</t>
  </si>
  <si>
    <t>カクヤ　ハルキ</t>
  </si>
  <si>
    <t>由布川サッカースポーツ少年団</t>
  </si>
  <si>
    <t>アベ　ユウマ</t>
  </si>
  <si>
    <t>片山　峻吾</t>
  </si>
  <si>
    <t>カタヤマ　シュンゴ</t>
  </si>
  <si>
    <t>佐田　優心</t>
  </si>
  <si>
    <t>サダ　ユウシン</t>
  </si>
  <si>
    <t>佐藤　祐翔</t>
  </si>
  <si>
    <t>サトウ　ユウト</t>
  </si>
  <si>
    <t>大塚　遥希</t>
  </si>
  <si>
    <t>オオツカ　ハルキ</t>
  </si>
  <si>
    <t>ＫＩＮＧＳ　ＦＯＯＴＢＡＬＬＣＬＵＢ　Ｕ－１２</t>
  </si>
  <si>
    <t>麻生　明秀</t>
  </si>
  <si>
    <t>アソウ　アキヒデ</t>
  </si>
  <si>
    <t>桑原　匡輝</t>
  </si>
  <si>
    <t>クワバラ　コウキ</t>
  </si>
  <si>
    <t>平川　雄惺</t>
  </si>
  <si>
    <t>ヒラカワ　ユウセイ</t>
  </si>
  <si>
    <t>下瀬　魁莉</t>
  </si>
  <si>
    <t>シモセ　カイリ</t>
  </si>
  <si>
    <t>山本　大海</t>
  </si>
  <si>
    <t>ヤマモト　タイガ</t>
  </si>
  <si>
    <t>宮田　柊真</t>
  </si>
  <si>
    <t>ミヤタ　トウマ</t>
  </si>
  <si>
    <t>亀井　嘉人</t>
  </si>
  <si>
    <t>カメイ　ヨシト</t>
  </si>
  <si>
    <t>スマイスＦＣ</t>
  </si>
  <si>
    <t>タカハシ　ソウタ</t>
  </si>
  <si>
    <t>矢野　遥陽</t>
  </si>
  <si>
    <t>ヤノ　ハルヒ</t>
  </si>
  <si>
    <t>市浜レッドソックス</t>
  </si>
  <si>
    <t>三城　碧葉</t>
  </si>
  <si>
    <t>ミシロ　アオバ</t>
  </si>
  <si>
    <t>三浦　航雅</t>
  </si>
  <si>
    <t>ミウラ　コウガ</t>
  </si>
  <si>
    <t>郡田　匠</t>
  </si>
  <si>
    <t>コオリダ　タクミ</t>
  </si>
  <si>
    <t>吉良　太輝</t>
  </si>
  <si>
    <t>キラ　タイキ</t>
  </si>
  <si>
    <t>東　定臣</t>
  </si>
  <si>
    <t>ヒガシ　サダオミ</t>
  </si>
  <si>
    <t>県央おおのＪＦＣ</t>
  </si>
  <si>
    <t>小野　琢磨</t>
  </si>
  <si>
    <t>オノ　タクマ</t>
  </si>
  <si>
    <t>杉　逞斗</t>
  </si>
  <si>
    <t>スギ　タク</t>
  </si>
  <si>
    <t>小野　陽斗</t>
  </si>
  <si>
    <t>河辺　光央</t>
  </si>
  <si>
    <t>カワベ　コオ</t>
  </si>
  <si>
    <t>森田　彩加</t>
  </si>
  <si>
    <t>モリタ　アヤカ</t>
  </si>
  <si>
    <t>狭間　陽奈太</t>
  </si>
  <si>
    <t>ハザマ　ヒナタ</t>
  </si>
  <si>
    <t>ブルーウイングフットボールクラブ</t>
  </si>
  <si>
    <t>田口　椋雅</t>
  </si>
  <si>
    <t>タグチ　リョウガ</t>
  </si>
  <si>
    <t>安元　伊月</t>
  </si>
  <si>
    <t>ヤスモト　イツキ</t>
  </si>
  <si>
    <t>竹尾　蓮司</t>
  </si>
  <si>
    <t>タケオ　レンジ</t>
  </si>
  <si>
    <t>田羽多　利希亜</t>
  </si>
  <si>
    <t>タバタ　リキア</t>
  </si>
  <si>
    <t>秋月　太一</t>
  </si>
  <si>
    <t>アキヅキ　タイチ</t>
  </si>
  <si>
    <t>梅尾　俊介</t>
  </si>
  <si>
    <t>ウメオ　シュンスケ</t>
  </si>
  <si>
    <t>田邉　結大</t>
  </si>
  <si>
    <t>タナベ　ユウダイ</t>
  </si>
  <si>
    <t>向　一志</t>
  </si>
  <si>
    <t>ムコウ　ヒトシ</t>
  </si>
  <si>
    <t>横山　成毅</t>
  </si>
  <si>
    <t>ヨコヤマ　ナルキ</t>
  </si>
  <si>
    <t>岩本　蒼</t>
  </si>
  <si>
    <t>イワモト　アオイ</t>
  </si>
  <si>
    <t>カイ　リンタロウ</t>
  </si>
  <si>
    <t>小野　琥太郎</t>
  </si>
  <si>
    <t>オノ　コタロウ</t>
  </si>
  <si>
    <t>ミヤモト　アユム</t>
  </si>
  <si>
    <t>ようこくバンビーレＦＣ</t>
  </si>
  <si>
    <t>黒田　琉生</t>
  </si>
  <si>
    <t>クロダ　リュウキ</t>
  </si>
  <si>
    <t>幸長　淳斗</t>
  </si>
  <si>
    <t>ユキナガ　アツト</t>
  </si>
  <si>
    <t>宮下　陽真</t>
  </si>
  <si>
    <t>ミヤシタ　ハルマ</t>
  </si>
  <si>
    <t>幸長　梨央</t>
  </si>
  <si>
    <t>ユキナガ　リオ</t>
  </si>
  <si>
    <t>野津ＦＣ</t>
  </si>
  <si>
    <t>岡部　悠李</t>
  </si>
  <si>
    <t>オカベ　ユウリ</t>
  </si>
  <si>
    <t>深田　吏都</t>
  </si>
  <si>
    <t>工藤　陽斗</t>
  </si>
  <si>
    <t>クドウ　ハルト</t>
  </si>
  <si>
    <t>松垣　龍空</t>
  </si>
  <si>
    <t>マツガキ　リク</t>
  </si>
  <si>
    <t>工藤　悠真</t>
  </si>
  <si>
    <t>クドウ　ユウマ</t>
  </si>
  <si>
    <t>井上　楓斗</t>
  </si>
  <si>
    <t>イノウエ　カイト</t>
  </si>
  <si>
    <t>上野　輝翔</t>
  </si>
  <si>
    <t>ウエノ　ライト</t>
  </si>
  <si>
    <t>江戸　瞬太</t>
  </si>
  <si>
    <t>エド　シュンタ</t>
  </si>
  <si>
    <t>ＦＣ　ＲＥＧＡＴＥ</t>
  </si>
  <si>
    <t>加藤　慶大</t>
  </si>
  <si>
    <t>カトウ　ケイタ</t>
  </si>
  <si>
    <t>田﨑　蒼</t>
  </si>
  <si>
    <t>タサキ　アオイ</t>
  </si>
  <si>
    <t>タケオ　リンタロウ</t>
  </si>
  <si>
    <t>佐藤　隆太</t>
  </si>
  <si>
    <t>サトウ　リュウタ</t>
  </si>
  <si>
    <t>大分トリニータタートルズ</t>
  </si>
  <si>
    <t>伊東　俊紀</t>
  </si>
  <si>
    <t>イトウ　トシキ</t>
  </si>
  <si>
    <t>小林　央宜</t>
  </si>
  <si>
    <t>コバヤシ　オウキ</t>
  </si>
  <si>
    <t>諏訪　要</t>
  </si>
  <si>
    <t>スワ　カナメ</t>
  </si>
  <si>
    <t>田島　勇波</t>
  </si>
  <si>
    <t>タシマ　イサナ</t>
  </si>
  <si>
    <t>佐藤　空也</t>
  </si>
  <si>
    <t>サトウ　ソラ</t>
  </si>
  <si>
    <t>木下　凌佑</t>
  </si>
  <si>
    <t>キノシタ　リョウスケ</t>
  </si>
  <si>
    <t>イワサキ　セイダイ</t>
  </si>
  <si>
    <t>後藤　和貴</t>
  </si>
  <si>
    <t>ゴトウ　カズキ</t>
  </si>
  <si>
    <t>河野　祐生</t>
  </si>
  <si>
    <t>カワノ　ユウ</t>
  </si>
  <si>
    <t>ティエラフットボールクラブＵ－１２</t>
  </si>
  <si>
    <t>西耒路　歩夢</t>
  </si>
  <si>
    <t>サイライジ　アユム</t>
  </si>
  <si>
    <t>瀬戸　夢人</t>
  </si>
  <si>
    <t>セト　ユメト</t>
  </si>
  <si>
    <t>南　咲太郎</t>
  </si>
  <si>
    <t>ミナミ　サクタロウ</t>
  </si>
  <si>
    <t>中園　侑吾</t>
  </si>
  <si>
    <t>ナカゾノ　ユウゴ</t>
  </si>
  <si>
    <t>沖本　将吾</t>
  </si>
  <si>
    <t>オキモト　ショウゴ</t>
  </si>
  <si>
    <t>小雲　虹</t>
  </si>
  <si>
    <t>オグモ　アキラ</t>
  </si>
  <si>
    <t>園田　永愛</t>
  </si>
  <si>
    <t>ソノダ　トア</t>
  </si>
  <si>
    <t>スマイス日出</t>
  </si>
  <si>
    <t>サトウ　シュンスケ</t>
  </si>
  <si>
    <t>カイ　リクト</t>
  </si>
  <si>
    <t>碇山　大貴</t>
  </si>
  <si>
    <t>イカリヤマ　ダイキ</t>
  </si>
  <si>
    <t>池田　春翔</t>
  </si>
  <si>
    <t>イケダ　ハルト</t>
  </si>
  <si>
    <t>小平　靖空</t>
  </si>
  <si>
    <t>コダイラ　セア</t>
  </si>
  <si>
    <t>川上　心平</t>
  </si>
  <si>
    <t>カワカミ　シンペイ</t>
  </si>
  <si>
    <t>渡邉　結斗</t>
  </si>
  <si>
    <t>ワタナベ　ユウト</t>
  </si>
  <si>
    <t>佐藤　由晟</t>
  </si>
  <si>
    <t>サトウ　ユウセイ</t>
  </si>
  <si>
    <t>ＦＣ　ＵＮＩＴＥ</t>
  </si>
  <si>
    <t>矢野　聖志朗</t>
  </si>
  <si>
    <t>ヤノ　セイシロウ</t>
  </si>
  <si>
    <t>上原　光然</t>
  </si>
  <si>
    <t>ウエハラ　コウゼン</t>
  </si>
  <si>
    <t>矢野　晴</t>
  </si>
  <si>
    <t>ヤノ　ハル</t>
  </si>
  <si>
    <t>太陽スポーツクラブ大分西</t>
  </si>
  <si>
    <t>髙倉　啓伍</t>
  </si>
  <si>
    <t>タカクラ　ケイゴ</t>
  </si>
  <si>
    <t>横瀬西ＦＣ．ＲｏｓａＣｌａｒｏ</t>
  </si>
  <si>
    <t>吉良　真翔</t>
  </si>
  <si>
    <t>キラ　マナト</t>
  </si>
  <si>
    <t>河野　智咲</t>
  </si>
  <si>
    <t>カワノ　チサキ</t>
  </si>
  <si>
    <t>江藤　優成</t>
  </si>
  <si>
    <t>エトウ　ユウセイ</t>
  </si>
  <si>
    <t>江藤　夢磨</t>
  </si>
  <si>
    <t>エトウ　ユマ</t>
  </si>
  <si>
    <t>後藤　竜成</t>
  </si>
  <si>
    <t>ゴトウ　リュウセイ</t>
  </si>
  <si>
    <t>伊藤　舜狼</t>
  </si>
  <si>
    <t>イトウ　シュンラン</t>
  </si>
  <si>
    <t>モリサキ　セイナ</t>
  </si>
  <si>
    <t>吉田　圭吾</t>
  </si>
  <si>
    <t>ヨシダ　ケイゴ</t>
  </si>
  <si>
    <t>藤原　光希</t>
  </si>
  <si>
    <t>フジワラ　コウキ</t>
  </si>
  <si>
    <t>片岡　功正</t>
  </si>
  <si>
    <t>カタオカ　コウセイ</t>
  </si>
  <si>
    <t>リノスフットボールクラブ　Ｕ－１２</t>
  </si>
  <si>
    <t>ノリドミ　リセイ</t>
  </si>
  <si>
    <t>赤石　昂輝</t>
  </si>
  <si>
    <t>アカイシ　コウキ</t>
  </si>
  <si>
    <t>三浦　健</t>
  </si>
  <si>
    <t>田尻　真路</t>
  </si>
  <si>
    <t>タジリ　マサミチ</t>
  </si>
  <si>
    <t>工藤　快翔</t>
  </si>
  <si>
    <t>クドウ　カイト</t>
  </si>
  <si>
    <t>朝日ＦＣ</t>
  </si>
  <si>
    <t>勘崎　優衣</t>
  </si>
  <si>
    <t>カンザキ　ユイ</t>
  </si>
  <si>
    <t>河野　優斗</t>
  </si>
  <si>
    <t>コウノ　ユウト</t>
  </si>
  <si>
    <t>安波　進之介</t>
  </si>
  <si>
    <t>ヤスナミ　シンノスケ</t>
  </si>
  <si>
    <t>立山　心詠</t>
  </si>
  <si>
    <t>タテヤマ　コウ</t>
  </si>
  <si>
    <t>河野　快音</t>
  </si>
  <si>
    <t>カワノ　カイト</t>
  </si>
  <si>
    <t>川野　颯斗</t>
  </si>
  <si>
    <t>カワノ　ハヤト</t>
  </si>
  <si>
    <t>河野　蒼祐</t>
  </si>
  <si>
    <t>清原　大絆</t>
  </si>
  <si>
    <t>キヨハラ　タイキ</t>
  </si>
  <si>
    <t>松前　明日斗</t>
  </si>
  <si>
    <t>マツマエ　アスト</t>
  </si>
  <si>
    <t>奥原　大和</t>
  </si>
  <si>
    <t>オクハラ　ヤマト</t>
  </si>
  <si>
    <t>中村　碧大</t>
  </si>
  <si>
    <t>ナカムラ　アオ</t>
  </si>
  <si>
    <t>内山　嶺弥</t>
  </si>
  <si>
    <t>ウチヤマ　レイヤ</t>
  </si>
  <si>
    <t>ＦＣ　ＪＵＮＩＯＲＳ</t>
  </si>
  <si>
    <t>松尾　宗助</t>
  </si>
  <si>
    <t>マツオ　ソウスケ</t>
  </si>
  <si>
    <t>西　凌我</t>
  </si>
  <si>
    <t>ニシ　リョウガ</t>
  </si>
  <si>
    <t>渡辺　大空</t>
  </si>
  <si>
    <t>ワタナベ　ソラ</t>
  </si>
  <si>
    <t>川村　将平</t>
  </si>
  <si>
    <t>カワムラ　ショウヘイ</t>
  </si>
  <si>
    <t>ＦＣ中津ジュニア</t>
  </si>
  <si>
    <t>濱内　大輝</t>
  </si>
  <si>
    <t>ハマウチ　ダイキ</t>
  </si>
  <si>
    <t>高比良　飛吹</t>
  </si>
  <si>
    <t>タカヒラ　イブキ</t>
  </si>
  <si>
    <t>ダン　チヒロ</t>
  </si>
  <si>
    <t>ＦＣリーベル</t>
  </si>
  <si>
    <t>安部　拳志郎</t>
  </si>
  <si>
    <t>アベ　ケンシロウ</t>
  </si>
  <si>
    <t>山本　優吾</t>
  </si>
  <si>
    <t>ヤマモト　ユウゴ</t>
  </si>
  <si>
    <t>中野　真葵</t>
  </si>
  <si>
    <t>ナカノ　マサキ</t>
  </si>
  <si>
    <t>園田　湊斗</t>
  </si>
  <si>
    <t>ソノダ　ミナト</t>
  </si>
  <si>
    <t>仮屋園　和空</t>
  </si>
  <si>
    <t>カリヤゾノ　ワク</t>
  </si>
  <si>
    <t>前山　遼希</t>
  </si>
  <si>
    <t>マエヤマ　ハルキ</t>
  </si>
  <si>
    <t>如水ジュニアサッカークラブ</t>
  </si>
  <si>
    <t>稲積　健太</t>
  </si>
  <si>
    <t>イナヅミ　ケンタ</t>
  </si>
  <si>
    <t>ＦＣ．ＲＥ．ＳＴＡＲＴ　</t>
  </si>
  <si>
    <t>河津　丈生</t>
  </si>
  <si>
    <t>カワヅ　ジョウ</t>
  </si>
  <si>
    <t>船津　幸矢</t>
  </si>
  <si>
    <t>フナツ　コウヤ</t>
  </si>
  <si>
    <t>藤井　夢翔</t>
  </si>
  <si>
    <t>フジイ　ユメト</t>
  </si>
  <si>
    <t>結城　寛太</t>
  </si>
  <si>
    <t>ユウキ　カンタ</t>
  </si>
  <si>
    <t>中村　洸翔</t>
  </si>
  <si>
    <t>ナカムラ　ヒロト</t>
  </si>
  <si>
    <t>岡見　卓飛</t>
  </si>
  <si>
    <t>オカミ　タクト</t>
  </si>
  <si>
    <t>彦陽ジュニアサッカークラブ</t>
  </si>
  <si>
    <t>岩崎　翔太</t>
  </si>
  <si>
    <t>イワサキ　ショウタ</t>
  </si>
  <si>
    <t>染矢　獅王</t>
  </si>
  <si>
    <t>ソメヤ　レオ</t>
  </si>
  <si>
    <t>亀井　あかり</t>
  </si>
  <si>
    <t>カメイ　アカリ</t>
  </si>
  <si>
    <t>池田　拓人</t>
  </si>
  <si>
    <t>イケダ　タクト</t>
  </si>
  <si>
    <t>染矢　龍徳</t>
  </si>
  <si>
    <t>ソメヤ　リュウト</t>
  </si>
  <si>
    <t>清家　彬跳</t>
  </si>
  <si>
    <t>セイケ　アルト</t>
  </si>
  <si>
    <t>細川　榛仁</t>
  </si>
  <si>
    <t>ホソカワ　ハルト</t>
  </si>
  <si>
    <t>大星　龍輝</t>
  </si>
  <si>
    <t>オオボシ　リュウキ</t>
  </si>
  <si>
    <t>Ｄｉｖｅｒｔ．ＦＣ</t>
  </si>
  <si>
    <t>室　蓮翔</t>
  </si>
  <si>
    <t>ムロ　レント</t>
  </si>
  <si>
    <t>小原　絆</t>
  </si>
  <si>
    <t>コハラ　キズナ</t>
  </si>
  <si>
    <t>古藤　星穏</t>
  </si>
  <si>
    <t>コトウ　シオン</t>
  </si>
  <si>
    <t>岡部　聖来</t>
  </si>
  <si>
    <t>オカベ　セラ</t>
  </si>
  <si>
    <t>石掛　雅希</t>
  </si>
  <si>
    <t>イシカケ　マサキ</t>
  </si>
  <si>
    <t>室　天翔</t>
  </si>
  <si>
    <t>ムロ　タカト</t>
  </si>
  <si>
    <t>審判登録番号</t>
  </si>
  <si>
    <t>資格</t>
  </si>
  <si>
    <t>フリガナ</t>
  </si>
  <si>
    <t>性別</t>
  </si>
  <si>
    <t>技能区分</t>
  </si>
  <si>
    <t>所属協会</t>
  </si>
  <si>
    <t>第二登録協会</t>
  </si>
  <si>
    <t>選択肢より</t>
  </si>
  <si>
    <t>R001251601</t>
  </si>
  <si>
    <t>佐々木　慎哉</t>
  </si>
  <si>
    <t>１級</t>
  </si>
  <si>
    <t>ササキ　シンヤ</t>
  </si>
  <si>
    <t>男性</t>
  </si>
  <si>
    <t>S審判</t>
  </si>
  <si>
    <t>大分県</t>
  </si>
  <si>
    <t>２級</t>
  </si>
  <si>
    <t>R001253502</t>
  </si>
  <si>
    <t>安藤　博幸</t>
  </si>
  <si>
    <t>アンドウ　ヒロユキ</t>
  </si>
  <si>
    <t>R006221377</t>
  </si>
  <si>
    <t>池添　将大</t>
  </si>
  <si>
    <t>イケゾエ　マサヒロ</t>
  </si>
  <si>
    <t>イサモト　ヒデキ</t>
  </si>
  <si>
    <t>R001265172</t>
  </si>
  <si>
    <t>岩尾　雅広</t>
  </si>
  <si>
    <t>イワオ　マサヒロ</t>
  </si>
  <si>
    <t>R001262546</t>
  </si>
  <si>
    <t>岩崎　浩也</t>
  </si>
  <si>
    <t>イワサキ　ヒロヤ</t>
  </si>
  <si>
    <t>R010538325</t>
  </si>
  <si>
    <t>大石　雅宣</t>
  </si>
  <si>
    <t>オオイシ　マサノリ</t>
  </si>
  <si>
    <t>R001265233</t>
  </si>
  <si>
    <t>大野　髙洋</t>
  </si>
  <si>
    <t>オオノ　タカヒロ</t>
  </si>
  <si>
    <t>R002530125</t>
  </si>
  <si>
    <t>小畑　広大</t>
  </si>
  <si>
    <t>オバタ　コウダイ</t>
  </si>
  <si>
    <t>R009212325</t>
  </si>
  <si>
    <t>戒田　直樹</t>
  </si>
  <si>
    <t>カイダ　ナオキ</t>
  </si>
  <si>
    <t>R010281800</t>
  </si>
  <si>
    <t>河野　光喜</t>
  </si>
  <si>
    <t>カワノ　ミツキ</t>
  </si>
  <si>
    <t>R001262971</t>
  </si>
  <si>
    <t>木下　富喜</t>
  </si>
  <si>
    <t>キノシタ　トミヨシ</t>
  </si>
  <si>
    <t>R001262999</t>
  </si>
  <si>
    <t>木原　一心</t>
  </si>
  <si>
    <t>キハラ　カズシ</t>
  </si>
  <si>
    <t>R010259420</t>
  </si>
  <si>
    <t>窪田　雅一</t>
  </si>
  <si>
    <t>クボタ　マサカズ</t>
  </si>
  <si>
    <t>R005528255</t>
  </si>
  <si>
    <t>黒田　大貴</t>
  </si>
  <si>
    <t>クロダ　ダイキ</t>
  </si>
  <si>
    <t>R001265349</t>
  </si>
  <si>
    <t>小出　康博</t>
  </si>
  <si>
    <t>コイデ　ヤスヒロ</t>
  </si>
  <si>
    <t>R001265376</t>
  </si>
  <si>
    <t>後藤　樹明</t>
  </si>
  <si>
    <t>ゴトウ　シゲアキ</t>
  </si>
  <si>
    <t>R000876616</t>
  </si>
  <si>
    <t>後藤　晋平</t>
  </si>
  <si>
    <t>ゴトウ　シンペイ</t>
  </si>
  <si>
    <t>R010536851</t>
  </si>
  <si>
    <t>酒井　駿</t>
  </si>
  <si>
    <t>サカイ　シュン</t>
  </si>
  <si>
    <t>R001256943</t>
  </si>
  <si>
    <t>笹原　年浩</t>
  </si>
  <si>
    <t>ササハラ　トシヒロ</t>
  </si>
  <si>
    <t>R003255841</t>
  </si>
  <si>
    <t>塩月　勇輝</t>
  </si>
  <si>
    <t>シオツキ　ユウキ</t>
  </si>
  <si>
    <t>R006849182</t>
  </si>
  <si>
    <t>志谷　進</t>
  </si>
  <si>
    <t>シヤ　ススム</t>
  </si>
  <si>
    <t>ストウ　ケンジ</t>
  </si>
  <si>
    <t>R006221465</t>
  </si>
  <si>
    <t>曽我　拓実</t>
  </si>
  <si>
    <t>ソガ　タクミ</t>
  </si>
  <si>
    <t>R010052667</t>
  </si>
  <si>
    <t>髙木　翔</t>
  </si>
  <si>
    <t>タカキ　カケル</t>
  </si>
  <si>
    <t>R001257924</t>
  </si>
  <si>
    <t>高木　哲也</t>
  </si>
  <si>
    <t>タカキ　テツヤ</t>
  </si>
  <si>
    <t>R000892429</t>
  </si>
  <si>
    <t>田中　博</t>
  </si>
  <si>
    <t>タナカ　ヒロシ</t>
  </si>
  <si>
    <t>R001265428</t>
  </si>
  <si>
    <t>坪井　和幸</t>
  </si>
  <si>
    <t>ツボイ　カズユキ</t>
  </si>
  <si>
    <t>R001265437</t>
  </si>
  <si>
    <t>寺林　豊</t>
  </si>
  <si>
    <t>テラバヤシ　ユタカ</t>
  </si>
  <si>
    <t>R010250271</t>
  </si>
  <si>
    <t>中尾　亜夢</t>
  </si>
  <si>
    <t>ナカオ　アユ</t>
  </si>
  <si>
    <t>R006151032</t>
  </si>
  <si>
    <t>中尾　優志</t>
  </si>
  <si>
    <t>ナカオ　ユウシ</t>
  </si>
  <si>
    <t>R003317390</t>
  </si>
  <si>
    <t>中園　健太郎</t>
  </si>
  <si>
    <t>ナカゾノ　ケンタロウ</t>
  </si>
  <si>
    <t>R001265358</t>
  </si>
  <si>
    <t>西田　亜矢</t>
  </si>
  <si>
    <t>ニシダ　アヤ</t>
  </si>
  <si>
    <t>女性</t>
  </si>
  <si>
    <t>R010169055</t>
  </si>
  <si>
    <t>二宮　勇志</t>
  </si>
  <si>
    <t>ニノミヤ　ユウシ</t>
  </si>
  <si>
    <t>R010167733</t>
  </si>
  <si>
    <t>原　大貴</t>
  </si>
  <si>
    <t>ハラ　ダイキ</t>
  </si>
  <si>
    <t>R010067952</t>
  </si>
  <si>
    <t>半谷　風花</t>
  </si>
  <si>
    <t>ハンガイ　フウカ</t>
  </si>
  <si>
    <t>R001265473</t>
  </si>
  <si>
    <t>引地　弘幸</t>
  </si>
  <si>
    <t>ヒキチ　ヒロユキ</t>
  </si>
  <si>
    <t>R001260140</t>
  </si>
  <si>
    <t>福田　人志</t>
  </si>
  <si>
    <t>フクダ　ヒトシ</t>
  </si>
  <si>
    <t>R001265534</t>
  </si>
  <si>
    <t>前山　精治</t>
  </si>
  <si>
    <t>マエヤマ　セイジ</t>
  </si>
  <si>
    <t>R001260593</t>
  </si>
  <si>
    <t>増永　伸也</t>
  </si>
  <si>
    <t>マスナガ　ノブヤ</t>
  </si>
  <si>
    <t>R001265552</t>
  </si>
  <si>
    <t>松原　マヤ</t>
  </si>
  <si>
    <t>マツバラ　マヤ</t>
  </si>
  <si>
    <t>R010264267</t>
  </si>
  <si>
    <t>馬原　直人</t>
  </si>
  <si>
    <t>マバル　ナオト</t>
  </si>
  <si>
    <t>R002331010</t>
  </si>
  <si>
    <t>丸小野　聡暢</t>
  </si>
  <si>
    <t>マルオノ　トシノブ</t>
  </si>
  <si>
    <t>R004793649</t>
  </si>
  <si>
    <t>水江　真太郎</t>
  </si>
  <si>
    <t>ミズエ　シンタロウ</t>
  </si>
  <si>
    <t>R001264632</t>
  </si>
  <si>
    <t>湊　弘智</t>
  </si>
  <si>
    <t>ミナト　ヒロトモ</t>
  </si>
  <si>
    <t>ヤハタ　タカシ</t>
  </si>
  <si>
    <t>R006093817</t>
  </si>
  <si>
    <t>幸　壮一郎</t>
  </si>
  <si>
    <t>ユキ　ソウイチロウ</t>
  </si>
  <si>
    <t>R010090347</t>
  </si>
  <si>
    <t>和田　行祐</t>
  </si>
  <si>
    <t>ワダ　コウスケ</t>
  </si>
  <si>
    <t>R001262023</t>
  </si>
  <si>
    <t>和田　敬生</t>
  </si>
  <si>
    <t>ワダ　タカオ</t>
  </si>
  <si>
    <t>３級</t>
  </si>
  <si>
    <t>R010162720</t>
  </si>
  <si>
    <t>赤峰　桃香</t>
  </si>
  <si>
    <t>アカミネ　モモカ</t>
  </si>
  <si>
    <t>R001264881</t>
  </si>
  <si>
    <t>赤山　千晶</t>
  </si>
  <si>
    <t>アカヤマ　チアキ</t>
  </si>
  <si>
    <t>R001265145</t>
  </si>
  <si>
    <t>秋元　昭一</t>
  </si>
  <si>
    <t>アキモト　ショウイチ</t>
  </si>
  <si>
    <t>R001253007</t>
  </si>
  <si>
    <t>秋元　貴生</t>
  </si>
  <si>
    <t>アキモト　タカオ</t>
  </si>
  <si>
    <t>R001253025</t>
  </si>
  <si>
    <t>アキヨシ　アキラ</t>
  </si>
  <si>
    <t>R010376364</t>
  </si>
  <si>
    <t>秋吉　慶汰</t>
  </si>
  <si>
    <t>アキヨシ　ケイタ</t>
  </si>
  <si>
    <t>R007960093</t>
  </si>
  <si>
    <t>浅井　佑太</t>
  </si>
  <si>
    <t>アサイ　ユウタ</t>
  </si>
  <si>
    <t>R007728424</t>
  </si>
  <si>
    <t>浅田　雄太</t>
  </si>
  <si>
    <t>アサダ　ユウタ</t>
  </si>
  <si>
    <t>R003972391</t>
  </si>
  <si>
    <t>朝比奈　義行</t>
  </si>
  <si>
    <t>アサヒナ　ヨシユキ</t>
  </si>
  <si>
    <t>R003317336</t>
  </si>
  <si>
    <t>朝吹　崇宏</t>
  </si>
  <si>
    <t>アサブキ　タカヒロ</t>
  </si>
  <si>
    <t>R010698128</t>
  </si>
  <si>
    <t>東　紘造</t>
  </si>
  <si>
    <t>アズマ　コウゾウ</t>
  </si>
  <si>
    <t>R001253557</t>
  </si>
  <si>
    <t>安達　信也</t>
  </si>
  <si>
    <t>アダチ　シンヤ</t>
  </si>
  <si>
    <t>R010069871</t>
  </si>
  <si>
    <t>足立　卓也</t>
  </si>
  <si>
    <t>アダチ　タクヤ</t>
  </si>
  <si>
    <t>R010635513</t>
  </si>
  <si>
    <t>足立　緋由</t>
  </si>
  <si>
    <t>アダチ　ヒヨリ</t>
  </si>
  <si>
    <t>R010189040</t>
  </si>
  <si>
    <t>阿地　孝</t>
  </si>
  <si>
    <t>アチ　タカシ</t>
  </si>
  <si>
    <t>R010313745</t>
  </si>
  <si>
    <t>穴井　大地</t>
  </si>
  <si>
    <t>アナイ　ダイチ</t>
  </si>
  <si>
    <t>R010352942</t>
  </si>
  <si>
    <t>姉川　光一朗</t>
  </si>
  <si>
    <t>アネカワ　コウイチロウ</t>
  </si>
  <si>
    <t>R001262184</t>
  </si>
  <si>
    <t>安部　一徳</t>
  </si>
  <si>
    <t>アベ　カズノリ</t>
  </si>
  <si>
    <t>R006573784</t>
  </si>
  <si>
    <t>安倍　和広</t>
  </si>
  <si>
    <t>アベ　カズヒロ</t>
  </si>
  <si>
    <t>R009460436</t>
  </si>
  <si>
    <t>安部　隆行</t>
  </si>
  <si>
    <t>アベ　タカユキ</t>
  </si>
  <si>
    <t>R010189323</t>
  </si>
  <si>
    <t>安部　孝之</t>
  </si>
  <si>
    <t>R007959103</t>
  </si>
  <si>
    <t>安倍　達也</t>
  </si>
  <si>
    <t>アベ　タツヤ</t>
  </si>
  <si>
    <t>アベ　ヒロユキ</t>
  </si>
  <si>
    <t>アベ　マサノブ</t>
  </si>
  <si>
    <t>R010638076</t>
  </si>
  <si>
    <t>阿部　優磨</t>
  </si>
  <si>
    <t>R005336098</t>
  </si>
  <si>
    <t>荒木　宗明</t>
  </si>
  <si>
    <t>アラキ　ムネアキ</t>
  </si>
  <si>
    <t>R010638053</t>
  </si>
  <si>
    <t>荒牧　聡</t>
  </si>
  <si>
    <t>アラマキ　サトシ</t>
  </si>
  <si>
    <t>R010189314</t>
  </si>
  <si>
    <t>有村　惇志</t>
  </si>
  <si>
    <t>アリムラ　アツシ</t>
  </si>
  <si>
    <t>R008634229</t>
  </si>
  <si>
    <t>安藤　昭徳</t>
  </si>
  <si>
    <t>アンドウ　アキノリ</t>
  </si>
  <si>
    <t>R007003033</t>
  </si>
  <si>
    <t>安藤　和洋</t>
  </si>
  <si>
    <t>アンドウ　カズヒロ</t>
  </si>
  <si>
    <t>R001253496</t>
  </si>
  <si>
    <t>アンドウ　シンジ</t>
  </si>
  <si>
    <t>R010013254</t>
  </si>
  <si>
    <t>安藤　暢</t>
  </si>
  <si>
    <t>アンドウ　トオル</t>
  </si>
  <si>
    <t>R010064829</t>
  </si>
  <si>
    <t>安藤　英明</t>
  </si>
  <si>
    <t>アンドウ　ヒデアキ</t>
  </si>
  <si>
    <t>R001253548</t>
  </si>
  <si>
    <t>安藤　洋樹</t>
  </si>
  <si>
    <t>アンドウ　ヒロキ</t>
  </si>
  <si>
    <t>R001262254</t>
  </si>
  <si>
    <t>アンドウ　ミキオ</t>
  </si>
  <si>
    <t>R009547124</t>
  </si>
  <si>
    <t>安藤　洋一</t>
  </si>
  <si>
    <t>アンドウ　ヨウイチ</t>
  </si>
  <si>
    <t>R007960084</t>
  </si>
  <si>
    <t>安部　武志</t>
  </si>
  <si>
    <t>アンベ　タケシ</t>
  </si>
  <si>
    <t>R010599585</t>
  </si>
  <si>
    <t>池崎　聖矢</t>
  </si>
  <si>
    <t>イケザキ　セイヤ</t>
  </si>
  <si>
    <t>R010306442</t>
  </si>
  <si>
    <t>池田　達哉</t>
  </si>
  <si>
    <t>イケダ　タツヤ</t>
  </si>
  <si>
    <t>R002384216</t>
  </si>
  <si>
    <t>池田　浩</t>
  </si>
  <si>
    <t>イケダ　ヒロシ</t>
  </si>
  <si>
    <t>R010093456</t>
  </si>
  <si>
    <t>池邉　賢一</t>
  </si>
  <si>
    <t>イケベ　ケンイチ</t>
  </si>
  <si>
    <t>R001262324</t>
  </si>
  <si>
    <t>池辺　俊明</t>
  </si>
  <si>
    <t>イケベ　トシアキ</t>
  </si>
  <si>
    <t>R009408904</t>
  </si>
  <si>
    <t>イシイ　ヨウヘイ</t>
  </si>
  <si>
    <t>R001262379</t>
  </si>
  <si>
    <t>石川　慎也</t>
  </si>
  <si>
    <t>イシカワ　シンヤ</t>
  </si>
  <si>
    <t>R010027832</t>
  </si>
  <si>
    <t>石川　裕明</t>
  </si>
  <si>
    <t>イシカワ　ヒロアキ</t>
  </si>
  <si>
    <t>R004060329</t>
  </si>
  <si>
    <t>石松　卓哉</t>
  </si>
  <si>
    <t>イシマツ　タクヤ</t>
  </si>
  <si>
    <t>R010638091</t>
  </si>
  <si>
    <t>石丸　恵登</t>
  </si>
  <si>
    <t>イシマル　ケイト</t>
  </si>
  <si>
    <t>R001262397</t>
  </si>
  <si>
    <t>石丸　泰幸</t>
  </si>
  <si>
    <t>イシマル　ヤスユキ</t>
  </si>
  <si>
    <t>R007753129</t>
  </si>
  <si>
    <t>石本　直也</t>
  </si>
  <si>
    <t>イシモト　ナオヤ</t>
  </si>
  <si>
    <t>R010189276</t>
  </si>
  <si>
    <t>石本　侑己</t>
  </si>
  <si>
    <t>イシモト　ユウキ</t>
  </si>
  <si>
    <t>R001262403</t>
  </si>
  <si>
    <t>石山　慎史</t>
  </si>
  <si>
    <t>イシヤマ　シンジ</t>
  </si>
  <si>
    <t>R010613621</t>
  </si>
  <si>
    <t>泉　丈一郎</t>
  </si>
  <si>
    <t>イズミ　ジョウイチロウ</t>
  </si>
  <si>
    <t>R003421338</t>
  </si>
  <si>
    <t>五十川　文明</t>
  </si>
  <si>
    <t>イソガワ　フミアキ</t>
  </si>
  <si>
    <t>R010448235</t>
  </si>
  <si>
    <t>礒辺　宏基</t>
  </si>
  <si>
    <t>イソベ　ヒロキ</t>
  </si>
  <si>
    <t>R005467918</t>
  </si>
  <si>
    <t>イソムラ　シンイチ</t>
  </si>
  <si>
    <t>R008536972</t>
  </si>
  <si>
    <t>板井　晋一</t>
  </si>
  <si>
    <t>イタイ　シンイチ</t>
  </si>
  <si>
    <t>R010281826</t>
  </si>
  <si>
    <t>板井　崇晃</t>
  </si>
  <si>
    <t>イタイ　タカアキ</t>
  </si>
  <si>
    <t>R006093835</t>
  </si>
  <si>
    <t>板井　龍法</t>
  </si>
  <si>
    <t>イタイ　タツノリ</t>
  </si>
  <si>
    <t>R007686234</t>
  </si>
  <si>
    <t>市田　翔太</t>
  </si>
  <si>
    <t>イチダ　ショウタ</t>
  </si>
  <si>
    <t>R002531522</t>
  </si>
  <si>
    <t>伊藤　宏充</t>
  </si>
  <si>
    <t>イトウ　ヒロミツ</t>
  </si>
  <si>
    <t>R010642022</t>
  </si>
  <si>
    <t>伊藤　雅範</t>
  </si>
  <si>
    <t>イトウ　マサノリ</t>
  </si>
  <si>
    <t>R001262458</t>
  </si>
  <si>
    <t>伊東　雅弘</t>
  </si>
  <si>
    <t>イトウ　マサヒロ</t>
  </si>
  <si>
    <t>R010698142</t>
  </si>
  <si>
    <t>伊藤　勇汰</t>
  </si>
  <si>
    <t>イトウ　ユウタ</t>
  </si>
  <si>
    <t>R006173919</t>
  </si>
  <si>
    <t>井上　健次郎</t>
  </si>
  <si>
    <t>イノウエ　ケンジロウ</t>
  </si>
  <si>
    <t>R010281875</t>
  </si>
  <si>
    <t>井上　颯太</t>
  </si>
  <si>
    <t>イノウエ　ソウタ</t>
  </si>
  <si>
    <t>R001254051</t>
  </si>
  <si>
    <t>井上　直樹</t>
  </si>
  <si>
    <t>イノウエ　ナオキ</t>
  </si>
  <si>
    <t>R001869093</t>
  </si>
  <si>
    <t>井上　秀文</t>
  </si>
  <si>
    <t>イノウエ　ヒデフミ</t>
  </si>
  <si>
    <t>R006574172</t>
  </si>
  <si>
    <t>猪下　侑恭</t>
  </si>
  <si>
    <t>イノシタ　ユウスケ</t>
  </si>
  <si>
    <t>R001262494</t>
  </si>
  <si>
    <t>井堀　貴康</t>
  </si>
  <si>
    <t>イボリ　タカヤス</t>
  </si>
  <si>
    <t>R001262500</t>
  </si>
  <si>
    <t>今井　克人</t>
  </si>
  <si>
    <t>イマイ　カツヒト</t>
  </si>
  <si>
    <t>R010542169</t>
  </si>
  <si>
    <t>今富　康平</t>
  </si>
  <si>
    <t>イマトミ　コウヘイ</t>
  </si>
  <si>
    <t>R003677104</t>
  </si>
  <si>
    <t>今宮　俊一</t>
  </si>
  <si>
    <t>イマミヤ　シュンイチ</t>
  </si>
  <si>
    <t>R010579071</t>
  </si>
  <si>
    <t>芋岡　克征</t>
  </si>
  <si>
    <t>イモオカ　カツユキ</t>
  </si>
  <si>
    <t>R005603820</t>
  </si>
  <si>
    <t>岩尾　潤一郎</t>
  </si>
  <si>
    <t>イワオ　ジュンイチロウ</t>
  </si>
  <si>
    <t>R010096810</t>
  </si>
  <si>
    <t>岩尾　瑞貴</t>
  </si>
  <si>
    <t>イワオ　ミズキ</t>
  </si>
  <si>
    <t>R004778507</t>
  </si>
  <si>
    <t>岩崎　彰範</t>
  </si>
  <si>
    <t>イワサキ　アキノリ</t>
  </si>
  <si>
    <t>R007335297</t>
  </si>
  <si>
    <t>岩丸　海斗</t>
  </si>
  <si>
    <t>イワマル　カイト</t>
  </si>
  <si>
    <t>R001262573</t>
  </si>
  <si>
    <t>上尾　泰裕</t>
  </si>
  <si>
    <t>ウエオ　ヤスヒロ</t>
  </si>
  <si>
    <t>R004055390</t>
  </si>
  <si>
    <t>植木　邦彦</t>
  </si>
  <si>
    <t>ウエキ　クニヒコ</t>
  </si>
  <si>
    <t>R001262582</t>
  </si>
  <si>
    <t>上田　輝彦</t>
  </si>
  <si>
    <t>ウエダ　テルヒコ</t>
  </si>
  <si>
    <t>R010415888</t>
  </si>
  <si>
    <t>上田　源典</t>
  </si>
  <si>
    <t>ウエダ　モトフミ</t>
  </si>
  <si>
    <t>R010169040</t>
  </si>
  <si>
    <t>上本　慎一郎</t>
  </si>
  <si>
    <t>ウエモト　シンイチロウ</t>
  </si>
  <si>
    <t>ウタカ　アツシ</t>
  </si>
  <si>
    <t>R003421231</t>
  </si>
  <si>
    <t>内丸　貴裕</t>
  </si>
  <si>
    <t>ウチマル　タカヒロ</t>
  </si>
  <si>
    <t>R010396521</t>
  </si>
  <si>
    <t>内山　隆寛</t>
  </si>
  <si>
    <t>ウチヤマ　タカヒロ</t>
  </si>
  <si>
    <t>R010093443</t>
  </si>
  <si>
    <t>内山田　光史</t>
  </si>
  <si>
    <t>ウチヤマダ　コウシ</t>
  </si>
  <si>
    <t>R001262874</t>
  </si>
  <si>
    <t>宇都宮　潤也</t>
  </si>
  <si>
    <t>ウツノミヤ　ジュンヤ</t>
  </si>
  <si>
    <t>R005527609</t>
  </si>
  <si>
    <t>宇都宮　貴之</t>
  </si>
  <si>
    <t>ウツノミヤ　タカユキ</t>
  </si>
  <si>
    <t>R001265190</t>
  </si>
  <si>
    <t>宇野　耕二</t>
  </si>
  <si>
    <t>ウノ　コウジ</t>
  </si>
  <si>
    <t>R010193702</t>
  </si>
  <si>
    <t>梅田　高志</t>
  </si>
  <si>
    <t>ウメダ　タカシ</t>
  </si>
  <si>
    <t>R010189311</t>
  </si>
  <si>
    <t>梅徳　里一</t>
  </si>
  <si>
    <t>ウメトク　リイチ</t>
  </si>
  <si>
    <t>R010100691</t>
  </si>
  <si>
    <t>浦本　雅志</t>
  </si>
  <si>
    <t>ウラモト　マサシ</t>
  </si>
  <si>
    <t>R003421161</t>
  </si>
  <si>
    <t>永路　尚道</t>
  </si>
  <si>
    <t>エイロ　ナオミチ</t>
  </si>
  <si>
    <t>R002530064</t>
  </si>
  <si>
    <t>江崎　康平</t>
  </si>
  <si>
    <t>エサキ　コウヘイ</t>
  </si>
  <si>
    <t>R001254538</t>
  </si>
  <si>
    <t>江藤　修</t>
  </si>
  <si>
    <t>エトウ　オサム</t>
  </si>
  <si>
    <t>R005603866</t>
  </si>
  <si>
    <t>衛藤　圭典</t>
  </si>
  <si>
    <t>エトウ　ケイスケ</t>
  </si>
  <si>
    <t>R001254510</t>
  </si>
  <si>
    <t>衛藤　兼一</t>
  </si>
  <si>
    <t>エトウ　ケンイチ</t>
  </si>
  <si>
    <t>R001254477</t>
  </si>
  <si>
    <t>江藤　雅章</t>
  </si>
  <si>
    <t>エトウ　マサアキ</t>
  </si>
  <si>
    <t>R009197619</t>
  </si>
  <si>
    <t>恵美　圭介</t>
  </si>
  <si>
    <t>エミ　ケイスケ</t>
  </si>
  <si>
    <t>R002384580</t>
  </si>
  <si>
    <t>江良　信司</t>
  </si>
  <si>
    <t>エラ　シンジ</t>
  </si>
  <si>
    <t>R010465606</t>
  </si>
  <si>
    <t>大石　聖哉</t>
  </si>
  <si>
    <t>オオイシ　セイヤ</t>
  </si>
  <si>
    <t>R001262625</t>
  </si>
  <si>
    <t>大久保　邦彦</t>
  </si>
  <si>
    <t>オオクボ　クニヒコ</t>
  </si>
  <si>
    <t>R003421912</t>
  </si>
  <si>
    <t>大久保　正明</t>
  </si>
  <si>
    <t>オオクボ　マサアキ</t>
  </si>
  <si>
    <t>R010189324</t>
  </si>
  <si>
    <t>大嶋　伊織</t>
  </si>
  <si>
    <t>オオシマ　イオリ</t>
  </si>
  <si>
    <t>R006093738</t>
  </si>
  <si>
    <t>大谷　伸二</t>
  </si>
  <si>
    <t>オオタニ　シンジ</t>
  </si>
  <si>
    <t>R001265224</t>
  </si>
  <si>
    <t>大塚　浩司</t>
  </si>
  <si>
    <t>オオツカ　コウジ</t>
  </si>
  <si>
    <t>R005528121</t>
  </si>
  <si>
    <t>大塚　勇司</t>
  </si>
  <si>
    <t>オオツカ　ユウジ</t>
  </si>
  <si>
    <t>R008174019</t>
  </si>
  <si>
    <t>大塚　良輝</t>
  </si>
  <si>
    <t>オオツカ　ヨシキ</t>
  </si>
  <si>
    <t>R010498317</t>
  </si>
  <si>
    <t>オオツル　ショウタロウ</t>
  </si>
  <si>
    <t>R001262670</t>
  </si>
  <si>
    <t>大渡　年春</t>
  </si>
  <si>
    <t>オオト　トシハル</t>
  </si>
  <si>
    <t>R010465607</t>
  </si>
  <si>
    <t>大野　春佑</t>
  </si>
  <si>
    <t>オオノ　シュンスケ</t>
  </si>
  <si>
    <t>R003421222</t>
  </si>
  <si>
    <t>大野　盛通</t>
  </si>
  <si>
    <t>オオノ　モリミチ</t>
  </si>
  <si>
    <t>R010538289</t>
  </si>
  <si>
    <t>大場　将公</t>
  </si>
  <si>
    <t>オオバ　マサヒロ</t>
  </si>
  <si>
    <t>R010093494</t>
  </si>
  <si>
    <t>大本　敏行</t>
  </si>
  <si>
    <t>オオモト　トシユキ</t>
  </si>
  <si>
    <t>R010214611</t>
  </si>
  <si>
    <t>岡　正一郎</t>
  </si>
  <si>
    <t>オカ　ショウイチロウ</t>
  </si>
  <si>
    <t>R010313747</t>
  </si>
  <si>
    <t>岡崎　俊介</t>
  </si>
  <si>
    <t>オカザキ　シュンスケ</t>
  </si>
  <si>
    <t>R010444522</t>
  </si>
  <si>
    <t>岡田　凌哉</t>
  </si>
  <si>
    <t>オカダ　リョウヤ</t>
  </si>
  <si>
    <t>R006901613</t>
  </si>
  <si>
    <t>岡部　明男</t>
  </si>
  <si>
    <t>オカベ　アキオ</t>
  </si>
  <si>
    <t>R001254875</t>
  </si>
  <si>
    <t>オカベ　ツカサ</t>
  </si>
  <si>
    <t>R006647584</t>
  </si>
  <si>
    <t>岡松　伸弥</t>
  </si>
  <si>
    <t>オカマツ　シンヤ</t>
  </si>
  <si>
    <t>R007959088</t>
  </si>
  <si>
    <t>岡本　遼</t>
  </si>
  <si>
    <t>オカモト　リョウ</t>
  </si>
  <si>
    <t>R010538391</t>
  </si>
  <si>
    <t>緒方　翔平</t>
  </si>
  <si>
    <t>オガタ　ショウヘイ</t>
  </si>
  <si>
    <t>R001262698</t>
  </si>
  <si>
    <t>緒方　崇</t>
  </si>
  <si>
    <t>オガタ　タカシ</t>
  </si>
  <si>
    <t>R007075261</t>
  </si>
  <si>
    <t>小川　翔太</t>
  </si>
  <si>
    <t>オガワ　ショウタ</t>
  </si>
  <si>
    <t>R010376269</t>
  </si>
  <si>
    <t>奥薗　将太</t>
  </si>
  <si>
    <t>オクゾノ　ショウタ</t>
  </si>
  <si>
    <t>R009460515</t>
  </si>
  <si>
    <t>奥田　和彦</t>
  </si>
  <si>
    <t>オクダ　カズヒコ</t>
  </si>
  <si>
    <t>R010100676</t>
  </si>
  <si>
    <t>奥村　浩勝</t>
  </si>
  <si>
    <t>オクムラ　ヒロカツ</t>
  </si>
  <si>
    <t>R003972355</t>
  </si>
  <si>
    <t>小倉　正広</t>
  </si>
  <si>
    <t>オグラ　マサヒロ</t>
  </si>
  <si>
    <t>オサダ　トシアキ</t>
  </si>
  <si>
    <t>R010099453</t>
  </si>
  <si>
    <t>小関　啓太郎</t>
  </si>
  <si>
    <t>オゼキ　ケイタロウ</t>
  </si>
  <si>
    <t>R006901589</t>
  </si>
  <si>
    <t>小田原　蓮</t>
  </si>
  <si>
    <t>オダワラ　レン</t>
  </si>
  <si>
    <t>R010311884</t>
  </si>
  <si>
    <t>越智　龍平</t>
  </si>
  <si>
    <t>オチ　リュウヘイ</t>
  </si>
  <si>
    <t>R002996695</t>
  </si>
  <si>
    <t>乙部　哲也</t>
  </si>
  <si>
    <t>オトベ　テツヤ</t>
  </si>
  <si>
    <t>R002917661</t>
  </si>
  <si>
    <t>小野　晃央</t>
  </si>
  <si>
    <t>オノ　アキオ</t>
  </si>
  <si>
    <t>R001255184</t>
  </si>
  <si>
    <t>小野　聡</t>
  </si>
  <si>
    <t>オノ　サトシ</t>
  </si>
  <si>
    <t>R005603608</t>
  </si>
  <si>
    <t>小野　智史</t>
  </si>
  <si>
    <t>R001255193</t>
  </si>
  <si>
    <t>小野　修太郎</t>
  </si>
  <si>
    <t>オノ　シュウタロウ</t>
  </si>
  <si>
    <t>R001255139</t>
  </si>
  <si>
    <t>小野　慎一</t>
  </si>
  <si>
    <t>オノ　シンイチ</t>
  </si>
  <si>
    <t>R001262786</t>
  </si>
  <si>
    <t>小野　幸登</t>
  </si>
  <si>
    <t>オノ　ユキト</t>
  </si>
  <si>
    <t>R010390125</t>
  </si>
  <si>
    <t>小野　友美子</t>
  </si>
  <si>
    <t>オノ　ユミコ</t>
  </si>
  <si>
    <t>R002996659</t>
  </si>
  <si>
    <t>小畑　郁夫</t>
  </si>
  <si>
    <t>オバタ　イクオ</t>
  </si>
  <si>
    <t>R008173700</t>
  </si>
  <si>
    <t>甲斐　剛樹</t>
  </si>
  <si>
    <t>カイ　ゴウキ</t>
  </si>
  <si>
    <t>R004794055</t>
  </si>
  <si>
    <t>笠置　貴路</t>
  </si>
  <si>
    <t>カサキ　タカミチ</t>
  </si>
  <si>
    <t>R001262829</t>
  </si>
  <si>
    <t>笠置　忠照</t>
  </si>
  <si>
    <t>カサギ　タダアキ</t>
  </si>
  <si>
    <t>R004793542</t>
  </si>
  <si>
    <t>梶川　和志</t>
  </si>
  <si>
    <t>カジカワ　カズシ</t>
  </si>
  <si>
    <t>R004055585</t>
  </si>
  <si>
    <t>梶原　賢士</t>
  </si>
  <si>
    <t>カジワラ　ケンジ</t>
  </si>
  <si>
    <t>R001262838</t>
  </si>
  <si>
    <t>梶原　誠司</t>
  </si>
  <si>
    <t>カジワラ　セイジ</t>
  </si>
  <si>
    <t>R010099455</t>
  </si>
  <si>
    <t>糟谷　浩志</t>
  </si>
  <si>
    <t>カスタニ　ヒロシ</t>
  </si>
  <si>
    <t>R010261243</t>
  </si>
  <si>
    <t>片山　幹彦</t>
  </si>
  <si>
    <t>カタヤマ　ミキヒコ</t>
  </si>
  <si>
    <t>R007959608</t>
  </si>
  <si>
    <t>加藤　恭介</t>
  </si>
  <si>
    <t>カトウ　キョウスケ</t>
  </si>
  <si>
    <t>R010189342</t>
  </si>
  <si>
    <t>加藤　拓己</t>
  </si>
  <si>
    <t>カトウ　タクミ</t>
  </si>
  <si>
    <t>R010468357</t>
  </si>
  <si>
    <t>加藤　史章</t>
  </si>
  <si>
    <t>カトウ　フミアキ</t>
  </si>
  <si>
    <t>R010538326</t>
  </si>
  <si>
    <t>金丸　顕和</t>
  </si>
  <si>
    <t>カナマル　ケント</t>
  </si>
  <si>
    <t>R010448916</t>
  </si>
  <si>
    <t>金子　康二</t>
  </si>
  <si>
    <t>カネコ　コウジ</t>
  </si>
  <si>
    <t>R010261482</t>
  </si>
  <si>
    <t>金子　翔</t>
  </si>
  <si>
    <t>カネコ　ショウ</t>
  </si>
  <si>
    <t>カネダ　トモアキ</t>
  </si>
  <si>
    <t>R010638077</t>
  </si>
  <si>
    <t>金當　悠也</t>
  </si>
  <si>
    <t>カネトウ　ユウヤ</t>
  </si>
  <si>
    <t>R010376294</t>
  </si>
  <si>
    <t>株根　聖太</t>
  </si>
  <si>
    <t>カブネ　キヨタ</t>
  </si>
  <si>
    <t>R009624779</t>
  </si>
  <si>
    <t>株根　蒼太</t>
  </si>
  <si>
    <t>カブネ　ソウタ</t>
  </si>
  <si>
    <t>R001262883</t>
  </si>
  <si>
    <t>神川　基</t>
  </si>
  <si>
    <t>カミカワ　モトイ</t>
  </si>
  <si>
    <t>R010256872</t>
  </si>
  <si>
    <t>鴨川　奨</t>
  </si>
  <si>
    <t>カモガワ　ショウ</t>
  </si>
  <si>
    <t>R001255616</t>
  </si>
  <si>
    <t>川井　勇介</t>
  </si>
  <si>
    <t>カワイ　ユウスケ</t>
  </si>
  <si>
    <t>R006220952</t>
  </si>
  <si>
    <t>川﨑　浩司</t>
  </si>
  <si>
    <t>カワサキ　コウジ</t>
  </si>
  <si>
    <t>R010450022</t>
  </si>
  <si>
    <t>川﨑　脩斗</t>
  </si>
  <si>
    <t>カワサキ　シュウト</t>
  </si>
  <si>
    <t>R010638041</t>
  </si>
  <si>
    <t>川副　優斗</t>
  </si>
  <si>
    <t>カワソエ　ユウト</t>
  </si>
  <si>
    <t>R010638078</t>
  </si>
  <si>
    <t>川田　裕之</t>
  </si>
  <si>
    <t>カワタ　ヒロユキ</t>
  </si>
  <si>
    <t>R002917430</t>
  </si>
  <si>
    <t>河津　裕徳</t>
  </si>
  <si>
    <t>カワヅ　ヒロノリ</t>
  </si>
  <si>
    <t>R005103418</t>
  </si>
  <si>
    <t>河野　貴裕</t>
  </si>
  <si>
    <t>カワノ　タカヒロ</t>
  </si>
  <si>
    <t>R001255740</t>
  </si>
  <si>
    <t>川野　剛</t>
  </si>
  <si>
    <t>カワノ　タケシ</t>
  </si>
  <si>
    <t>R001255713</t>
  </si>
  <si>
    <t>河野　英樹</t>
  </si>
  <si>
    <t>カワノ　ヒデキ</t>
  </si>
  <si>
    <t>R001262935</t>
  </si>
  <si>
    <t>河野　裕明</t>
  </si>
  <si>
    <t>カワノ　ヒロアキ</t>
  </si>
  <si>
    <t>R010214623</t>
  </si>
  <si>
    <t>川畑　拓人</t>
  </si>
  <si>
    <t>カワバタ　タクト</t>
  </si>
  <si>
    <t>R010388050</t>
  </si>
  <si>
    <t>川端　大翔</t>
  </si>
  <si>
    <t>カワバタ　ヒロト</t>
  </si>
  <si>
    <t>R010352999</t>
  </si>
  <si>
    <t>川邉　裕也</t>
  </si>
  <si>
    <t>カワベ　ユウヤ</t>
  </si>
  <si>
    <t>R003351145</t>
  </si>
  <si>
    <t>川村　啓一郎</t>
  </si>
  <si>
    <t>カワムラ　ケイイチロウ</t>
  </si>
  <si>
    <t>R001255935</t>
  </si>
  <si>
    <t>川村　正樹</t>
  </si>
  <si>
    <t>カワムラ　マサキ</t>
  </si>
  <si>
    <t>R010613604</t>
  </si>
  <si>
    <t>川村　悠介</t>
  </si>
  <si>
    <t>カワムラ　ユウスケ</t>
  </si>
  <si>
    <t>R010682456</t>
  </si>
  <si>
    <t>神崎　雅且</t>
  </si>
  <si>
    <t>カンザキ　マサカツ</t>
  </si>
  <si>
    <t>キクチ　ケンイチ</t>
  </si>
  <si>
    <t>R007890271</t>
  </si>
  <si>
    <t>菊地　玄</t>
  </si>
  <si>
    <t>キクチ　ゲン</t>
  </si>
  <si>
    <t>R010613629</t>
  </si>
  <si>
    <t>木城　健太</t>
  </si>
  <si>
    <t>キシロ　ケンタ</t>
  </si>
  <si>
    <t>R010376296</t>
  </si>
  <si>
    <t>木島　悠</t>
  </si>
  <si>
    <t>キジマ　ユウ</t>
  </si>
  <si>
    <t>R010465605</t>
  </si>
  <si>
    <t>北村　真悟</t>
  </si>
  <si>
    <t>キタムラ　シンゴ</t>
  </si>
  <si>
    <t>R010074021</t>
  </si>
  <si>
    <t>R010465604</t>
  </si>
  <si>
    <t>木本　大地</t>
  </si>
  <si>
    <t>キモト　ダイチ</t>
  </si>
  <si>
    <t>R001256129</t>
  </si>
  <si>
    <t>木本　信之</t>
  </si>
  <si>
    <t>キモト　ノブユキ</t>
  </si>
  <si>
    <t>R010448240</t>
  </si>
  <si>
    <t>木本　博昭</t>
  </si>
  <si>
    <t>キモト　ヒロアキ</t>
  </si>
  <si>
    <t>R001251504</t>
  </si>
  <si>
    <t>清原　雄太</t>
  </si>
  <si>
    <t>キヨハラ　ユウタ</t>
  </si>
  <si>
    <t>R007003486</t>
  </si>
  <si>
    <t>清松　隆浩</t>
  </si>
  <si>
    <t>キヨマツ　タカヒロ</t>
  </si>
  <si>
    <t>R001263031</t>
  </si>
  <si>
    <t>吉良　信輝</t>
  </si>
  <si>
    <t>キラ　ノブテル</t>
  </si>
  <si>
    <t>R001263040</t>
  </si>
  <si>
    <t>吉良　光峰</t>
  </si>
  <si>
    <t>キラ　ミツタカ</t>
  </si>
  <si>
    <t>R001263068</t>
  </si>
  <si>
    <t>切封　智和</t>
  </si>
  <si>
    <t>キリフ　トモカズ</t>
  </si>
  <si>
    <t>R001263077</t>
  </si>
  <si>
    <t>草野　学</t>
  </si>
  <si>
    <t>クサノ　マナブ</t>
  </si>
  <si>
    <t>R010579060</t>
  </si>
  <si>
    <t>楠野　裕也</t>
  </si>
  <si>
    <t>クスノ　ユウヤ</t>
  </si>
  <si>
    <t>R001263129</t>
  </si>
  <si>
    <t>工藤　慎一</t>
  </si>
  <si>
    <t>クドウ　シンイチ</t>
  </si>
  <si>
    <t>R003258413</t>
  </si>
  <si>
    <t>工藤　隆貴</t>
  </si>
  <si>
    <t>クドウ　タカキ</t>
  </si>
  <si>
    <t>R007002982</t>
  </si>
  <si>
    <t>工藤　政野</t>
  </si>
  <si>
    <t>クドウ　マサノ</t>
  </si>
  <si>
    <t>R001263110</t>
  </si>
  <si>
    <t>工藤　康博</t>
  </si>
  <si>
    <t>クドウ　ヤスヒロ</t>
  </si>
  <si>
    <t>R008798262</t>
  </si>
  <si>
    <t>工藤　龍成</t>
  </si>
  <si>
    <t>クドウ　リュウセイ</t>
  </si>
  <si>
    <t>R010465591</t>
  </si>
  <si>
    <t>工藤　遼一</t>
  </si>
  <si>
    <t>クドウ　リョウイチ</t>
  </si>
  <si>
    <t>R010465620</t>
  </si>
  <si>
    <t>久保　宏太</t>
  </si>
  <si>
    <t>クボ　コウタ</t>
  </si>
  <si>
    <t>クボ　マサノリ</t>
  </si>
  <si>
    <t>R001256305</t>
  </si>
  <si>
    <t>久保田　英樹</t>
  </si>
  <si>
    <t>クボタ　ヒデキ</t>
  </si>
  <si>
    <t>R001256314</t>
  </si>
  <si>
    <t>久保山　守</t>
  </si>
  <si>
    <t>クボヤマ　マモル</t>
  </si>
  <si>
    <t>R001263165</t>
  </si>
  <si>
    <t>熊谷　浩之</t>
  </si>
  <si>
    <t>クマガエ　ヒロユキ</t>
  </si>
  <si>
    <t>R007334890</t>
  </si>
  <si>
    <t>熊谷　勇哉</t>
  </si>
  <si>
    <t>クマガエ　ユウヤ</t>
  </si>
  <si>
    <t>R001263183</t>
  </si>
  <si>
    <t>桑原　栄二郎</t>
  </si>
  <si>
    <t>クワバラ　エイジロウ</t>
  </si>
  <si>
    <t>R008634487</t>
  </si>
  <si>
    <t>桑原　将吾</t>
  </si>
  <si>
    <t>クワバラ　ショウゴ</t>
  </si>
  <si>
    <t>コイシカワ　サトル</t>
  </si>
  <si>
    <t>R007003228</t>
  </si>
  <si>
    <t>河野　晋也</t>
  </si>
  <si>
    <t>コウノ　シンヤ</t>
  </si>
  <si>
    <t>R010376319</t>
  </si>
  <si>
    <t>河野　匡視</t>
  </si>
  <si>
    <t>コウノ　マサシ</t>
  </si>
  <si>
    <t>R010538323</t>
  </si>
  <si>
    <t>古瀬　大騎</t>
  </si>
  <si>
    <t>コセ　ダイキ</t>
  </si>
  <si>
    <t>R009198502</t>
  </si>
  <si>
    <t>児玉　祥吾</t>
  </si>
  <si>
    <t>コダマ　ショウゴ</t>
  </si>
  <si>
    <t>R010465584</t>
  </si>
  <si>
    <t>児玉　雅樹</t>
  </si>
  <si>
    <t>コダマ　マサキ</t>
  </si>
  <si>
    <t>R005405255</t>
  </si>
  <si>
    <t>小手川　朋輝</t>
  </si>
  <si>
    <t>R004706704</t>
  </si>
  <si>
    <t>小林　年晴</t>
  </si>
  <si>
    <t>コバヤシ　トシハル</t>
  </si>
  <si>
    <t>R010546292</t>
  </si>
  <si>
    <t>小山　純平</t>
  </si>
  <si>
    <t>コヤマ　ジュンペイ</t>
  </si>
  <si>
    <t>R001263314</t>
  </si>
  <si>
    <t>近藤　健二</t>
  </si>
  <si>
    <t>コンドウ　ケンジ</t>
  </si>
  <si>
    <t>R010376362</t>
  </si>
  <si>
    <t>近藤　將平</t>
  </si>
  <si>
    <t>コンドウ　ショウヘイ</t>
  </si>
  <si>
    <t>R006591364</t>
  </si>
  <si>
    <t>近藤　裕之</t>
  </si>
  <si>
    <t>コンドウ　ヒロユキ</t>
  </si>
  <si>
    <t>R010376355</t>
  </si>
  <si>
    <t>合嶋　雄大</t>
  </si>
  <si>
    <t>ゴウジマ　ユウダイ</t>
  </si>
  <si>
    <t>R009408852</t>
  </si>
  <si>
    <t>後藤　憲治</t>
  </si>
  <si>
    <t>ゴトウ　ケンジ</t>
  </si>
  <si>
    <t>R010538293</t>
  </si>
  <si>
    <t>後藤　寛貴</t>
  </si>
  <si>
    <t>ゴトウ　ヒロキ</t>
  </si>
  <si>
    <t>R001265367</t>
  </si>
  <si>
    <t>後藤　啓之</t>
  </si>
  <si>
    <t>ゴトウ　ヒロユキ</t>
  </si>
  <si>
    <t>R001256624</t>
  </si>
  <si>
    <t>後藤　文生</t>
  </si>
  <si>
    <t>ゴトウ　フミオ</t>
  </si>
  <si>
    <t>R001263271</t>
  </si>
  <si>
    <t>後藤　稔</t>
  </si>
  <si>
    <t>ゴトウ　ミノル</t>
  </si>
  <si>
    <t>R001263332</t>
  </si>
  <si>
    <t>斎藤　克己</t>
  </si>
  <si>
    <t>サイトウ　カツミ</t>
  </si>
  <si>
    <t>R001263369</t>
  </si>
  <si>
    <t>酒井　清行</t>
  </si>
  <si>
    <t>サカイ　キヨユキ</t>
  </si>
  <si>
    <t>R001251577</t>
  </si>
  <si>
    <t>酒井　隆宏</t>
  </si>
  <si>
    <t>サカイ　タカヒロ</t>
  </si>
  <si>
    <t>R001263350</t>
  </si>
  <si>
    <t>酒井　祐三</t>
  </si>
  <si>
    <t>サカイ　ユウゾウ</t>
  </si>
  <si>
    <t>R010356115</t>
  </si>
  <si>
    <t>サカキ　ケンジ</t>
  </si>
  <si>
    <t>R010576358</t>
  </si>
  <si>
    <t>坂本　和哉</t>
  </si>
  <si>
    <t>サカモト　カズヤ</t>
  </si>
  <si>
    <t>R004714688</t>
  </si>
  <si>
    <t>坂本　克也</t>
  </si>
  <si>
    <t>サカモト　カツヤ</t>
  </si>
  <si>
    <t>R003350863</t>
  </si>
  <si>
    <t>坂本　圭</t>
  </si>
  <si>
    <t>サカモト　ケイ</t>
  </si>
  <si>
    <t>R001263402</t>
  </si>
  <si>
    <t>坂本　淳吾</t>
  </si>
  <si>
    <t>サカモト　ジュンゴ</t>
  </si>
  <si>
    <t>R010421577</t>
  </si>
  <si>
    <t>坂本　陸</t>
  </si>
  <si>
    <t>サカモト　リク</t>
  </si>
  <si>
    <t>R006574400</t>
  </si>
  <si>
    <t>酒盛　政晴</t>
  </si>
  <si>
    <t>サカモリ　マサハル</t>
  </si>
  <si>
    <t>サガラ　アキナリ</t>
  </si>
  <si>
    <t>R002917500</t>
  </si>
  <si>
    <t>迫　裕作</t>
  </si>
  <si>
    <t>サコ　ユウサク</t>
  </si>
  <si>
    <t>R010653559</t>
  </si>
  <si>
    <t>佐々井　誠也</t>
  </si>
  <si>
    <t>ササイ　マサヤ</t>
  </si>
  <si>
    <t>R010638090</t>
  </si>
  <si>
    <t>佐々木　英雄</t>
  </si>
  <si>
    <t>ササキ　ヒデオ</t>
  </si>
  <si>
    <t>R007335136</t>
  </si>
  <si>
    <t>ササキ　ヒデキ</t>
  </si>
  <si>
    <t>R001263411</t>
  </si>
  <si>
    <t>佐々木　正志</t>
  </si>
  <si>
    <t>ササキ　マサシ</t>
  </si>
  <si>
    <t>R001263448</t>
  </si>
  <si>
    <t>佐藤　昭生</t>
  </si>
  <si>
    <t>サトウ　アキオ</t>
  </si>
  <si>
    <t>R001263484</t>
  </si>
  <si>
    <t>佐藤　一好</t>
  </si>
  <si>
    <t>サトウ　カズヨシ</t>
  </si>
  <si>
    <t>サトウ　シンジ</t>
  </si>
  <si>
    <t>R005164394</t>
  </si>
  <si>
    <t>佐藤　嵩隼</t>
  </si>
  <si>
    <t>サトウ　タカトシ</t>
  </si>
  <si>
    <t>R008634706</t>
  </si>
  <si>
    <t>佐藤　巨規</t>
  </si>
  <si>
    <t>サトウ　ナオキ</t>
  </si>
  <si>
    <t>R010281827</t>
  </si>
  <si>
    <t>佐藤　秀昭</t>
  </si>
  <si>
    <t>サトウ　ヒデアキ</t>
  </si>
  <si>
    <t>R010189269</t>
  </si>
  <si>
    <t>佐藤　寛季</t>
  </si>
  <si>
    <t>サトウ　ヒロキ</t>
  </si>
  <si>
    <t>R007728512</t>
  </si>
  <si>
    <t>佐藤　誠</t>
  </si>
  <si>
    <t>サトウ　マコト</t>
  </si>
  <si>
    <t>R010396593</t>
  </si>
  <si>
    <t>佐藤　諒</t>
  </si>
  <si>
    <t>R007003291</t>
  </si>
  <si>
    <t>佐藤　優介</t>
  </si>
  <si>
    <t>サトウ　ユウスケ</t>
  </si>
  <si>
    <t>R010382660</t>
  </si>
  <si>
    <t>佐藤　祐輔</t>
  </si>
  <si>
    <t>R001263475</t>
  </si>
  <si>
    <t>R009552560</t>
  </si>
  <si>
    <t>佐藤　亮</t>
  </si>
  <si>
    <t>サトウ　リョウ</t>
  </si>
  <si>
    <t>R001257252</t>
  </si>
  <si>
    <t>三宮　仁</t>
  </si>
  <si>
    <t>サンノミヤ　ヒトシ</t>
  </si>
  <si>
    <t>R007959936</t>
  </si>
  <si>
    <t>塩田　誠</t>
  </si>
  <si>
    <t>シオタ　マコト</t>
  </si>
  <si>
    <t>R010552555</t>
  </si>
  <si>
    <t>敷嶋　義郎</t>
  </si>
  <si>
    <t>シキシマ　ヨシオ</t>
  </si>
  <si>
    <t>R001257322</t>
  </si>
  <si>
    <t>師藤　一也</t>
  </si>
  <si>
    <t>シトウ　カズヤ</t>
  </si>
  <si>
    <t>R010444495</t>
  </si>
  <si>
    <t>志藤　圭史朗</t>
  </si>
  <si>
    <t>シトウ　ケイシロウ</t>
  </si>
  <si>
    <t>R004326535</t>
  </si>
  <si>
    <t>信田　卓也</t>
  </si>
  <si>
    <t>シノダ　タクヤ</t>
  </si>
  <si>
    <t>R010073990</t>
  </si>
  <si>
    <t>篠田　裕也</t>
  </si>
  <si>
    <t>シノダ　ユウヤ</t>
  </si>
  <si>
    <t>R008634715</t>
  </si>
  <si>
    <t>柴田　健一</t>
  </si>
  <si>
    <t>シバタ　ケンイチ</t>
  </si>
  <si>
    <t>R010214543</t>
  </si>
  <si>
    <t>柴田　峻佑</t>
  </si>
  <si>
    <t>シバタ　シュンスケ</t>
  </si>
  <si>
    <t>R002938017</t>
  </si>
  <si>
    <t>柴田　徹</t>
  </si>
  <si>
    <t>シバタ　トオル</t>
  </si>
  <si>
    <t>R007686216</t>
  </si>
  <si>
    <t>清水　圭二</t>
  </si>
  <si>
    <t>シミズ　ケイジ</t>
  </si>
  <si>
    <t>R010613616</t>
  </si>
  <si>
    <t>下田　拓哉</t>
  </si>
  <si>
    <t>シモダ　タクヤ</t>
  </si>
  <si>
    <t>R006910259</t>
  </si>
  <si>
    <t>下原　優一</t>
  </si>
  <si>
    <t>シモハラ　ユウイチ</t>
  </si>
  <si>
    <t>R001263590</t>
  </si>
  <si>
    <t>首藤　圭介</t>
  </si>
  <si>
    <t>シュトウ　ケイスケ</t>
  </si>
  <si>
    <t>R001934616</t>
  </si>
  <si>
    <t>首藤　貴弘</t>
  </si>
  <si>
    <t>シュトウ　タカヒロ</t>
  </si>
  <si>
    <t>R010581167</t>
  </si>
  <si>
    <t>首藤　崇浩</t>
  </si>
  <si>
    <t>R010354788</t>
  </si>
  <si>
    <t>首藤　弘樹</t>
  </si>
  <si>
    <t>シュトウ　ヒロキ</t>
  </si>
  <si>
    <t>シラエ　ナオキ</t>
  </si>
  <si>
    <t>R006849128</t>
  </si>
  <si>
    <t>城全　晃孝</t>
  </si>
  <si>
    <t>シロゼン　アキタカ</t>
  </si>
  <si>
    <t>R001263606</t>
  </si>
  <si>
    <t>城全　孝成</t>
  </si>
  <si>
    <t>シロゼン　タカナリ</t>
  </si>
  <si>
    <t>R001257641</t>
  </si>
  <si>
    <t>秦　達郎</t>
  </si>
  <si>
    <t>シン　タツロウ</t>
  </si>
  <si>
    <t>R001263633</t>
  </si>
  <si>
    <t>秦　雅暢</t>
  </si>
  <si>
    <t>シン　マサノブ</t>
  </si>
  <si>
    <t>R009198335</t>
  </si>
  <si>
    <t>城野　清</t>
  </si>
  <si>
    <t>ジョウノ　キヨシ</t>
  </si>
  <si>
    <t>R010018266</t>
  </si>
  <si>
    <t>末信　大</t>
  </si>
  <si>
    <t>スエノブ　ダイ</t>
  </si>
  <si>
    <t>R004793834</t>
  </si>
  <si>
    <t>末松　敬雅</t>
  </si>
  <si>
    <t>スエマツ　タカマサ</t>
  </si>
  <si>
    <t>R008515571</t>
  </si>
  <si>
    <t>菅川　智</t>
  </si>
  <si>
    <t>スガワ　サトシ</t>
  </si>
  <si>
    <t>R007003024</t>
  </si>
  <si>
    <t>杉崎　恭介</t>
  </si>
  <si>
    <t>スギサキ　キョウスケ</t>
  </si>
  <si>
    <t>R002530860</t>
  </si>
  <si>
    <t>鈴木　史朗</t>
  </si>
  <si>
    <t>スズキ　シロウ</t>
  </si>
  <si>
    <t>R008798369</t>
  </si>
  <si>
    <t>鈴木　優希</t>
  </si>
  <si>
    <t>スズキ　ユウキ</t>
  </si>
  <si>
    <t>R010444486</t>
  </si>
  <si>
    <t>須藤　哲也</t>
  </si>
  <si>
    <t>ストウ　テツヤ</t>
  </si>
  <si>
    <t>R010468354</t>
  </si>
  <si>
    <t>須藤　裕太</t>
  </si>
  <si>
    <t>スドウ　ユウタ</t>
  </si>
  <si>
    <t>スミタ　テッペイ</t>
  </si>
  <si>
    <t>セイケ　ダイスケ</t>
  </si>
  <si>
    <t>R000896665</t>
  </si>
  <si>
    <t>関　文雄</t>
  </si>
  <si>
    <t>セキ　フミオ</t>
  </si>
  <si>
    <t>R008798174</t>
  </si>
  <si>
    <t>関屋　俊侑</t>
  </si>
  <si>
    <t>セキヤ　トシユキ</t>
  </si>
  <si>
    <t>R001263688</t>
  </si>
  <si>
    <t>瀬口　篤</t>
  </si>
  <si>
    <t>セグチ　アツシ</t>
  </si>
  <si>
    <t>R007606238</t>
  </si>
  <si>
    <t>相馬　大典</t>
  </si>
  <si>
    <t>ソウマ　ダイスケ</t>
  </si>
  <si>
    <t>R010247795</t>
  </si>
  <si>
    <t>曽我　彩夏</t>
  </si>
  <si>
    <t>ソガ　アヤカ</t>
  </si>
  <si>
    <t>R001263697</t>
  </si>
  <si>
    <t>曽我　大一郎</t>
  </si>
  <si>
    <t>ソガ　ダイイチロウ</t>
  </si>
  <si>
    <t>R010638092</t>
  </si>
  <si>
    <t>曽我　大樹</t>
  </si>
  <si>
    <t>ソガ　ダイキ</t>
  </si>
  <si>
    <t>R005987430</t>
  </si>
  <si>
    <t>平　和隆</t>
  </si>
  <si>
    <t>タイラ　カズタカ</t>
  </si>
  <si>
    <t>R006664615</t>
  </si>
  <si>
    <t>高柿　康平</t>
  </si>
  <si>
    <t>タカガキ　コウヘイ</t>
  </si>
  <si>
    <t>R010613606</t>
  </si>
  <si>
    <t>高崎　純之介</t>
  </si>
  <si>
    <t>タカサキ　ジュンノスケ</t>
  </si>
  <si>
    <t>R010465617</t>
  </si>
  <si>
    <t>高田　侑弥</t>
  </si>
  <si>
    <t>タカダ　ユウヤ</t>
  </si>
  <si>
    <t>R010376358</t>
  </si>
  <si>
    <t>高野　賢吾</t>
  </si>
  <si>
    <t>タカノ　ケンゴ</t>
  </si>
  <si>
    <t>R010613609</t>
  </si>
  <si>
    <t>髙橋　航介</t>
  </si>
  <si>
    <t>タカハシ　コウスケ</t>
  </si>
  <si>
    <t>R001263819</t>
  </si>
  <si>
    <t>高橋　雅浩</t>
  </si>
  <si>
    <t>タカハシ　マサヒロ</t>
  </si>
  <si>
    <t>R001263785</t>
  </si>
  <si>
    <t>高橋　芳洋</t>
  </si>
  <si>
    <t>タカハシ　ヨシヒロ</t>
  </si>
  <si>
    <t>R005987120</t>
  </si>
  <si>
    <t>高橋　涼太</t>
  </si>
  <si>
    <t>タカハシ　リョウタ</t>
  </si>
  <si>
    <t>R001263846</t>
  </si>
  <si>
    <t>高畑　徳治郎</t>
  </si>
  <si>
    <t>タカハタ　トクジロウ</t>
  </si>
  <si>
    <t>R001263837</t>
  </si>
  <si>
    <t>高畑　智秀</t>
  </si>
  <si>
    <t>タカハタ　トモヒデ</t>
  </si>
  <si>
    <t>R003258477</t>
  </si>
  <si>
    <t>田上　和広</t>
  </si>
  <si>
    <t>タガミ　カズヒロ</t>
  </si>
  <si>
    <t>R001262272</t>
  </si>
  <si>
    <t>瀧山　理恵</t>
  </si>
  <si>
    <t>タキヤマ　リエ</t>
  </si>
  <si>
    <t>R003972489</t>
  </si>
  <si>
    <t>竹嶋　仁</t>
  </si>
  <si>
    <t>タケシマ　ヒトシ</t>
  </si>
  <si>
    <t>R006220484</t>
  </si>
  <si>
    <t>武智　正敏</t>
  </si>
  <si>
    <t>タケチ　マサトシ</t>
  </si>
  <si>
    <t>R007754243</t>
  </si>
  <si>
    <t>竹中　勇人</t>
  </si>
  <si>
    <t>タケナカ　ハヤト</t>
  </si>
  <si>
    <t>R006030599</t>
  </si>
  <si>
    <t>竹村　研一郎</t>
  </si>
  <si>
    <t>タケムラ　ケンイチロウ</t>
  </si>
  <si>
    <t>R007335075</t>
  </si>
  <si>
    <t>田坂　将和</t>
  </si>
  <si>
    <t>タサカ　マサカヅ</t>
  </si>
  <si>
    <t>R010542205</t>
  </si>
  <si>
    <t>但馬　廉</t>
  </si>
  <si>
    <t>タジマ　レン</t>
  </si>
  <si>
    <t>タジリ　タカシ</t>
  </si>
  <si>
    <t>R004060170</t>
  </si>
  <si>
    <t>立花　陽一郎</t>
  </si>
  <si>
    <t>タチバナ　ヨウイチロウ</t>
  </si>
  <si>
    <t>R008626770</t>
  </si>
  <si>
    <t>立川　大記</t>
  </si>
  <si>
    <t>タツカワ　タイキ</t>
  </si>
  <si>
    <t>R009430578</t>
  </si>
  <si>
    <t>立川　千紗</t>
  </si>
  <si>
    <t>タツカワ　チサ</t>
  </si>
  <si>
    <t>R010600676</t>
  </si>
  <si>
    <t>立川　拓樹</t>
  </si>
  <si>
    <t>タツカワ　ヒロキ</t>
  </si>
  <si>
    <t>R008627043</t>
  </si>
  <si>
    <t>立川　充</t>
  </si>
  <si>
    <t>タツカワ　ミツル</t>
  </si>
  <si>
    <t>タナカ　ヤスユキ</t>
  </si>
  <si>
    <t>R010538404</t>
  </si>
  <si>
    <t>田邉　秀和</t>
  </si>
  <si>
    <t>タナベ　ヒデカズ</t>
  </si>
  <si>
    <t>R001258394</t>
  </si>
  <si>
    <t>田邉　義晶</t>
  </si>
  <si>
    <t>タナベ　ヨシアキラ</t>
  </si>
  <si>
    <t>R005164677</t>
  </si>
  <si>
    <t>田村　孝弘</t>
  </si>
  <si>
    <t>タムラ　タカヒロ</t>
  </si>
  <si>
    <t>R004793579</t>
  </si>
  <si>
    <t>團塚　晋之祐</t>
  </si>
  <si>
    <t>ダンヅカ　シンノスケ</t>
  </si>
  <si>
    <t>R010448232</t>
  </si>
  <si>
    <t>塚崎　高典</t>
  </si>
  <si>
    <t>ツカザキ　タカノリ</t>
  </si>
  <si>
    <t>R010698136</t>
  </si>
  <si>
    <t>塚崎　仁志</t>
  </si>
  <si>
    <t>ツカザキ　ヒトシ</t>
  </si>
  <si>
    <t>R010281819</t>
  </si>
  <si>
    <t>辻井　拓夢</t>
  </si>
  <si>
    <t>ツジイ　タクム</t>
  </si>
  <si>
    <t>R010676614</t>
  </si>
  <si>
    <t>辻野　優吾</t>
  </si>
  <si>
    <t>ツジノ　ユウゴ</t>
  </si>
  <si>
    <t>R001265419</t>
  </si>
  <si>
    <t>津田　憲生</t>
  </si>
  <si>
    <t>ツダ　ノリオ</t>
  </si>
  <si>
    <t>R010599174</t>
  </si>
  <si>
    <t>土屋　毅留</t>
  </si>
  <si>
    <t>ツチヤ　タケル</t>
  </si>
  <si>
    <t>R001263998</t>
  </si>
  <si>
    <t>堤　祐慈</t>
  </si>
  <si>
    <t>ツツミ　ユウジ</t>
  </si>
  <si>
    <t>R002996677</t>
  </si>
  <si>
    <t>坪根　晃</t>
  </si>
  <si>
    <t>ツボネ　アキラ</t>
  </si>
  <si>
    <t>R010465621</t>
  </si>
  <si>
    <t>坪根　弘希</t>
  </si>
  <si>
    <t>ツボネ　コウキ</t>
  </si>
  <si>
    <t>R001264003</t>
  </si>
  <si>
    <t>ツモリ　カズオ</t>
  </si>
  <si>
    <t>R001264012</t>
  </si>
  <si>
    <t>津守　正博</t>
  </si>
  <si>
    <t>ツモリ　マサヒロ</t>
  </si>
  <si>
    <t>R010376298</t>
  </si>
  <si>
    <t>鶴田　和也</t>
  </si>
  <si>
    <t>ツルタ　カズヤ</t>
  </si>
  <si>
    <t>R009408782</t>
  </si>
  <si>
    <t>手島　冠</t>
  </si>
  <si>
    <t>テシマ　カン</t>
  </si>
  <si>
    <t>R001264058</t>
  </si>
  <si>
    <t>寺岡　富夫</t>
  </si>
  <si>
    <t>テラオカ　トミオ</t>
  </si>
  <si>
    <t>R001264049</t>
  </si>
  <si>
    <t>寺岡　義彦</t>
  </si>
  <si>
    <t>テラオカ　ヨシヒコ</t>
  </si>
  <si>
    <t>テラジ　ヨシタカ</t>
  </si>
  <si>
    <t>R004226749</t>
  </si>
  <si>
    <t>寺本　義高</t>
  </si>
  <si>
    <t>テラモト　ヨシタカ</t>
  </si>
  <si>
    <t>R004111340</t>
  </si>
  <si>
    <t>唐下　直之</t>
  </si>
  <si>
    <t>トウゲ　ナオユキ</t>
  </si>
  <si>
    <t>R010167725</t>
  </si>
  <si>
    <t>東藤　正幸</t>
  </si>
  <si>
    <t>トウドウ　マサユキ</t>
  </si>
  <si>
    <t>R002848671</t>
  </si>
  <si>
    <t>徳永　浩幸</t>
  </si>
  <si>
    <t>トクナガ　ヒロユキ</t>
  </si>
  <si>
    <t>R010189300</t>
  </si>
  <si>
    <t>徳光　将太</t>
  </si>
  <si>
    <t>トクミツ　ショウタ</t>
  </si>
  <si>
    <t>R001258701</t>
  </si>
  <si>
    <t>都甲　昌亨</t>
  </si>
  <si>
    <t>トコウ　マサユキ</t>
  </si>
  <si>
    <t>R001258738</t>
  </si>
  <si>
    <t>戸髙　博秋</t>
  </si>
  <si>
    <t>トダカ　ヒロアキ</t>
  </si>
  <si>
    <t>R010685161</t>
  </si>
  <si>
    <t>飛瀬　龍宝</t>
  </si>
  <si>
    <t>トビセ　リュウ</t>
  </si>
  <si>
    <t>R010689072</t>
  </si>
  <si>
    <t>友松　力</t>
  </si>
  <si>
    <t>トモマツ　チカラ</t>
  </si>
  <si>
    <t>R010542171</t>
  </si>
  <si>
    <t>内藤　翔悟</t>
  </si>
  <si>
    <t>ナイトウ　ショウゴ</t>
  </si>
  <si>
    <t>R010168000</t>
  </si>
  <si>
    <t>仲　恭平</t>
  </si>
  <si>
    <t>ナカ　キョウヘイ</t>
  </si>
  <si>
    <t>R002917722</t>
  </si>
  <si>
    <t>中尾　倫彰</t>
  </si>
  <si>
    <t>ナカオ　ミチアキ</t>
  </si>
  <si>
    <t>R002530046</t>
  </si>
  <si>
    <t>中上　聡志</t>
  </si>
  <si>
    <t>ナカガミ　サトシ</t>
  </si>
  <si>
    <t>R010448251</t>
  </si>
  <si>
    <t>中倉　咲姫</t>
  </si>
  <si>
    <t>ナカクラ　サキ</t>
  </si>
  <si>
    <t>R008634681</t>
  </si>
  <si>
    <t>中島　康平</t>
  </si>
  <si>
    <t>ナカシマ　コウヘイ</t>
  </si>
  <si>
    <t>R010190757</t>
  </si>
  <si>
    <t>中島　佑介</t>
  </si>
  <si>
    <t>ナカシマ　ユウスケ</t>
  </si>
  <si>
    <t>R010007829</t>
  </si>
  <si>
    <t>中島　亮太</t>
  </si>
  <si>
    <t>ナカシマ　リョウタ</t>
  </si>
  <si>
    <t>R001264164</t>
  </si>
  <si>
    <t>ナカノ　アキヒロ</t>
  </si>
  <si>
    <t>R005429893</t>
  </si>
  <si>
    <t>中野　佐和三</t>
  </si>
  <si>
    <t>ナカノ　サワミ</t>
  </si>
  <si>
    <t>R010248583</t>
  </si>
  <si>
    <t>中野　翔梧</t>
  </si>
  <si>
    <t>ナカノ　ショウゴ</t>
  </si>
  <si>
    <t>R010581162</t>
  </si>
  <si>
    <t>仲野　翔真</t>
  </si>
  <si>
    <t>ナカノ　ショウマ</t>
  </si>
  <si>
    <t>R010542202</t>
  </si>
  <si>
    <t>中野　匠</t>
  </si>
  <si>
    <t>ナカノ　タクミ</t>
  </si>
  <si>
    <t>R003421310</t>
  </si>
  <si>
    <t>中野　雄斗</t>
  </si>
  <si>
    <t>ナカノ　ユウト</t>
  </si>
  <si>
    <t>R001264182</t>
  </si>
  <si>
    <t>ナカハラ　ケイスケ</t>
  </si>
  <si>
    <t>R010546291</t>
  </si>
  <si>
    <t>中原　笙</t>
  </si>
  <si>
    <t>ナカハラ　ショウ</t>
  </si>
  <si>
    <t>R010099448</t>
  </si>
  <si>
    <t>中原　丈聖</t>
  </si>
  <si>
    <t>ナカハラ　ヒロマサ</t>
  </si>
  <si>
    <t>R010016109</t>
  </si>
  <si>
    <t>仲村　晃和</t>
  </si>
  <si>
    <t>ナカムラ　アキト</t>
  </si>
  <si>
    <t>R007959990</t>
  </si>
  <si>
    <t>中村　髙峰</t>
  </si>
  <si>
    <t>ナカムラ　タカネ</t>
  </si>
  <si>
    <t>R010382275</t>
  </si>
  <si>
    <t>中村　友海</t>
  </si>
  <si>
    <t>ナカムラ　ユウ</t>
  </si>
  <si>
    <t>R010073993</t>
  </si>
  <si>
    <t>仲村　陽一郎</t>
  </si>
  <si>
    <t>ナカムラ　ヨウイチロウ</t>
  </si>
  <si>
    <t>R010538407</t>
  </si>
  <si>
    <t>中谷　翔</t>
  </si>
  <si>
    <t>ナカヤ　ショウ</t>
  </si>
  <si>
    <t>R010189259</t>
  </si>
  <si>
    <t>中山　修一</t>
  </si>
  <si>
    <t>ナカヤマ　シュウイチ</t>
  </si>
  <si>
    <t>R010376274</t>
  </si>
  <si>
    <t>永井　翔也</t>
  </si>
  <si>
    <t>ナガイ　ショウヤ</t>
  </si>
  <si>
    <t>R004111580</t>
  </si>
  <si>
    <t>永井　勇司</t>
  </si>
  <si>
    <t>ナガイ　ユージ</t>
  </si>
  <si>
    <t>R001258871</t>
  </si>
  <si>
    <t>長尾　信宏</t>
  </si>
  <si>
    <t>ナガオ　ノブヒロ</t>
  </si>
  <si>
    <t>R001264128</t>
  </si>
  <si>
    <t>長尾　寿郎</t>
  </si>
  <si>
    <t>ナガオ　ヒサオ</t>
  </si>
  <si>
    <t>R010448233</t>
  </si>
  <si>
    <t>長岡　傑</t>
  </si>
  <si>
    <t>ナガオカ　スグル</t>
  </si>
  <si>
    <t>R010376366</t>
  </si>
  <si>
    <t>長岡　範</t>
  </si>
  <si>
    <t>ナガオカ　ススム</t>
  </si>
  <si>
    <t>R010538360</t>
  </si>
  <si>
    <t>長野　高志</t>
  </si>
  <si>
    <t>ナガノ　タカシ</t>
  </si>
  <si>
    <t>R005164941</t>
  </si>
  <si>
    <t>永松　真朗</t>
  </si>
  <si>
    <t>ナガマツ　マオ</t>
  </si>
  <si>
    <t>R006889108</t>
  </si>
  <si>
    <t>永松　真樹</t>
  </si>
  <si>
    <t>ナガマツ　マキ</t>
  </si>
  <si>
    <t>R010306440</t>
  </si>
  <si>
    <t>永芳　卓磨</t>
  </si>
  <si>
    <t>ナガヨシ　タクマ</t>
  </si>
  <si>
    <t>R002908335</t>
  </si>
  <si>
    <t>南里　秀樹</t>
  </si>
  <si>
    <t>ナンリ　ヒデキ</t>
  </si>
  <si>
    <t>R010613591</t>
  </si>
  <si>
    <t>西村　崇</t>
  </si>
  <si>
    <t>ニシムラ　タカシ</t>
  </si>
  <si>
    <t>R009670176</t>
  </si>
  <si>
    <t>西村　竜司</t>
  </si>
  <si>
    <t>ニシムラ　リュウジ</t>
  </si>
  <si>
    <t>R006148515</t>
  </si>
  <si>
    <t>西山　文朗</t>
  </si>
  <si>
    <t>ニシヤマ　フミアキ</t>
  </si>
  <si>
    <t>R001259287</t>
  </si>
  <si>
    <t>新田　祐一郎</t>
  </si>
  <si>
    <t>ニッタ　ユウイチロウ</t>
  </si>
  <si>
    <t>R001264252</t>
  </si>
  <si>
    <t>二ノ谷　徹</t>
  </si>
  <si>
    <t>ニノタニ　トオル</t>
  </si>
  <si>
    <t>R010095349</t>
  </si>
  <si>
    <t>二宮　慎太郎</t>
  </si>
  <si>
    <t>ニノミヤ　シンタロウ</t>
  </si>
  <si>
    <t>R010281856</t>
  </si>
  <si>
    <t>如法寺　雅俊</t>
  </si>
  <si>
    <t>ニョホウジ　マサトシ</t>
  </si>
  <si>
    <t>R010080607</t>
  </si>
  <si>
    <t>野田　晶生</t>
  </si>
  <si>
    <t>ノダ　マサオ</t>
  </si>
  <si>
    <t>R001264289</t>
  </si>
  <si>
    <t>野田　洋平</t>
  </si>
  <si>
    <t>ノダ　ヨウヘイ</t>
  </si>
  <si>
    <t>R010214556</t>
  </si>
  <si>
    <t>野中　裕介</t>
  </si>
  <si>
    <t>ノナカ　ユウスケ</t>
  </si>
  <si>
    <t>R010430157</t>
  </si>
  <si>
    <t>野元　雅矢</t>
  </si>
  <si>
    <t>ノモト　マサヤ</t>
  </si>
  <si>
    <t>R010027819</t>
  </si>
  <si>
    <t>ハザマ　テルヒサ</t>
  </si>
  <si>
    <t>R001252017</t>
  </si>
  <si>
    <t>橋本　伸太郎</t>
  </si>
  <si>
    <t>ハシモト　シンタロウ</t>
  </si>
  <si>
    <t>R010376361</t>
  </si>
  <si>
    <t>橋本　淳平</t>
  </si>
  <si>
    <t>ハシモト　ジュンペイ</t>
  </si>
  <si>
    <t>R008797962</t>
  </si>
  <si>
    <t>橋本　葉音</t>
  </si>
  <si>
    <t>ハシモト　ハノン</t>
  </si>
  <si>
    <t>R001264304</t>
  </si>
  <si>
    <t>ハダノ　ワタル</t>
  </si>
  <si>
    <t>R010599588</t>
  </si>
  <si>
    <t>花崎　宏</t>
  </si>
  <si>
    <t>ハナサキ　ヒロシ</t>
  </si>
  <si>
    <t>R010376277</t>
  </si>
  <si>
    <t>花宮　大聖</t>
  </si>
  <si>
    <t>ハナミヤ　タイセイ</t>
  </si>
  <si>
    <t>R001259588</t>
  </si>
  <si>
    <t>浜崎　陽介</t>
  </si>
  <si>
    <t>ハマサキ　ヨウスケ</t>
  </si>
  <si>
    <t>R006221094</t>
  </si>
  <si>
    <t>浜町　拓也</t>
  </si>
  <si>
    <t>ハママチ　タクヤ</t>
  </si>
  <si>
    <t>R001259667</t>
  </si>
  <si>
    <t>原　宏一</t>
  </si>
  <si>
    <t>ハラ　コウイチ</t>
  </si>
  <si>
    <t>R005603802</t>
  </si>
  <si>
    <t>原　俊輔</t>
  </si>
  <si>
    <t>ハラ　シュンスケ</t>
  </si>
  <si>
    <t>R008174365</t>
  </si>
  <si>
    <t>原　貴宏</t>
  </si>
  <si>
    <t>ハラ　タカヒロ</t>
  </si>
  <si>
    <t>R007003413</t>
  </si>
  <si>
    <t>原田　雅也</t>
  </si>
  <si>
    <t>ハラダ　マサヤ</t>
  </si>
  <si>
    <t>R001264359</t>
  </si>
  <si>
    <t>東　和弘</t>
  </si>
  <si>
    <t>ヒガシ　カズヒロ</t>
  </si>
  <si>
    <t>R010376324</t>
  </si>
  <si>
    <t>菱川　翔平</t>
  </si>
  <si>
    <t>ヒシカワ　ショウヘイ</t>
  </si>
  <si>
    <t>R010676676</t>
  </si>
  <si>
    <t>泥谷　貫太</t>
  </si>
  <si>
    <t>ヒジヤ　カンタ</t>
  </si>
  <si>
    <t>R010638056</t>
  </si>
  <si>
    <t>日高　聖也</t>
  </si>
  <si>
    <t>ヒダカ　セイヤ</t>
  </si>
  <si>
    <t>R010581181</t>
  </si>
  <si>
    <t>日野　由香里</t>
  </si>
  <si>
    <t>ヒノ　ユカリ</t>
  </si>
  <si>
    <t>R006147048</t>
  </si>
  <si>
    <t>姫野　一陽</t>
  </si>
  <si>
    <t>ヒメノ　イチヨウ</t>
  </si>
  <si>
    <t>R005528307</t>
  </si>
  <si>
    <t>姫野　恵一</t>
  </si>
  <si>
    <t>ヒメノ　ケイイチ</t>
  </si>
  <si>
    <t>R006220183</t>
  </si>
  <si>
    <t>姫野　航平</t>
  </si>
  <si>
    <t>ヒメノ　コウヘイ</t>
  </si>
  <si>
    <t>R010542172</t>
  </si>
  <si>
    <t>姫野　祥吾</t>
  </si>
  <si>
    <t>ヒメノ　ショウゴ</t>
  </si>
  <si>
    <t>R010189272</t>
  </si>
  <si>
    <t>姫野　佑太郎</t>
  </si>
  <si>
    <t>ヒメノ　ユウタロウ</t>
  </si>
  <si>
    <t>R001259870</t>
  </si>
  <si>
    <t>平岡　正広</t>
  </si>
  <si>
    <t>ヒラオカ　マサヒロ</t>
  </si>
  <si>
    <t>R003972513</t>
  </si>
  <si>
    <t>平川　伸吾</t>
  </si>
  <si>
    <t>ヒラカワ　シンゴ</t>
  </si>
  <si>
    <t>R010538358</t>
  </si>
  <si>
    <t>平川　諒</t>
  </si>
  <si>
    <t>ヒラカワ　リョウ</t>
  </si>
  <si>
    <t>R007003501</t>
  </si>
  <si>
    <t>廣瀬　惣一朗</t>
  </si>
  <si>
    <t>ヒロセ　ソウイチロウ</t>
  </si>
  <si>
    <t>R001264401</t>
  </si>
  <si>
    <t>廣瀬　文明</t>
  </si>
  <si>
    <t>ヒロセ　フミアキ</t>
  </si>
  <si>
    <t>R004386120</t>
  </si>
  <si>
    <t>廣瀬　賢明</t>
  </si>
  <si>
    <t>ヒロセ　マサアキ</t>
  </si>
  <si>
    <t>R010449912</t>
  </si>
  <si>
    <t>廣瀬　龍治</t>
  </si>
  <si>
    <t>ヒロセ　リュウジ</t>
  </si>
  <si>
    <t>R001264410</t>
  </si>
  <si>
    <t>廣田　寧孝</t>
  </si>
  <si>
    <t>ヒロタ　ヤスタカ</t>
  </si>
  <si>
    <t>R001260070</t>
  </si>
  <si>
    <t>廣戸　誠一</t>
  </si>
  <si>
    <t>ヒロト　セイイチ</t>
  </si>
  <si>
    <t>R010376332</t>
  </si>
  <si>
    <t>深津　弘毅</t>
  </si>
  <si>
    <t>フカヅ　コウキ</t>
  </si>
  <si>
    <t>R010538359</t>
  </si>
  <si>
    <t>深野　達也</t>
  </si>
  <si>
    <t>フカノ　タツヤ</t>
  </si>
  <si>
    <t>R009197691</t>
  </si>
  <si>
    <t>深堀　祥司</t>
  </si>
  <si>
    <t>フカホリ　ショウジ</t>
  </si>
  <si>
    <t>R010501257</t>
  </si>
  <si>
    <t>福田　知行</t>
  </si>
  <si>
    <t>フクダ　トモユキ</t>
  </si>
  <si>
    <t>R001264447</t>
  </si>
  <si>
    <t>福元　研治</t>
  </si>
  <si>
    <t>フクモト　ケンジ</t>
  </si>
  <si>
    <t>R010396500</t>
  </si>
  <si>
    <t>藤井　健人</t>
  </si>
  <si>
    <t>フジイ　ケント</t>
  </si>
  <si>
    <t>R008798183</t>
  </si>
  <si>
    <t>藤田　和也</t>
  </si>
  <si>
    <t>フジタ　カズヤ</t>
  </si>
  <si>
    <t>R008798217</t>
  </si>
  <si>
    <t>藤本　勝爾</t>
  </si>
  <si>
    <t>フジモト　カツジ</t>
  </si>
  <si>
    <t>R007753819</t>
  </si>
  <si>
    <t>藤本　洋</t>
  </si>
  <si>
    <t>フジモト　ヒロシ</t>
  </si>
  <si>
    <t>R010027860</t>
  </si>
  <si>
    <t>藤原　佑史朗</t>
  </si>
  <si>
    <t>フジワラ　ユウシロウ</t>
  </si>
  <si>
    <t>R003421772</t>
  </si>
  <si>
    <t>藤原　龍司</t>
  </si>
  <si>
    <t>フジワラ　リュウジ</t>
  </si>
  <si>
    <t>R001264483</t>
  </si>
  <si>
    <t>渕　辰雄</t>
  </si>
  <si>
    <t>フチ　タツオ</t>
  </si>
  <si>
    <t>R004060189</t>
  </si>
  <si>
    <t>古川　高</t>
  </si>
  <si>
    <t>フルカワ　タカシ</t>
  </si>
  <si>
    <t>R010538352</t>
  </si>
  <si>
    <t>古代　峻也</t>
  </si>
  <si>
    <t>フルシロ　シュンヤ</t>
  </si>
  <si>
    <t>R001600205</t>
  </si>
  <si>
    <t>古戸　雅崇</t>
  </si>
  <si>
    <t>フルト　マサタカ</t>
  </si>
  <si>
    <t>R001264508</t>
  </si>
  <si>
    <t>古畑　葵</t>
  </si>
  <si>
    <t>フルハタ　アオイ</t>
  </si>
  <si>
    <t>R001264492</t>
  </si>
  <si>
    <t>古畑　翼</t>
  </si>
  <si>
    <t>フルハタ　ツバサ</t>
  </si>
  <si>
    <t>R005987050</t>
  </si>
  <si>
    <t>星野　敦</t>
  </si>
  <si>
    <t>ホシノ　アツシ</t>
  </si>
  <si>
    <t>R010056105</t>
  </si>
  <si>
    <t>星野　杏</t>
  </si>
  <si>
    <t>ホシノ　キョウ</t>
  </si>
  <si>
    <t>R003351288</t>
  </si>
  <si>
    <t>保月　寿智</t>
  </si>
  <si>
    <t>ホヅキ　トシアキ</t>
  </si>
  <si>
    <t>R010127606</t>
  </si>
  <si>
    <t>本戸　峰</t>
  </si>
  <si>
    <t>ホンド　ミネオ</t>
  </si>
  <si>
    <t>R007003422</t>
  </si>
  <si>
    <t>前田　篤史</t>
  </si>
  <si>
    <t>マエダ　トクフミ</t>
  </si>
  <si>
    <t>R001260557</t>
  </si>
  <si>
    <t>マガリェンス　リシャルドソン</t>
  </si>
  <si>
    <t>R001264544</t>
  </si>
  <si>
    <t>牧　和志</t>
  </si>
  <si>
    <t>マキ　カズシ</t>
  </si>
  <si>
    <t>R007002733</t>
  </si>
  <si>
    <t>柾木　洋平</t>
  </si>
  <si>
    <t>マサキ　ヨウヘイ</t>
  </si>
  <si>
    <t>R003421736</t>
  </si>
  <si>
    <t>松浦　将志</t>
  </si>
  <si>
    <t>マツウラ　マサシ</t>
  </si>
  <si>
    <t>R004793816</t>
  </si>
  <si>
    <t>松下　明史</t>
  </si>
  <si>
    <t>マツシタ　アキフミ</t>
  </si>
  <si>
    <t>R009546806</t>
  </si>
  <si>
    <t>松下　稜河</t>
  </si>
  <si>
    <t>マツシタ　リヨウガ</t>
  </si>
  <si>
    <t>R009408737</t>
  </si>
  <si>
    <t>松原　亜衣</t>
  </si>
  <si>
    <t>マツバラ　アイ</t>
  </si>
  <si>
    <t>R010143937</t>
  </si>
  <si>
    <t>松原　仁</t>
  </si>
  <si>
    <t>マツバラ　ヒトシ</t>
  </si>
  <si>
    <t>R010073975</t>
  </si>
  <si>
    <t>松本　和也</t>
  </si>
  <si>
    <t>マツモト　カズヤ</t>
  </si>
  <si>
    <t>R008481113</t>
  </si>
  <si>
    <t>松山　和寛</t>
  </si>
  <si>
    <t>マツヤマ　カズヒロ</t>
  </si>
  <si>
    <t>R006011372</t>
  </si>
  <si>
    <t>松山　大二郎</t>
  </si>
  <si>
    <t>マツヤマ　ダイジロウ</t>
  </si>
  <si>
    <t>マナベ　ユウイチ</t>
  </si>
  <si>
    <t>R005405699</t>
  </si>
  <si>
    <t>箕迫　雄介</t>
  </si>
  <si>
    <t>ミイサコ　ユウスケ</t>
  </si>
  <si>
    <t>R010281804</t>
  </si>
  <si>
    <t>三浦　建人</t>
  </si>
  <si>
    <t>ミウラ　ケント</t>
  </si>
  <si>
    <t>R010209402</t>
  </si>
  <si>
    <t>三浦　龍一</t>
  </si>
  <si>
    <t>ミウラ　リュウイチ</t>
  </si>
  <si>
    <t>R007003307</t>
  </si>
  <si>
    <t>水口　裕太</t>
  </si>
  <si>
    <t>ミズグチ　ユウタ</t>
  </si>
  <si>
    <t>R008174046</t>
  </si>
  <si>
    <t>溝辺　宏輝</t>
  </si>
  <si>
    <t>ミゾベ　コウキ</t>
  </si>
  <si>
    <t>R002917263</t>
  </si>
  <si>
    <t>溝邊　祐幸</t>
  </si>
  <si>
    <t>ミゾベ　ヒロユキ</t>
  </si>
  <si>
    <t>R001264669</t>
  </si>
  <si>
    <t>美濃　誠</t>
  </si>
  <si>
    <t>ミノ　マコト</t>
  </si>
  <si>
    <t>R004793764</t>
  </si>
  <si>
    <t>三原　隼人</t>
  </si>
  <si>
    <t>ミハラ　ハヤト</t>
  </si>
  <si>
    <t>R010306451</t>
  </si>
  <si>
    <t>宮川　大志</t>
  </si>
  <si>
    <t>ミヤカワ　タイシ</t>
  </si>
  <si>
    <t>R004112057</t>
  </si>
  <si>
    <t>都　学志</t>
  </si>
  <si>
    <t>ミヤコ　サトシ</t>
  </si>
  <si>
    <t>R001264687</t>
  </si>
  <si>
    <t>宮迫　利範</t>
  </si>
  <si>
    <t>ミヤサコ　トシノリ</t>
  </si>
  <si>
    <t>R004385495</t>
  </si>
  <si>
    <t>宮﨑　隆史</t>
  </si>
  <si>
    <t>ミヤザキ　タカシ</t>
  </si>
  <si>
    <t>R010099454</t>
  </si>
  <si>
    <t>宮田　繁輝</t>
  </si>
  <si>
    <t>ミヤタ　シゲキ</t>
  </si>
  <si>
    <t>R010579098</t>
  </si>
  <si>
    <t>宮野　倖希</t>
  </si>
  <si>
    <t>ミヤノ　コウキ</t>
  </si>
  <si>
    <t>R010444497</t>
  </si>
  <si>
    <t>宮原　良介</t>
  </si>
  <si>
    <t>ミヤハラ　リョウスケ</t>
  </si>
  <si>
    <t>R001252196</t>
  </si>
  <si>
    <t>三好　美輝</t>
  </si>
  <si>
    <t>ミヨシ　ヨシテル</t>
  </si>
  <si>
    <t>R010247786</t>
  </si>
  <si>
    <t>宗岡　胡桃</t>
  </si>
  <si>
    <t>ムナオカ　クルミ</t>
  </si>
  <si>
    <t>R001264711</t>
  </si>
  <si>
    <t>村上　一幸</t>
  </si>
  <si>
    <t>ムラカミ　カズユキ</t>
  </si>
  <si>
    <t>R001265118</t>
  </si>
  <si>
    <t>村上　貴志</t>
  </si>
  <si>
    <t>ムラカミ　タカシ</t>
  </si>
  <si>
    <t>R003350854</t>
  </si>
  <si>
    <t>モウトウ　ユウゾウ</t>
  </si>
  <si>
    <t>R001252220</t>
  </si>
  <si>
    <t>毛利　明博</t>
  </si>
  <si>
    <t>モウリ　アキヒロ</t>
  </si>
  <si>
    <t>R007705326</t>
  </si>
  <si>
    <t>用松　修平</t>
  </si>
  <si>
    <t>モチマツ　シュウヘイ</t>
  </si>
  <si>
    <t>R002530851</t>
  </si>
  <si>
    <t>本杉　拓也</t>
  </si>
  <si>
    <t>モトスギ　タクヤ</t>
  </si>
  <si>
    <t>R010189258</t>
  </si>
  <si>
    <t>森　健太</t>
  </si>
  <si>
    <t>モリ　ケンタ</t>
  </si>
  <si>
    <t>R010027876</t>
  </si>
  <si>
    <t>森　隆嗣</t>
  </si>
  <si>
    <t>モリ　リュウジ</t>
  </si>
  <si>
    <t>R007002779</t>
  </si>
  <si>
    <t>森下　洋一</t>
  </si>
  <si>
    <t>モリシタ　ヨウイチ</t>
  </si>
  <si>
    <t>R007798672</t>
  </si>
  <si>
    <t>森本　将司</t>
  </si>
  <si>
    <t>モリモト　マサシ</t>
  </si>
  <si>
    <t>R008634636</t>
  </si>
  <si>
    <t>森山　幸介</t>
  </si>
  <si>
    <t>モリヤマ　コウスケ</t>
  </si>
  <si>
    <t>R001261398</t>
  </si>
  <si>
    <t>森山　信浩</t>
  </si>
  <si>
    <t>モリヤマ　ノブヒロ</t>
  </si>
  <si>
    <t>R008798314</t>
  </si>
  <si>
    <t>薬師寺　亮太</t>
  </si>
  <si>
    <t>ヤクシジ　リョウタ</t>
  </si>
  <si>
    <t>R010190754</t>
  </si>
  <si>
    <t>八坂　柊</t>
  </si>
  <si>
    <t>ヤサカ　シュウ</t>
  </si>
  <si>
    <t>R010613607</t>
  </si>
  <si>
    <t>八坂　龍之介</t>
  </si>
  <si>
    <t>ヤサカ　リュウノスケ</t>
  </si>
  <si>
    <t>R001264766</t>
  </si>
  <si>
    <t>矢﨑　年勝</t>
  </si>
  <si>
    <t>ヤザキ　トシカツ</t>
  </si>
  <si>
    <t>R001264775</t>
  </si>
  <si>
    <t>屋敷　伴幸</t>
  </si>
  <si>
    <t>ヤシキ　トモユキ</t>
  </si>
  <si>
    <t>R004793825</t>
  </si>
  <si>
    <t>柳川　知也</t>
  </si>
  <si>
    <t>ヤナガワ　トモナリ</t>
  </si>
  <si>
    <t>R001261477</t>
  </si>
  <si>
    <t>柳本　剛</t>
  </si>
  <si>
    <t>ヤナギモト　タケシ</t>
  </si>
  <si>
    <t>ヤナギモト　テツヤ</t>
  </si>
  <si>
    <t>R010678841</t>
  </si>
  <si>
    <t>矢野　紘平</t>
  </si>
  <si>
    <t>ヤノ　コウヘイ</t>
  </si>
  <si>
    <t>R003972443</t>
  </si>
  <si>
    <t>矢野　三千生</t>
  </si>
  <si>
    <t>ヤノ　ミチオ</t>
  </si>
  <si>
    <t>R004747206</t>
  </si>
  <si>
    <t>山　大祐</t>
  </si>
  <si>
    <t>ヤマ　ダイスケ</t>
  </si>
  <si>
    <t>R001965713</t>
  </si>
  <si>
    <t>山崎　和也</t>
  </si>
  <si>
    <t>ヤマサキ　カズヤ</t>
  </si>
  <si>
    <t>R010240533</t>
  </si>
  <si>
    <t>山﨑　典保</t>
  </si>
  <si>
    <t>ヤマサキ　ノリヤス</t>
  </si>
  <si>
    <t>R010363046</t>
  </si>
  <si>
    <t>山崎　雅人</t>
  </si>
  <si>
    <t>ヤマザキ　マサト</t>
  </si>
  <si>
    <t>R006147145</t>
  </si>
  <si>
    <t>山下　省二</t>
  </si>
  <si>
    <t>ヤマシタ　ショウジ</t>
  </si>
  <si>
    <t>R010189260</t>
  </si>
  <si>
    <t>山下　泰明</t>
  </si>
  <si>
    <t>ヤマシタ　ヤスアキ</t>
  </si>
  <si>
    <t>ヤマダ　マサキ</t>
  </si>
  <si>
    <t>R001252293</t>
  </si>
  <si>
    <t>山中　早一郎</t>
  </si>
  <si>
    <t>ヤマナカ　ソウイチロウ</t>
  </si>
  <si>
    <t>R001264809</t>
  </si>
  <si>
    <t>山野内　哲朗</t>
  </si>
  <si>
    <t>ヤマノウチ　テツロウ</t>
  </si>
  <si>
    <t>R005164358</t>
  </si>
  <si>
    <t>山宮　俊寛</t>
  </si>
  <si>
    <t>ヤマミヤ　トシヒロ</t>
  </si>
  <si>
    <t>R010189296</t>
  </si>
  <si>
    <t>山本　和真</t>
  </si>
  <si>
    <t>ヤマモト　カズマ</t>
  </si>
  <si>
    <t>R008626886</t>
  </si>
  <si>
    <t>山本　真乃介</t>
  </si>
  <si>
    <t>ヤマモト　シンノスケ</t>
  </si>
  <si>
    <t>R010281871</t>
  </si>
  <si>
    <t>山本　青</t>
  </si>
  <si>
    <t>ヤマモト　ジョウ</t>
  </si>
  <si>
    <t>ヤマモト　タカシ</t>
  </si>
  <si>
    <t>R010313746</t>
  </si>
  <si>
    <t>山本　崇史</t>
  </si>
  <si>
    <t>ヤマモト　タカフミ</t>
  </si>
  <si>
    <t>R003351093</t>
  </si>
  <si>
    <t>山本　哲司</t>
  </si>
  <si>
    <t>ヤマモト　テツジ</t>
  </si>
  <si>
    <t>R004111562</t>
  </si>
  <si>
    <t>山本　悠司</t>
  </si>
  <si>
    <t>ヤマモト　ユージ</t>
  </si>
  <si>
    <t>R010214619</t>
  </si>
  <si>
    <t>山矢　修冬</t>
  </si>
  <si>
    <t>ヤマヤ　シュウト</t>
  </si>
  <si>
    <t>R010599605</t>
  </si>
  <si>
    <t>幸　大貴</t>
  </si>
  <si>
    <t>ユキ　ダイキ</t>
  </si>
  <si>
    <t>R001264836</t>
  </si>
  <si>
    <t>幸　靖博</t>
  </si>
  <si>
    <t>ユキ　ヤスヒロ</t>
  </si>
  <si>
    <t>R001261778</t>
  </si>
  <si>
    <t>湯田　浩士</t>
  </si>
  <si>
    <t>ユダ　コウジ</t>
  </si>
  <si>
    <t>R008515553</t>
  </si>
  <si>
    <t>柚木　徹也</t>
  </si>
  <si>
    <t>ユルギ　テツヤ</t>
  </si>
  <si>
    <t>ヨコヤマ　ダイゴ</t>
  </si>
  <si>
    <t>R001264854</t>
  </si>
  <si>
    <t>吉田　栄治</t>
  </si>
  <si>
    <t>ヨシダ　エイジ</t>
  </si>
  <si>
    <t>R003972665</t>
  </si>
  <si>
    <t>吉田　大助</t>
  </si>
  <si>
    <t>ヨシダ　ダイスケ</t>
  </si>
  <si>
    <t>R010682436</t>
  </si>
  <si>
    <t>吉元　剛</t>
  </si>
  <si>
    <t>ヨシモト　ツヨシ</t>
  </si>
  <si>
    <t>R001264872</t>
  </si>
  <si>
    <t>脇　雄洋</t>
  </si>
  <si>
    <t>ワキ　カツヒロ</t>
  </si>
  <si>
    <t>R006220378</t>
  </si>
  <si>
    <t>和喜田　拓</t>
  </si>
  <si>
    <t>ワキタ　タク</t>
  </si>
  <si>
    <t>R004386218</t>
  </si>
  <si>
    <t>和才　幸司</t>
  </si>
  <si>
    <t>ワサイ　コウジ</t>
  </si>
  <si>
    <t>R010538344</t>
  </si>
  <si>
    <t>渡辺　佳歩</t>
  </si>
  <si>
    <t>ワタナベ　カホ</t>
  </si>
  <si>
    <t>R010113537</t>
  </si>
  <si>
    <t>渡邉　鷹也</t>
  </si>
  <si>
    <t>ワタナベ　タカヤ</t>
  </si>
  <si>
    <t>R010007794</t>
  </si>
  <si>
    <t>渡邉　卓人</t>
  </si>
  <si>
    <t>ワタナベ　タクト</t>
  </si>
  <si>
    <t>R009659544</t>
  </si>
  <si>
    <t>渡邉　友輔</t>
  </si>
  <si>
    <t>ワタナベ　ユウスケ</t>
  </si>
  <si>
    <t>R001262111</t>
  </si>
  <si>
    <t>渡辺　陽一郎</t>
  </si>
  <si>
    <t>ワタナベ　ヨウイチロウ</t>
  </si>
  <si>
    <t>R010538341</t>
  </si>
  <si>
    <t>渡辺　吉紀</t>
  </si>
  <si>
    <t>ワタナベ　ヨシノリ</t>
  </si>
  <si>
    <t>R001252390</t>
  </si>
  <si>
    <t>渡里　賢人</t>
  </si>
  <si>
    <t>ワタリ　ケント</t>
  </si>
  <si>
    <t>R007729070</t>
  </si>
  <si>
    <t>和田　健一郎</t>
  </si>
  <si>
    <t>ワダ　ケンイチロウ</t>
  </si>
  <si>
    <t>R001264890</t>
  </si>
  <si>
    <t>和田　健二</t>
  </si>
  <si>
    <t>ワダ　ケンジ</t>
  </si>
  <si>
    <t>R001869127</t>
  </si>
  <si>
    <t>和田　浩</t>
  </si>
  <si>
    <t>ワダ　ヒロシ</t>
  </si>
  <si>
    <t>４級</t>
  </si>
  <si>
    <t>R010262588</t>
  </si>
  <si>
    <t>青松　来樹</t>
  </si>
  <si>
    <t>アオマツ　ライキ</t>
  </si>
  <si>
    <t>R010432641</t>
  </si>
  <si>
    <t>青松　琉</t>
  </si>
  <si>
    <t>アオマツ　ルイ</t>
  </si>
  <si>
    <t>R010638080</t>
  </si>
  <si>
    <t>赤石　拓翔</t>
  </si>
  <si>
    <t>アカイシ　タクト</t>
  </si>
  <si>
    <t>R010189294</t>
  </si>
  <si>
    <t>赤木　修二</t>
  </si>
  <si>
    <t>アカギ　シュウジ</t>
  </si>
  <si>
    <t>R010719621</t>
  </si>
  <si>
    <t>赤木　心玖朗</t>
  </si>
  <si>
    <t>アカギ　シンクロウ</t>
  </si>
  <si>
    <t>R001252947</t>
  </si>
  <si>
    <t>赤星　勝</t>
  </si>
  <si>
    <t>アカホシ　マサル</t>
  </si>
  <si>
    <t>R008174028</t>
  </si>
  <si>
    <t>赤嶺　一宇</t>
  </si>
  <si>
    <t>アカミネ　カズタカ</t>
  </si>
  <si>
    <t>R010599603</t>
  </si>
  <si>
    <t>赤嶺　智輝</t>
  </si>
  <si>
    <t>アカミネ　トモキ</t>
  </si>
  <si>
    <t>R010386813</t>
  </si>
  <si>
    <t>秋月　来望</t>
  </si>
  <si>
    <t>アキヅキ　クルミ</t>
  </si>
  <si>
    <t>R005603884</t>
  </si>
  <si>
    <t>秋月　将吾</t>
  </si>
  <si>
    <t>アキヅキ　ショウゴ</t>
  </si>
  <si>
    <t>R010746604</t>
  </si>
  <si>
    <t>秋月　拓海</t>
  </si>
  <si>
    <t>アキヅキ　タクミ</t>
  </si>
  <si>
    <t>R010475632</t>
  </si>
  <si>
    <t>秋本　廉斗</t>
  </si>
  <si>
    <t>アキモト　レント</t>
  </si>
  <si>
    <t>R010678834</t>
  </si>
  <si>
    <t>秋吉　逞</t>
  </si>
  <si>
    <t>アキヨシ　タクマ</t>
  </si>
  <si>
    <t>R010579103</t>
  </si>
  <si>
    <t>秋吉　真怜</t>
  </si>
  <si>
    <t>アキヨシ　マサト</t>
  </si>
  <si>
    <t>R010687461</t>
  </si>
  <si>
    <t>秋吉　真翔</t>
  </si>
  <si>
    <t>アキヨシ　マナト</t>
  </si>
  <si>
    <t>R010728106</t>
  </si>
  <si>
    <t>秋吉　玲桜叶</t>
  </si>
  <si>
    <t>アキヨシ　レオト</t>
  </si>
  <si>
    <t>R010728101</t>
  </si>
  <si>
    <t>圷　史峻</t>
  </si>
  <si>
    <t>アクツ　フミタカ</t>
  </si>
  <si>
    <t>R001254990</t>
  </si>
  <si>
    <t>朝山　睦夫</t>
  </si>
  <si>
    <t>アサヤマ　ムツオ</t>
  </si>
  <si>
    <t>R010689525</t>
  </si>
  <si>
    <t>浅井　悠成</t>
  </si>
  <si>
    <t>アザイ　ユウセイ</t>
  </si>
  <si>
    <t>R010538351</t>
  </si>
  <si>
    <t>麻生　政裕</t>
  </si>
  <si>
    <t>アソウ　マサヒロ</t>
  </si>
  <si>
    <t>R010604781</t>
  </si>
  <si>
    <t>麻生　侑希</t>
  </si>
  <si>
    <t>アソウ　ユウキ</t>
  </si>
  <si>
    <t>R010698140</t>
  </si>
  <si>
    <t>麻生　勇太</t>
  </si>
  <si>
    <t>アソウ　ユウタ</t>
  </si>
  <si>
    <t>R010449911</t>
  </si>
  <si>
    <t>安達　健太</t>
  </si>
  <si>
    <t>アダチ　ケンタ</t>
  </si>
  <si>
    <t>R010728134</t>
  </si>
  <si>
    <t>足達　蒼介</t>
  </si>
  <si>
    <t>アダチ　ソウスケ</t>
  </si>
  <si>
    <t>R010687467</t>
  </si>
  <si>
    <t>足立　匠海</t>
  </si>
  <si>
    <t>アダチ　タクミ</t>
  </si>
  <si>
    <t>R010376316</t>
  </si>
  <si>
    <t>安達　勉</t>
  </si>
  <si>
    <t>アダチ　ツトム</t>
  </si>
  <si>
    <t>R010588865</t>
  </si>
  <si>
    <t>足立　暖和</t>
  </si>
  <si>
    <t>アダチ　ハルト</t>
  </si>
  <si>
    <t>R010467631</t>
  </si>
  <si>
    <t>足立　陸矩</t>
  </si>
  <si>
    <t>R010689078</t>
  </si>
  <si>
    <t>安達　正信</t>
  </si>
  <si>
    <t>アダチマ　マサノブ</t>
  </si>
  <si>
    <t>R010579110</t>
  </si>
  <si>
    <t>阿地　優斗</t>
  </si>
  <si>
    <t>アチ　ユウト</t>
  </si>
  <si>
    <t>R010746608</t>
  </si>
  <si>
    <t>穴井　己登</t>
  </si>
  <si>
    <t>アナイ　コト</t>
  </si>
  <si>
    <t>R010685239</t>
  </si>
  <si>
    <t>穴井　久徳</t>
  </si>
  <si>
    <t>アナイ　ヒサノリ</t>
  </si>
  <si>
    <t>R010684136</t>
  </si>
  <si>
    <t>穴井　将斗</t>
  </si>
  <si>
    <t>アナイ　マサト</t>
  </si>
  <si>
    <t>R010376330</t>
  </si>
  <si>
    <t>阿南　広太朗</t>
  </si>
  <si>
    <t>アナン　コウタロウ</t>
  </si>
  <si>
    <t>R010714973</t>
  </si>
  <si>
    <t>姉川　蓮太</t>
  </si>
  <si>
    <t>アネカワ　レンタ</t>
  </si>
  <si>
    <t>R010093439</t>
  </si>
  <si>
    <t>阿部　和明</t>
  </si>
  <si>
    <t>アベ　カズアキ</t>
  </si>
  <si>
    <t>R010714989</t>
  </si>
  <si>
    <t>安倍　京弥</t>
  </si>
  <si>
    <t>アベ　キョウヤ</t>
  </si>
  <si>
    <t>R010613603</t>
  </si>
  <si>
    <t>阿部　啓</t>
  </si>
  <si>
    <t>アベ　ケイ</t>
  </si>
  <si>
    <t>R010613612</t>
  </si>
  <si>
    <t>阿部　健介</t>
  </si>
  <si>
    <t>アベ　ケンスケ</t>
  </si>
  <si>
    <t>R010746658</t>
  </si>
  <si>
    <t>安部　亘平</t>
  </si>
  <si>
    <t>アベ　コウヘイ</t>
  </si>
  <si>
    <t>R001253344</t>
  </si>
  <si>
    <t>阿部　哲士</t>
  </si>
  <si>
    <t>アベ　サトシ</t>
  </si>
  <si>
    <t>R010698154</t>
  </si>
  <si>
    <t>阿部　想士朗</t>
  </si>
  <si>
    <t>アベ　ソウシロウ</t>
  </si>
  <si>
    <t>安部　大地</t>
  </si>
  <si>
    <t>アベ　ダイチ</t>
  </si>
  <si>
    <t>R010167738</t>
  </si>
  <si>
    <t>安倍　俊之</t>
  </si>
  <si>
    <t>アベ　トシユキ</t>
  </si>
  <si>
    <t>アベ　ヒロキ</t>
  </si>
  <si>
    <t>R010613594</t>
  </si>
  <si>
    <t>安部　裕樹</t>
  </si>
  <si>
    <t>R010676591</t>
  </si>
  <si>
    <t>阿部　真尋</t>
  </si>
  <si>
    <t>アベ　マヒロ</t>
  </si>
  <si>
    <t>R010684101</t>
  </si>
  <si>
    <t>安部　衛</t>
  </si>
  <si>
    <t>アベ　マモル</t>
  </si>
  <si>
    <t>R010684119</t>
  </si>
  <si>
    <t>安部　海結</t>
  </si>
  <si>
    <t>アベ　ミユウ</t>
  </si>
  <si>
    <t>R010715014</t>
  </si>
  <si>
    <t>阿部　祐世</t>
  </si>
  <si>
    <t>アベ　ユウセイ</t>
  </si>
  <si>
    <t>R010698150</t>
  </si>
  <si>
    <t>安部　優真</t>
  </si>
  <si>
    <t>R010653578</t>
  </si>
  <si>
    <t>安部　凌真</t>
  </si>
  <si>
    <t>アベ　リョウマ</t>
  </si>
  <si>
    <t>R010350226</t>
  </si>
  <si>
    <t>荒川　幸大</t>
  </si>
  <si>
    <t>アラカワ　コウタ</t>
  </si>
  <si>
    <t>R010728159</t>
  </si>
  <si>
    <t>荒木　雅敏</t>
  </si>
  <si>
    <t>アラキ　マサトシ</t>
  </si>
  <si>
    <t>R001253423</t>
  </si>
  <si>
    <t>荒巻　成志</t>
  </si>
  <si>
    <t>アラマキ　シゲユキ</t>
  </si>
  <si>
    <t>R010700312</t>
  </si>
  <si>
    <t>荒巻　而志</t>
  </si>
  <si>
    <t>アラマキ　ナオユキ</t>
  </si>
  <si>
    <t>R010700311</t>
  </si>
  <si>
    <t>荒巻　乃得</t>
  </si>
  <si>
    <t>アラマキ　ノエル</t>
  </si>
  <si>
    <t>R007002715</t>
  </si>
  <si>
    <t>有門　寿</t>
  </si>
  <si>
    <t>アリカド　ヒサシ</t>
  </si>
  <si>
    <t>R010689341</t>
  </si>
  <si>
    <t>有田　遍</t>
  </si>
  <si>
    <t>アリタ　アマネ</t>
  </si>
  <si>
    <t>R010396506</t>
  </si>
  <si>
    <t>有田　伸司</t>
  </si>
  <si>
    <t>アリタ　シンジ</t>
  </si>
  <si>
    <t>R010746624</t>
  </si>
  <si>
    <t>有田　龍起</t>
  </si>
  <si>
    <t>アリタ　タツキ</t>
  </si>
  <si>
    <t>R010123024</t>
  </si>
  <si>
    <t>有田　利広</t>
  </si>
  <si>
    <t>アリタ　トシヒロ</t>
  </si>
  <si>
    <t>R010604096</t>
  </si>
  <si>
    <t>有永　咲</t>
  </si>
  <si>
    <t>アリナガ　サキ</t>
  </si>
  <si>
    <t>R010691469</t>
  </si>
  <si>
    <t>有永　元</t>
  </si>
  <si>
    <t>アリナガ　レイ</t>
  </si>
  <si>
    <t>R010737843</t>
  </si>
  <si>
    <t>淡路　旺太朗</t>
  </si>
  <si>
    <t>アワジ　オウタロウ</t>
  </si>
  <si>
    <t>R010638058</t>
  </si>
  <si>
    <t>安藤　和明</t>
  </si>
  <si>
    <t>アンドウ　カズアキ</t>
  </si>
  <si>
    <t>R010682437</t>
  </si>
  <si>
    <t>安藤　和樹</t>
  </si>
  <si>
    <t>アンドウ　カズキ</t>
  </si>
  <si>
    <t>R010376281</t>
  </si>
  <si>
    <t>安藤　繁</t>
  </si>
  <si>
    <t>アンドウ　シゲル</t>
  </si>
  <si>
    <t>R010728170</t>
  </si>
  <si>
    <t>安藤　聡史</t>
  </si>
  <si>
    <t>アンドウ　ソウシ</t>
  </si>
  <si>
    <t>R010538292</t>
  </si>
  <si>
    <t>安藤　卓也</t>
  </si>
  <si>
    <t>アンドウ　タクヤ</t>
  </si>
  <si>
    <t>R010539276</t>
  </si>
  <si>
    <t>安東　龍秀</t>
  </si>
  <si>
    <t>アンドウ　タツヒデ</t>
  </si>
  <si>
    <t>R010642049</t>
  </si>
  <si>
    <t>安東　佑剛</t>
  </si>
  <si>
    <t>アンドウ　ユウゴ</t>
  </si>
  <si>
    <t>R010416216</t>
  </si>
  <si>
    <t>安藤　梨愛</t>
  </si>
  <si>
    <t>アンドウ　リア</t>
  </si>
  <si>
    <t>R002530383</t>
  </si>
  <si>
    <t>阿武　志郎</t>
  </si>
  <si>
    <t>アンノ　シロウ</t>
  </si>
  <si>
    <t>R010586301</t>
  </si>
  <si>
    <t>安部　颯</t>
  </si>
  <si>
    <t>アンベ　ハヤテ</t>
  </si>
  <si>
    <t>R010540070</t>
  </si>
  <si>
    <t>安養寺　伸也</t>
  </si>
  <si>
    <t>アンヨウジ　シンヤ</t>
  </si>
  <si>
    <t>R010604773</t>
  </si>
  <si>
    <t>井伊　利大</t>
  </si>
  <si>
    <t>イイ　トシマス</t>
  </si>
  <si>
    <t>R001253584</t>
  </si>
  <si>
    <t>飯倉　洋介</t>
  </si>
  <si>
    <t>イイクラ　ヨウスケ</t>
  </si>
  <si>
    <t>R010728099</t>
  </si>
  <si>
    <t>飯干　遼飛</t>
  </si>
  <si>
    <t>イイホシ　リョウト</t>
  </si>
  <si>
    <t>R010728154</t>
  </si>
  <si>
    <t>伊賀　旺甫</t>
  </si>
  <si>
    <t>イガ　オウスケ</t>
  </si>
  <si>
    <t>R010698167</t>
  </si>
  <si>
    <t>池田　京司</t>
  </si>
  <si>
    <t>イケダ　キョウジ</t>
  </si>
  <si>
    <t>R005603662</t>
  </si>
  <si>
    <t>池田　雅俊</t>
  </si>
  <si>
    <t>イケダ　マサトシ</t>
  </si>
  <si>
    <t>R006937229</t>
  </si>
  <si>
    <t>池田　航</t>
  </si>
  <si>
    <t>イケダ　ワタル</t>
  </si>
  <si>
    <t>R010638094</t>
  </si>
  <si>
    <t>池永　蒼生</t>
  </si>
  <si>
    <t>イケナガ　アオイ</t>
  </si>
  <si>
    <t>R010688486</t>
  </si>
  <si>
    <t>池永　陽琥</t>
  </si>
  <si>
    <t>イケナガ　ハルク</t>
  </si>
  <si>
    <t>R010698162</t>
  </si>
  <si>
    <t>池永　葎</t>
  </si>
  <si>
    <t>イケナガ　リツ</t>
  </si>
  <si>
    <t>R010189318</t>
  </si>
  <si>
    <t>池邉　晋</t>
  </si>
  <si>
    <t>イケベ　シン</t>
  </si>
  <si>
    <t>R009198399</t>
  </si>
  <si>
    <t>石川　誠司</t>
  </si>
  <si>
    <t>イシカワ　セイジ</t>
  </si>
  <si>
    <t>R010352993</t>
  </si>
  <si>
    <t>石川　高光</t>
  </si>
  <si>
    <t>イシカワ　タカミツ</t>
  </si>
  <si>
    <t>R010737004</t>
  </si>
  <si>
    <t>石上　博也</t>
  </si>
  <si>
    <t>イシガミ　ヒロヤ</t>
  </si>
  <si>
    <t>R010538393</t>
  </si>
  <si>
    <t>石﨑　蒼大</t>
  </si>
  <si>
    <t>イシザキ　ソウタ</t>
  </si>
  <si>
    <t>R010676597</t>
  </si>
  <si>
    <t>石橋　将</t>
  </si>
  <si>
    <t>イシバシ　マサシ</t>
  </si>
  <si>
    <t>R001253751</t>
  </si>
  <si>
    <t>石松　大輔</t>
  </si>
  <si>
    <t>イシマツ　ダイスケ</t>
  </si>
  <si>
    <t>R010700318</t>
  </si>
  <si>
    <t>石丸　大喜</t>
  </si>
  <si>
    <t>イシマル　ダイキ</t>
  </si>
  <si>
    <t>R010088723</t>
  </si>
  <si>
    <t>和泉　拓夫</t>
  </si>
  <si>
    <t>イズミ　タクオ</t>
  </si>
  <si>
    <t>R004714712</t>
  </si>
  <si>
    <t>和泉　宜幸</t>
  </si>
  <si>
    <t>イズミ　ノブユキ</t>
  </si>
  <si>
    <t>R010552538</t>
  </si>
  <si>
    <t>和泉　宏幸</t>
  </si>
  <si>
    <t>イズミ　ヒロユキ</t>
  </si>
  <si>
    <t>R010728167</t>
  </si>
  <si>
    <t>伊勢　虎斗</t>
  </si>
  <si>
    <t>イセ　タケト</t>
  </si>
  <si>
    <t>R010714979</t>
  </si>
  <si>
    <t>礒崎　丈瑠</t>
  </si>
  <si>
    <t>イソザキ　タケル</t>
  </si>
  <si>
    <t>R010728137</t>
  </si>
  <si>
    <t>磯部　輝</t>
  </si>
  <si>
    <t>イソベ　ヒカル</t>
  </si>
  <si>
    <t>R010746634</t>
  </si>
  <si>
    <t>板井　建親</t>
  </si>
  <si>
    <t>イタイ　ケンシン</t>
  </si>
  <si>
    <t>R010576362</t>
  </si>
  <si>
    <t>板井　航一</t>
  </si>
  <si>
    <t>イタイ　コウイチ</t>
  </si>
  <si>
    <t>R010007837</t>
  </si>
  <si>
    <t>板井　裕樹</t>
  </si>
  <si>
    <t>イタイ　ヒロキ</t>
  </si>
  <si>
    <t>R010583775</t>
  </si>
  <si>
    <t>市川　友翔</t>
  </si>
  <si>
    <t>イチカワ　ユウト</t>
  </si>
  <si>
    <t>R010552568</t>
  </si>
  <si>
    <t>市川　嘉樹</t>
  </si>
  <si>
    <t>イチカワ　ヨシキ</t>
  </si>
  <si>
    <t>イチハラ　ルイ</t>
  </si>
  <si>
    <t>R010189278</t>
  </si>
  <si>
    <t>一丸　顕範</t>
  </si>
  <si>
    <t>イチマル　アキノリ</t>
  </si>
  <si>
    <t>R010638051</t>
  </si>
  <si>
    <t>一色　隆紀</t>
  </si>
  <si>
    <t>イッシキ　タカノリ</t>
  </si>
  <si>
    <t>R007090808</t>
  </si>
  <si>
    <t>一法師　直喜</t>
  </si>
  <si>
    <t>イッポウシ　ナオキ</t>
  </si>
  <si>
    <t>R010689524</t>
  </si>
  <si>
    <t>井手　陽太</t>
  </si>
  <si>
    <t>イデ　ヒナタ</t>
  </si>
  <si>
    <t>R010660811</t>
  </si>
  <si>
    <t>井手　温稀</t>
  </si>
  <si>
    <t>イデ　ミツキ</t>
  </si>
  <si>
    <t>R008797926</t>
  </si>
  <si>
    <t>出田　武</t>
  </si>
  <si>
    <t>イデタ　タケシ</t>
  </si>
  <si>
    <t>R010376272</t>
  </si>
  <si>
    <t>伊藤　賢治</t>
  </si>
  <si>
    <t>イトウ　ケンジ</t>
  </si>
  <si>
    <t>R010214557</t>
  </si>
  <si>
    <t>伊東　健太郎</t>
  </si>
  <si>
    <t>イトウ　ケンタロウ</t>
  </si>
  <si>
    <t>R010546276</t>
  </si>
  <si>
    <t>伊東　将星</t>
  </si>
  <si>
    <t>イトウ　ショウセイ</t>
  </si>
  <si>
    <t>R007959699</t>
  </si>
  <si>
    <t>伊東　昇太郎</t>
  </si>
  <si>
    <t>イトウ　ショウタロウ</t>
  </si>
  <si>
    <t>R010728138</t>
  </si>
  <si>
    <t>伊藤　太我</t>
  </si>
  <si>
    <t>イトウ　タイガ</t>
  </si>
  <si>
    <t>R010600675</t>
  </si>
  <si>
    <t>伊東　直人</t>
  </si>
  <si>
    <t>イトウ　ナオト</t>
  </si>
  <si>
    <t>R010642062</t>
  </si>
  <si>
    <t>伊東　湊</t>
  </si>
  <si>
    <t>イトウ　ミナト</t>
  </si>
  <si>
    <t>R010700305</t>
  </si>
  <si>
    <t>伊藤　勇士</t>
  </si>
  <si>
    <t>イトウ　ユウジ</t>
  </si>
  <si>
    <t>R010579081</t>
  </si>
  <si>
    <t>伊藤　瑠</t>
  </si>
  <si>
    <t>イトウ　ルイ</t>
  </si>
  <si>
    <t>R010698130</t>
  </si>
  <si>
    <t>糸永　敬</t>
  </si>
  <si>
    <t>イトナガ　ケイ</t>
  </si>
  <si>
    <t>R010684093</t>
  </si>
  <si>
    <t>稲葉　和博</t>
  </si>
  <si>
    <t>イナバ　カズヒロ</t>
  </si>
  <si>
    <t>R010689074</t>
  </si>
  <si>
    <t>稲葉　紳之介</t>
  </si>
  <si>
    <t>イナバ　シンノスケ</t>
  </si>
  <si>
    <t>R010067951</t>
  </si>
  <si>
    <t>井上　彩</t>
  </si>
  <si>
    <t>イノウエ　サヤカ</t>
  </si>
  <si>
    <t>R010243651</t>
  </si>
  <si>
    <t>井上　拓哉</t>
  </si>
  <si>
    <t>イノウエ　タクヤ</t>
  </si>
  <si>
    <t>R010728166</t>
  </si>
  <si>
    <t>井上　陽太</t>
  </si>
  <si>
    <t>イノウエ　ハルタ</t>
  </si>
  <si>
    <t>R010719618</t>
  </si>
  <si>
    <t>井上　陽斗</t>
  </si>
  <si>
    <t>R010376263</t>
  </si>
  <si>
    <t>井上　航</t>
  </si>
  <si>
    <t>イノウエ　ワタル</t>
  </si>
  <si>
    <t>R010396526</t>
  </si>
  <si>
    <t>猪原　虹輝</t>
  </si>
  <si>
    <t>イハラ　コウキ</t>
  </si>
  <si>
    <t>R010698148</t>
  </si>
  <si>
    <t>今津　久満</t>
  </si>
  <si>
    <t>イマヅ　ヒサミツ</t>
  </si>
  <si>
    <t>R010689061</t>
  </si>
  <si>
    <t>今畠　かえで</t>
  </si>
  <si>
    <t>イマハタ　カエデ</t>
  </si>
  <si>
    <t>R010579070</t>
  </si>
  <si>
    <t>芋岡　翼</t>
  </si>
  <si>
    <t>イモオカ　ツバサ</t>
  </si>
  <si>
    <t>R010689077</t>
  </si>
  <si>
    <t>岩男　樹希也</t>
  </si>
  <si>
    <t>イワオ　ジュキヤ</t>
  </si>
  <si>
    <t>R010638063</t>
  </si>
  <si>
    <t>岩尾　侑之助</t>
  </si>
  <si>
    <t>イワオ　ユウノスケ</t>
  </si>
  <si>
    <t>R010638066</t>
  </si>
  <si>
    <t>岩城　圭悟</t>
  </si>
  <si>
    <t>イワキ　ケイゴ</t>
  </si>
  <si>
    <t>R010465578</t>
  </si>
  <si>
    <t>岩坂　浩行</t>
  </si>
  <si>
    <t>イワサカ　ヒロユキ</t>
  </si>
  <si>
    <t>R001254185</t>
  </si>
  <si>
    <t>岩崎　利勝</t>
  </si>
  <si>
    <t>イワサキ　トシカツ</t>
  </si>
  <si>
    <t>R010714983</t>
  </si>
  <si>
    <t>岩﨑　尚叶</t>
  </si>
  <si>
    <t>イワサキ　ナオト</t>
  </si>
  <si>
    <t>R010714971</t>
  </si>
  <si>
    <t>岩﨑　正進</t>
  </si>
  <si>
    <t>イワサキ　マサミチ</t>
  </si>
  <si>
    <t>R010599609</t>
  </si>
  <si>
    <t>岩﨑　嘉人</t>
  </si>
  <si>
    <t>イワサキ　ヨシト</t>
  </si>
  <si>
    <t>R010376292</t>
  </si>
  <si>
    <t>岩田　拓也</t>
  </si>
  <si>
    <t>イワタ　タクヤ</t>
  </si>
  <si>
    <t>R010728098</t>
  </si>
  <si>
    <t>岩田　優佑</t>
  </si>
  <si>
    <t>イワタ　ユウスケ</t>
  </si>
  <si>
    <t>R010689533</t>
  </si>
  <si>
    <t>岩田　璃空</t>
  </si>
  <si>
    <t>イワタ　リク</t>
  </si>
  <si>
    <t>R010684114</t>
  </si>
  <si>
    <t>岩田　琉生</t>
  </si>
  <si>
    <t>イワタ　リュウ</t>
  </si>
  <si>
    <t>R010642050</t>
  </si>
  <si>
    <t>岩中　海璃</t>
  </si>
  <si>
    <t>イワナカ　カイリ</t>
  </si>
  <si>
    <t>R010189261</t>
  </si>
  <si>
    <t>岩永　和馬</t>
  </si>
  <si>
    <t>イワナガ　カズマ</t>
  </si>
  <si>
    <t>R010546284</t>
  </si>
  <si>
    <t>岩丸　陽斗</t>
  </si>
  <si>
    <t>イワマル　ハルト</t>
  </si>
  <si>
    <t>R006314464</t>
  </si>
  <si>
    <t>岩丸　博季</t>
  </si>
  <si>
    <t>イワマル　ヒロキ</t>
  </si>
  <si>
    <t>R010728142</t>
  </si>
  <si>
    <t>石見　悟</t>
  </si>
  <si>
    <t>イワミ　サトル</t>
  </si>
  <si>
    <t>R010746642</t>
  </si>
  <si>
    <t>岩村　貫吾</t>
  </si>
  <si>
    <t>イワムラ　カンゴ</t>
  </si>
  <si>
    <t>R010746615</t>
  </si>
  <si>
    <t>岩村　仁徳</t>
  </si>
  <si>
    <t>イワムラ　ヒトノリ</t>
  </si>
  <si>
    <t>R008480956</t>
  </si>
  <si>
    <t>植垣　秀人</t>
  </si>
  <si>
    <t>ウエガキ　ヒデト</t>
  </si>
  <si>
    <t>R008797944</t>
  </si>
  <si>
    <t>上田　晃</t>
  </si>
  <si>
    <t>ウエダ　アキラ</t>
  </si>
  <si>
    <t>R010601890</t>
  </si>
  <si>
    <t>上野　暉仁</t>
  </si>
  <si>
    <t>ウエノ　アキヒト</t>
  </si>
  <si>
    <t>R010552551</t>
  </si>
  <si>
    <t>上野　海翔</t>
  </si>
  <si>
    <t>ウエノ　カイト</t>
  </si>
  <si>
    <t>R010700308</t>
  </si>
  <si>
    <t>上野　紗奈</t>
  </si>
  <si>
    <t>ウエノ　サナ</t>
  </si>
  <si>
    <t>R001251133</t>
  </si>
  <si>
    <t>ウエノ　タカシ</t>
  </si>
  <si>
    <t>R010715020</t>
  </si>
  <si>
    <t>上原　和也</t>
  </si>
  <si>
    <t>ウエハラ　カズヤ</t>
  </si>
  <si>
    <t>R010684102</t>
  </si>
  <si>
    <t>上原　保</t>
  </si>
  <si>
    <t>ウエハラ　タモツ</t>
  </si>
  <si>
    <t>R010676619</t>
  </si>
  <si>
    <t>上村　歩生</t>
  </si>
  <si>
    <t>ウエムラ　イブキ</t>
  </si>
  <si>
    <t>R010613644</t>
  </si>
  <si>
    <t>上森　海司</t>
  </si>
  <si>
    <t>ウエモリ　カイジ</t>
  </si>
  <si>
    <t>R007959617</t>
  </si>
  <si>
    <t>上屋　守</t>
  </si>
  <si>
    <t>ウエヤ　マモル</t>
  </si>
  <si>
    <t>R010448923</t>
  </si>
  <si>
    <t>歌　好陸</t>
  </si>
  <si>
    <t>ウタ　コノム</t>
  </si>
  <si>
    <t>R010599587</t>
  </si>
  <si>
    <t>内田　聖人</t>
  </si>
  <si>
    <t>ウチダ　キヨヒト</t>
  </si>
  <si>
    <t>R010599189</t>
  </si>
  <si>
    <t>内田　孝介</t>
  </si>
  <si>
    <t>ウチダ　コウスケ</t>
  </si>
  <si>
    <t>R010542199</t>
  </si>
  <si>
    <t>内田　真悟</t>
  </si>
  <si>
    <t>ウチダ　シンゴ</t>
  </si>
  <si>
    <t>R010719609</t>
  </si>
  <si>
    <t>内之浦　崇太</t>
  </si>
  <si>
    <t>ウチノウラ　ソウタ</t>
  </si>
  <si>
    <t>R010685268</t>
  </si>
  <si>
    <t>宇野　一星</t>
  </si>
  <si>
    <t>ウノ　イッセイ</t>
  </si>
  <si>
    <t>R010214530</t>
  </si>
  <si>
    <t>梅木　悠也</t>
  </si>
  <si>
    <t>ウメキ　ユウヤ</t>
  </si>
  <si>
    <t>R010586729</t>
  </si>
  <si>
    <t>梅田　尚弥</t>
  </si>
  <si>
    <t>ウメダ　ショウヤ</t>
  </si>
  <si>
    <t>R010728168</t>
  </si>
  <si>
    <t>梅田　陽</t>
  </si>
  <si>
    <t>ウメダ　ヨウ</t>
  </si>
  <si>
    <t>R010357998</t>
  </si>
  <si>
    <t>浦邊　剛史</t>
  </si>
  <si>
    <t>ウラベ　ツヨシ</t>
  </si>
  <si>
    <t>R010600681</t>
  </si>
  <si>
    <t>漆間　泰我</t>
  </si>
  <si>
    <t>ウルマ　タイガ</t>
  </si>
  <si>
    <t>R001254431</t>
  </si>
  <si>
    <t>漆間　大士</t>
  </si>
  <si>
    <t>ウルマ　ダイシ</t>
  </si>
  <si>
    <t>R010689066</t>
  </si>
  <si>
    <t>榮森　結菜</t>
  </si>
  <si>
    <t>エイモリ　ユナ</t>
  </si>
  <si>
    <t>R010542179</t>
  </si>
  <si>
    <t>永路　拓実</t>
  </si>
  <si>
    <t>エイロ　タクミ</t>
  </si>
  <si>
    <t>R010120137</t>
  </si>
  <si>
    <t>江上　智啓</t>
  </si>
  <si>
    <t>エガミ　トモヒロ</t>
  </si>
  <si>
    <t>R010468356</t>
  </si>
  <si>
    <t>江口　烈史</t>
  </si>
  <si>
    <t>エグチ　ヤスフミ</t>
  </si>
  <si>
    <t>R010002119</t>
  </si>
  <si>
    <t>江隈　健斗</t>
  </si>
  <si>
    <t>エグマ　ケント</t>
  </si>
  <si>
    <t>R010685253</t>
  </si>
  <si>
    <t>R010714975</t>
  </si>
  <si>
    <t>衛藤　蒼依</t>
  </si>
  <si>
    <t>エトウ　アオイ</t>
  </si>
  <si>
    <t>R004653305</t>
  </si>
  <si>
    <t>衛藤　和憲</t>
  </si>
  <si>
    <t>エトウ　カズノリ</t>
  </si>
  <si>
    <t>R010714985</t>
  </si>
  <si>
    <t>恵藤　和海</t>
  </si>
  <si>
    <t>エトウ　カズミ</t>
  </si>
  <si>
    <t>R008634274</t>
  </si>
  <si>
    <t>江藤　恭平</t>
  </si>
  <si>
    <t>エトウ　キョウヘイ</t>
  </si>
  <si>
    <t>R010638048</t>
  </si>
  <si>
    <t>衛藤　さすけ</t>
  </si>
  <si>
    <t>エトウ　サスケ</t>
  </si>
  <si>
    <t>R010396518</t>
  </si>
  <si>
    <t>江藤　真一</t>
  </si>
  <si>
    <t>エトウ　シンイチ</t>
  </si>
  <si>
    <t>R010668410</t>
  </si>
  <si>
    <t>江藤　然生</t>
  </si>
  <si>
    <t>エトウ　ゼン</t>
  </si>
  <si>
    <t>R010714970</t>
  </si>
  <si>
    <t>恵藤　蒼太</t>
  </si>
  <si>
    <t>エトウ　ソウタ</t>
  </si>
  <si>
    <t>R010687456</t>
  </si>
  <si>
    <t>衛藤　蒼羽</t>
  </si>
  <si>
    <t>エトウ　ソウワ</t>
  </si>
  <si>
    <t>R010465589</t>
  </si>
  <si>
    <t>江藤　貴司</t>
  </si>
  <si>
    <t>エトウ　タカシ</t>
  </si>
  <si>
    <t>R010613634</t>
  </si>
  <si>
    <t>衞藤　勇</t>
  </si>
  <si>
    <t>エトウ　タケル</t>
  </si>
  <si>
    <t>R010688474</t>
  </si>
  <si>
    <t>江藤　大智</t>
  </si>
  <si>
    <t>エトウ　ダイチ</t>
  </si>
  <si>
    <t>R007959796</t>
  </si>
  <si>
    <t>衛藤　智成</t>
  </si>
  <si>
    <t>エトウ　トモナリ</t>
  </si>
  <si>
    <t>R007728983</t>
  </si>
  <si>
    <t>衛藤　秀高</t>
  </si>
  <si>
    <t>エトウ　ヒデタカ</t>
  </si>
  <si>
    <t>R010685270</t>
  </si>
  <si>
    <t>江藤　康博</t>
  </si>
  <si>
    <t>エトウ　ヤスヒロ</t>
  </si>
  <si>
    <t>R010600680</t>
  </si>
  <si>
    <t>江藤　優希</t>
  </si>
  <si>
    <t>エトウ　ユウキ</t>
  </si>
  <si>
    <t>R010676605</t>
  </si>
  <si>
    <t>江藤　悠斗</t>
  </si>
  <si>
    <t>エトウ　ユウト</t>
  </si>
  <si>
    <t>R010444516</t>
  </si>
  <si>
    <t>江藤　璃大</t>
  </si>
  <si>
    <t>エトウ　リオ</t>
  </si>
  <si>
    <t>R003350881</t>
  </si>
  <si>
    <t>遠藤　朝春</t>
  </si>
  <si>
    <t>エンドウ　トモハル</t>
  </si>
  <si>
    <t>R010432619</t>
  </si>
  <si>
    <t>遠藤　之仁</t>
  </si>
  <si>
    <t>エンドウ　ユキヒト</t>
  </si>
  <si>
    <t>R010599591</t>
  </si>
  <si>
    <t>遠藤　了彩</t>
  </si>
  <si>
    <t>エンドウ　リョウサイ</t>
  </si>
  <si>
    <t>R001254583</t>
  </si>
  <si>
    <t>大芦　佳宏</t>
  </si>
  <si>
    <t>オオアシ　ヨシヒロ</t>
  </si>
  <si>
    <t>R010027883</t>
  </si>
  <si>
    <t>大石　拓也</t>
  </si>
  <si>
    <t>オオイシ　タクヤ</t>
  </si>
  <si>
    <t>R010027821</t>
  </si>
  <si>
    <t>大石　正雄</t>
  </si>
  <si>
    <t>オオイシ　マサオ</t>
  </si>
  <si>
    <t>R010604761</t>
  </si>
  <si>
    <t>大河　聡</t>
  </si>
  <si>
    <t>オオカワ　ソウ</t>
  </si>
  <si>
    <t>R010700301</t>
  </si>
  <si>
    <t>大久保　孝太</t>
  </si>
  <si>
    <t>オオクボ　コウタ</t>
  </si>
  <si>
    <t>大久保　翔平</t>
  </si>
  <si>
    <t>オオクボ　ショウヘイ</t>
  </si>
  <si>
    <t>R005430163</t>
  </si>
  <si>
    <t>大久保　広紀</t>
  </si>
  <si>
    <t>オオクボ　ヒロノリ</t>
  </si>
  <si>
    <t>R010715002</t>
  </si>
  <si>
    <t>大嶋　蒼介</t>
  </si>
  <si>
    <t>オオシマ　ソウスケ</t>
  </si>
  <si>
    <t>R010746661</t>
  </si>
  <si>
    <t>太田　圭祐</t>
  </si>
  <si>
    <t>オオタ　ケイスケ</t>
  </si>
  <si>
    <t>R010746606</t>
  </si>
  <si>
    <t>大谷　貴晴</t>
  </si>
  <si>
    <t>オオタニ　タカハル</t>
  </si>
  <si>
    <t>R010376317</t>
  </si>
  <si>
    <t>大津　匠司</t>
  </si>
  <si>
    <t>オオツ　ショウジ</t>
  </si>
  <si>
    <t>R010728162</t>
  </si>
  <si>
    <t>大塚　蒼生</t>
  </si>
  <si>
    <t>オオツカ　アオイ</t>
  </si>
  <si>
    <t>R010689461</t>
  </si>
  <si>
    <t>大塚　瑛斗</t>
  </si>
  <si>
    <t>オオツカ　アキト</t>
  </si>
  <si>
    <t>R010396538</t>
  </si>
  <si>
    <t>大塚　紀彰</t>
  </si>
  <si>
    <t>オオツカ　キショウ</t>
  </si>
  <si>
    <t>R010714980</t>
  </si>
  <si>
    <t>大塚　憧希</t>
  </si>
  <si>
    <t>オオツカ　ショウキ</t>
  </si>
  <si>
    <t>R010167737</t>
  </si>
  <si>
    <t>大塚　誠也</t>
  </si>
  <si>
    <t>オオツカ　セイヤ</t>
  </si>
  <si>
    <t>R005528130</t>
  </si>
  <si>
    <t>大塚　丈司</t>
  </si>
  <si>
    <t>オオツカ　タケシ</t>
  </si>
  <si>
    <t>R010281805</t>
  </si>
  <si>
    <t>大塚　雅基</t>
  </si>
  <si>
    <t>オオツカ　マサキ</t>
  </si>
  <si>
    <t>R010415890</t>
  </si>
  <si>
    <t>大塚　涼平</t>
  </si>
  <si>
    <t>オオツカ　リョウヘイ</t>
  </si>
  <si>
    <t>R010546288</t>
  </si>
  <si>
    <t>大戸　朝陽</t>
  </si>
  <si>
    <t>オオト　アサヒ</t>
  </si>
  <si>
    <t>R010586303</t>
  </si>
  <si>
    <t>大平　瑛翔</t>
  </si>
  <si>
    <t>オオヒラ　エイト</t>
  </si>
  <si>
    <t>R010689080</t>
  </si>
  <si>
    <t>大峯　陸</t>
  </si>
  <si>
    <t>オオミネ　リク</t>
  </si>
  <si>
    <t>R010698168</t>
  </si>
  <si>
    <t>大森　健太</t>
  </si>
  <si>
    <t>オオモリ　ケンタ</t>
  </si>
  <si>
    <t>R010546319</t>
  </si>
  <si>
    <t>大森　宗樹</t>
  </si>
  <si>
    <t>オオモリ　ソウジュ</t>
  </si>
  <si>
    <t>R010214576</t>
  </si>
  <si>
    <t>大屋　楓真</t>
  </si>
  <si>
    <t>オオヤ　フウマ</t>
  </si>
  <si>
    <t>R010719616</t>
  </si>
  <si>
    <t>大山　拳史</t>
  </si>
  <si>
    <t>オオヤマ　ケンシ</t>
  </si>
  <si>
    <t>R010638067</t>
  </si>
  <si>
    <t>岡　航太郎</t>
  </si>
  <si>
    <t>オカ　コウタロウ</t>
  </si>
  <si>
    <t>R010549366</t>
  </si>
  <si>
    <t>岡　誉</t>
  </si>
  <si>
    <t>オカ　ホマレ</t>
  </si>
  <si>
    <t>R010642025</t>
  </si>
  <si>
    <t>岡　正樹</t>
  </si>
  <si>
    <t>オカ　マサキ</t>
  </si>
  <si>
    <t>R010083849</t>
  </si>
  <si>
    <t>岡田　幸太郎</t>
  </si>
  <si>
    <t>オカダ　コウタロウ</t>
  </si>
  <si>
    <t>R010737001</t>
  </si>
  <si>
    <t>岡田　虎太朗</t>
  </si>
  <si>
    <t>オカダ　コタロウ</t>
  </si>
  <si>
    <t>R005987412</t>
  </si>
  <si>
    <t>岡田　隆行</t>
  </si>
  <si>
    <t>オカダ　タカユキ</t>
  </si>
  <si>
    <t>R005603200</t>
  </si>
  <si>
    <t>岡田　涼平</t>
  </si>
  <si>
    <t>オカダ　リョウヘイ</t>
  </si>
  <si>
    <t>R010642035</t>
  </si>
  <si>
    <t>岡部　正典</t>
  </si>
  <si>
    <t>オカベ　マサノリ</t>
  </si>
  <si>
    <t>R010513151</t>
  </si>
  <si>
    <t>岡村　勇輝</t>
  </si>
  <si>
    <t>オカムラ　ユウキ</t>
  </si>
  <si>
    <t>R010376290</t>
  </si>
  <si>
    <t>岡本　英明</t>
  </si>
  <si>
    <t>オカモト　ヒデアキ</t>
  </si>
  <si>
    <t>R010538294</t>
  </si>
  <si>
    <t>岡本　優</t>
  </si>
  <si>
    <t>オカモト　ユウ</t>
  </si>
  <si>
    <t>R010746607</t>
  </si>
  <si>
    <t>小笠原　貴之</t>
  </si>
  <si>
    <t>オガサワラ　タカユキ</t>
  </si>
  <si>
    <t>R010599580</t>
  </si>
  <si>
    <t>尾形　ルイス</t>
  </si>
  <si>
    <t>オガタ　ルイス</t>
  </si>
  <si>
    <t>R006901570</t>
  </si>
  <si>
    <t>小川　健二</t>
  </si>
  <si>
    <t>オガワ　ケンジ</t>
  </si>
  <si>
    <t>R010579067</t>
  </si>
  <si>
    <t>小川　祐二</t>
  </si>
  <si>
    <t>オガワ　ユウジ</t>
  </si>
  <si>
    <t>R010351378</t>
  </si>
  <si>
    <t>奥田　翔太</t>
  </si>
  <si>
    <t>オクダ　ショウタ</t>
  </si>
  <si>
    <t>R010746631</t>
  </si>
  <si>
    <t>奥野　達也</t>
  </si>
  <si>
    <t>オクノ　タツヤ</t>
  </si>
  <si>
    <t>R010613628</t>
  </si>
  <si>
    <t>小倉　優弥</t>
  </si>
  <si>
    <t>オグラ　ユウヤ</t>
  </si>
  <si>
    <t>R010189264</t>
  </si>
  <si>
    <t>小栗　貴成</t>
  </si>
  <si>
    <t>オグリ　タカナリ</t>
  </si>
  <si>
    <t>R010737003</t>
  </si>
  <si>
    <t>尾﨑　恭</t>
  </si>
  <si>
    <t>オザキ　キョウ</t>
  </si>
  <si>
    <t>R010728172</t>
  </si>
  <si>
    <t>小座本　諒</t>
  </si>
  <si>
    <t>オザモト　リョウ</t>
  </si>
  <si>
    <t>R010099447</t>
  </si>
  <si>
    <t>小澤　剛史</t>
  </si>
  <si>
    <t>オザワ　タケフミ</t>
  </si>
  <si>
    <t>R010501273</t>
  </si>
  <si>
    <t>押田　卓</t>
  </si>
  <si>
    <t>オシダ　スグル</t>
  </si>
  <si>
    <t>R010684112</t>
  </si>
  <si>
    <t>小代　朔</t>
  </si>
  <si>
    <t>オジロ　サク</t>
  </si>
  <si>
    <t>R009546064</t>
  </si>
  <si>
    <t>小田　邦昭</t>
  </si>
  <si>
    <t>オダ　クニアキ</t>
  </si>
  <si>
    <t>R010656677</t>
  </si>
  <si>
    <t>小田巻　獅童</t>
  </si>
  <si>
    <t>オダマキ　シドウ</t>
  </si>
  <si>
    <t>R010465611</t>
  </si>
  <si>
    <t>小田巻　裕二</t>
  </si>
  <si>
    <t>オダマキ　ユウジ</t>
  </si>
  <si>
    <t>R010358202</t>
  </si>
  <si>
    <t>小野　敦司</t>
  </si>
  <si>
    <t>オノ　アツジ</t>
  </si>
  <si>
    <t>R010546323</t>
  </si>
  <si>
    <t>小野　奏音</t>
  </si>
  <si>
    <t>オノ　カナト</t>
  </si>
  <si>
    <t>R010549371</t>
  </si>
  <si>
    <t>小野　華凜</t>
  </si>
  <si>
    <t>オノ　カリン</t>
  </si>
  <si>
    <t>R010538304</t>
  </si>
  <si>
    <t>小野　柑太</t>
  </si>
  <si>
    <t>オノ　カンタ</t>
  </si>
  <si>
    <t>R010728116</t>
  </si>
  <si>
    <t>小野　清志郎</t>
  </si>
  <si>
    <t>オノ　キヨシロウ</t>
  </si>
  <si>
    <t>R004385936</t>
  </si>
  <si>
    <t>小野　耕一</t>
  </si>
  <si>
    <t>オノ　コウイチ</t>
  </si>
  <si>
    <t>R010685259</t>
  </si>
  <si>
    <t>小野　昂輝</t>
  </si>
  <si>
    <t>オノ　コウキ</t>
  </si>
  <si>
    <t>R010700296</t>
  </si>
  <si>
    <t>小野　喬</t>
  </si>
  <si>
    <t>オノ　タカシ</t>
  </si>
  <si>
    <t>R010714995</t>
  </si>
  <si>
    <t>小野　剛瑠</t>
  </si>
  <si>
    <t>オノ　タケル</t>
  </si>
  <si>
    <t>R010656680</t>
  </si>
  <si>
    <t>小野　渚</t>
  </si>
  <si>
    <t>オノ　ナギサ</t>
  </si>
  <si>
    <t>R010715012</t>
  </si>
  <si>
    <t>小野　大和</t>
  </si>
  <si>
    <t>オノ　ヤマト</t>
  </si>
  <si>
    <t>R010093504</t>
  </si>
  <si>
    <t>小野　裕希</t>
  </si>
  <si>
    <t>R010685269</t>
  </si>
  <si>
    <t>小野　悠樹</t>
  </si>
  <si>
    <t>R010100673</t>
  </si>
  <si>
    <t>小野　裕司</t>
  </si>
  <si>
    <t>オノ　ユウジ</t>
  </si>
  <si>
    <t>R010376315</t>
  </si>
  <si>
    <t>小野　祥弘</t>
  </si>
  <si>
    <t>オノ　ヨシヒロ</t>
  </si>
  <si>
    <t>R010682440</t>
  </si>
  <si>
    <t>小野　龍之介</t>
  </si>
  <si>
    <t>オノ　リュウノスケ</t>
  </si>
  <si>
    <t>R010714984</t>
  </si>
  <si>
    <t>小野　涼成</t>
  </si>
  <si>
    <t>オノ　リョウセイ</t>
  </si>
  <si>
    <t>R010714988</t>
  </si>
  <si>
    <t>小野　琳太郎</t>
  </si>
  <si>
    <t>オノ　リンタロウ</t>
  </si>
  <si>
    <t>R010642034</t>
  </si>
  <si>
    <t>小原　陸</t>
  </si>
  <si>
    <t>オハラ　リク</t>
  </si>
  <si>
    <t>R010698164</t>
  </si>
  <si>
    <t>河合　奏風</t>
  </si>
  <si>
    <t>カアイ　カナタ</t>
  </si>
  <si>
    <t>R010388040</t>
  </si>
  <si>
    <t>甲斐　照</t>
  </si>
  <si>
    <t>R005164446</t>
  </si>
  <si>
    <t>甲斐　一翠</t>
  </si>
  <si>
    <t>カイ　イッスイ</t>
  </si>
  <si>
    <t>R005164613</t>
  </si>
  <si>
    <t>甲斐　英治</t>
  </si>
  <si>
    <t>カイ　エイジ</t>
  </si>
  <si>
    <t>R010687464</t>
  </si>
  <si>
    <t>甲斐　咲渡</t>
  </si>
  <si>
    <t>R010600673</t>
  </si>
  <si>
    <t>甲斐　順平</t>
  </si>
  <si>
    <t>カイ　ジュンペイ</t>
  </si>
  <si>
    <t>R010719604</t>
  </si>
  <si>
    <t>甲斐　鉄士</t>
  </si>
  <si>
    <t>カイ　テツシ</t>
  </si>
  <si>
    <t>R005987388</t>
  </si>
  <si>
    <t>カイ　ナオキ</t>
  </si>
  <si>
    <t>R006314455</t>
  </si>
  <si>
    <t>甲斐　竜二</t>
  </si>
  <si>
    <t>カイ　リュウジ</t>
  </si>
  <si>
    <t>R001255281</t>
  </si>
  <si>
    <t>甲斐　亮介</t>
  </si>
  <si>
    <t>カイ　リョウスケ</t>
  </si>
  <si>
    <t>R010214529</t>
  </si>
  <si>
    <t>加賀　寿一</t>
  </si>
  <si>
    <t>カガ　トシカズ</t>
  </si>
  <si>
    <t>R005987397</t>
  </si>
  <si>
    <t>香川　豊</t>
  </si>
  <si>
    <t>カガワ　ユタカ</t>
  </si>
  <si>
    <t>R010691458</t>
  </si>
  <si>
    <t>賀来　玲音</t>
  </si>
  <si>
    <t>カク　レオン</t>
  </si>
  <si>
    <t>R010552565</t>
  </si>
  <si>
    <t>加隈　歩夢</t>
  </si>
  <si>
    <t>カクマ　アユム</t>
  </si>
  <si>
    <t>R010465596</t>
  </si>
  <si>
    <t>角谷　直樹</t>
  </si>
  <si>
    <t>カクヤ　ナオキ</t>
  </si>
  <si>
    <t>傘木　太郎</t>
  </si>
  <si>
    <t>カサギ　タロウ</t>
  </si>
  <si>
    <t>R009545913</t>
  </si>
  <si>
    <t>笠村　大</t>
  </si>
  <si>
    <t>カサムラ　ヒロシ</t>
  </si>
  <si>
    <t>R010214467</t>
  </si>
  <si>
    <t>笠村　凜</t>
  </si>
  <si>
    <t>カサムラ　リン</t>
  </si>
  <si>
    <t>R010728131</t>
  </si>
  <si>
    <t>梶原　清太郎</t>
  </si>
  <si>
    <t>カジワラ　セイタロウ</t>
  </si>
  <si>
    <t>R010120174</t>
  </si>
  <si>
    <t>梶原　規史</t>
  </si>
  <si>
    <t>カジワラ　ノリフミ</t>
  </si>
  <si>
    <t>R010579075</t>
  </si>
  <si>
    <t>梶原　凌</t>
  </si>
  <si>
    <t>カジワラ　リョウ</t>
  </si>
  <si>
    <t>R008634593</t>
  </si>
  <si>
    <t>片山　雄一</t>
  </si>
  <si>
    <t>カタヤマ　ユウイチ</t>
  </si>
  <si>
    <t>R010689456</t>
  </si>
  <si>
    <t>R010684016</t>
  </si>
  <si>
    <t>R010396549</t>
  </si>
  <si>
    <t>加藤　晴久</t>
  </si>
  <si>
    <t>カトウ　ハルヒサ</t>
  </si>
  <si>
    <t>R010599172</t>
  </si>
  <si>
    <t>加藤　正雄</t>
  </si>
  <si>
    <t>カトウ　マサオ</t>
  </si>
  <si>
    <t>R010576363</t>
  </si>
  <si>
    <t>加藤　悠汰</t>
  </si>
  <si>
    <t>カトウ　ユウタ</t>
  </si>
  <si>
    <t>R010653592</t>
  </si>
  <si>
    <t>門田　楽汰</t>
  </si>
  <si>
    <t>カドタ　ランタ</t>
  </si>
  <si>
    <t>R010676613</t>
  </si>
  <si>
    <t>金森　海樹</t>
  </si>
  <si>
    <t>カナモリ　カイキ</t>
  </si>
  <si>
    <t>R010642057</t>
  </si>
  <si>
    <t>金山　将希</t>
  </si>
  <si>
    <t>カナヤマ　マサキ</t>
  </si>
  <si>
    <t>R010689529</t>
  </si>
  <si>
    <t>金子　寛太</t>
  </si>
  <si>
    <t>カネコ　カンタ</t>
  </si>
  <si>
    <t>R010689123</t>
  </si>
  <si>
    <t>金崎　悠斗</t>
  </si>
  <si>
    <t>カネザキ　ユウト</t>
  </si>
  <si>
    <t>R010715011</t>
  </si>
  <si>
    <t>金嶽　璃空</t>
  </si>
  <si>
    <t>カネタケ　リク</t>
  </si>
  <si>
    <t>R010604782</t>
  </si>
  <si>
    <t>金田　煌矢</t>
  </si>
  <si>
    <t>カネダ　コウシ</t>
  </si>
  <si>
    <t>R010581176</t>
  </si>
  <si>
    <t>兼田　秀虎</t>
  </si>
  <si>
    <t>カネダ　ヒデトラ</t>
  </si>
  <si>
    <t>R010728155</t>
  </si>
  <si>
    <t>鹿野　亜衣莉</t>
  </si>
  <si>
    <t>カノ　アイリ</t>
  </si>
  <si>
    <t>R010540038</t>
  </si>
  <si>
    <t>上城　司</t>
  </si>
  <si>
    <t>カミジョウ　ツカサ</t>
  </si>
  <si>
    <t>R010027818</t>
  </si>
  <si>
    <t>紙谷　昌弥</t>
  </si>
  <si>
    <t>カミタニ　マサヤ</t>
  </si>
  <si>
    <t>R010546275</t>
  </si>
  <si>
    <t>上村　叶多</t>
  </si>
  <si>
    <t>カミムラ　カナタ</t>
  </si>
  <si>
    <t>R010700292</t>
  </si>
  <si>
    <t>神屋　伸敏</t>
  </si>
  <si>
    <t>カミヤ　ノブトシ</t>
  </si>
  <si>
    <t>R010656684</t>
  </si>
  <si>
    <t>亀井　慶太</t>
  </si>
  <si>
    <t>カメイ　ケイタ</t>
  </si>
  <si>
    <t>R005603282</t>
  </si>
  <si>
    <t>亀山　万生</t>
  </si>
  <si>
    <t>カメヤマ　タカオ</t>
  </si>
  <si>
    <t>R010728122</t>
  </si>
  <si>
    <t>唐木　耀誠</t>
  </si>
  <si>
    <t>カラキ　ヨウセイ</t>
  </si>
  <si>
    <t>R010682442</t>
  </si>
  <si>
    <t>狩生　倖充</t>
  </si>
  <si>
    <t>カリュウ　ユキミツ</t>
  </si>
  <si>
    <t>R002917476</t>
  </si>
  <si>
    <t>河井　寛次郎</t>
  </si>
  <si>
    <t>カワイ　カンジロウ</t>
  </si>
  <si>
    <t>R010586298</t>
  </si>
  <si>
    <t>河合　来城</t>
  </si>
  <si>
    <t>カワイ　ライキ</t>
  </si>
  <si>
    <t>R010678827</t>
  </si>
  <si>
    <t>川上　徐生</t>
  </si>
  <si>
    <t>カワカミ　ジョジョ</t>
  </si>
  <si>
    <t>R010653569</t>
  </si>
  <si>
    <t>河崎　海斗</t>
  </si>
  <si>
    <t>カワサキ　カイト</t>
  </si>
  <si>
    <t>R010684137</t>
  </si>
  <si>
    <t>河津　愛都</t>
  </si>
  <si>
    <t>カワヅ　アイト</t>
  </si>
  <si>
    <t>R010159751</t>
  </si>
  <si>
    <t>川浪　実歩</t>
  </si>
  <si>
    <t>カワナミ　マホ</t>
  </si>
  <si>
    <t>R010583789</t>
  </si>
  <si>
    <t>川野　公聖</t>
  </si>
  <si>
    <t>カワノ　コウセイ</t>
  </si>
  <si>
    <t>R006220606</t>
  </si>
  <si>
    <t>河野　成利</t>
  </si>
  <si>
    <t>カワノ　シゲトシ</t>
  </si>
  <si>
    <t>R010698146</t>
  </si>
  <si>
    <t>河野　史勇太</t>
  </si>
  <si>
    <t>カワノ　シユウタ</t>
  </si>
  <si>
    <t>川野　真司</t>
  </si>
  <si>
    <t>カワノ　シンジ</t>
  </si>
  <si>
    <t>R010728094</t>
  </si>
  <si>
    <t>川野　大樹</t>
  </si>
  <si>
    <t>カワノ　タイキ</t>
  </si>
  <si>
    <t>R010027894</t>
  </si>
  <si>
    <t>河野　斗馬</t>
  </si>
  <si>
    <t>カワノ　トウマ</t>
  </si>
  <si>
    <t>R010538388</t>
  </si>
  <si>
    <t>河野　夏</t>
  </si>
  <si>
    <t>カワノ　ナツ</t>
  </si>
  <si>
    <t>R010396562</t>
  </si>
  <si>
    <t>川野　迅翔</t>
  </si>
  <si>
    <t>R010737007</t>
  </si>
  <si>
    <t>河野　遥真</t>
  </si>
  <si>
    <t>カワノ　ハルマ</t>
  </si>
  <si>
    <t>カワノ　ヒトシ</t>
  </si>
  <si>
    <t>R010728149</t>
  </si>
  <si>
    <t>河野　悠亜</t>
  </si>
  <si>
    <t>カワノ　ユウア</t>
  </si>
  <si>
    <t>R010678826</t>
  </si>
  <si>
    <t>川野　羚準</t>
  </si>
  <si>
    <t>カワノ　リヒト</t>
  </si>
  <si>
    <t>R009198487</t>
  </si>
  <si>
    <t>川邉　太一朗</t>
  </si>
  <si>
    <t>カワベ　タイチロウ</t>
  </si>
  <si>
    <t>R005405264</t>
  </si>
  <si>
    <t>河村　航大</t>
  </si>
  <si>
    <t>カワムラ　コウダイ</t>
  </si>
  <si>
    <t>R010684107</t>
  </si>
  <si>
    <t>河村　忠起</t>
  </si>
  <si>
    <t>カワムラ　チュウタツ</t>
  </si>
  <si>
    <t>R010396560</t>
  </si>
  <si>
    <t>河村　長雲</t>
  </si>
  <si>
    <t>カワムラ　チョウウン</t>
  </si>
  <si>
    <t>R001255908</t>
  </si>
  <si>
    <t>河村　信善</t>
  </si>
  <si>
    <t>カワムラ　ノブヨシ</t>
  </si>
  <si>
    <t>R010653586</t>
  </si>
  <si>
    <t>河村　日那汰</t>
  </si>
  <si>
    <t>カワムラ　ヒナタ</t>
  </si>
  <si>
    <t>R010746641</t>
  </si>
  <si>
    <t>河村　夢生</t>
  </si>
  <si>
    <t>カワムラ　ユメキ</t>
  </si>
  <si>
    <t>R010396525</t>
  </si>
  <si>
    <t>河村　陽平</t>
  </si>
  <si>
    <t>カワムラ　ヨウヘイ</t>
  </si>
  <si>
    <t>R010642083</t>
  </si>
  <si>
    <t>神崎　柊斗</t>
  </si>
  <si>
    <t>カンザキ　シュウト</t>
  </si>
  <si>
    <t>R010682443</t>
  </si>
  <si>
    <t>神﨑　斗亜</t>
  </si>
  <si>
    <t>カンザキ　トア</t>
  </si>
  <si>
    <t>R010737006</t>
  </si>
  <si>
    <t>神﨑　雄人</t>
  </si>
  <si>
    <t>カンザキ　ユウト</t>
  </si>
  <si>
    <t>R010736998</t>
  </si>
  <si>
    <t>神崎　陸斗</t>
  </si>
  <si>
    <t>カンザキ　リクト</t>
  </si>
  <si>
    <t>R010396529</t>
  </si>
  <si>
    <t>神田　武志</t>
  </si>
  <si>
    <t>カンダ　タケシ</t>
  </si>
  <si>
    <t>R010687772</t>
  </si>
  <si>
    <t>神田　遼太郎</t>
  </si>
  <si>
    <t>カンダ　リョウタロウ</t>
  </si>
  <si>
    <t>R010728156</t>
  </si>
  <si>
    <t>菊川　翼</t>
  </si>
  <si>
    <t>キクカワ　ツバサ</t>
  </si>
  <si>
    <t>R003972586</t>
  </si>
  <si>
    <t>菊地　誠</t>
  </si>
  <si>
    <t>キクチ　マコト</t>
  </si>
  <si>
    <t>R010538345</t>
  </si>
  <si>
    <t>菊屋　令</t>
  </si>
  <si>
    <t>キクヤ　リョウ</t>
  </si>
  <si>
    <t>R010728169</t>
  </si>
  <si>
    <t>木崎　彰二</t>
  </si>
  <si>
    <t>キザキ　ショウジ</t>
  </si>
  <si>
    <t>R001255980</t>
  </si>
  <si>
    <t>木嶋　高行</t>
  </si>
  <si>
    <t>キシマ　タカユキ</t>
  </si>
  <si>
    <t>R010689532</t>
  </si>
  <si>
    <t>北川　周</t>
  </si>
  <si>
    <t>キタガワ　アマネ</t>
  </si>
  <si>
    <t>R010546303</t>
  </si>
  <si>
    <t>北川　奏</t>
  </si>
  <si>
    <t>キタガワ　カナデ</t>
  </si>
  <si>
    <t>R008798147</t>
  </si>
  <si>
    <t>木谷　大希</t>
  </si>
  <si>
    <t>キタニ　ダイキ</t>
  </si>
  <si>
    <t>R010714991</t>
  </si>
  <si>
    <t>木谷　灯吾</t>
  </si>
  <si>
    <t>キタニ　トウゴ</t>
  </si>
  <si>
    <t>R010604086</t>
  </si>
  <si>
    <t>北林　佑心</t>
  </si>
  <si>
    <t>キタバヤシ　ユウシン</t>
  </si>
  <si>
    <t>R010687768</t>
  </si>
  <si>
    <t>北村　鴻尚</t>
  </si>
  <si>
    <t>キタムラ　コウショウ</t>
  </si>
  <si>
    <t>R010728117</t>
  </si>
  <si>
    <t>北山　春斗</t>
  </si>
  <si>
    <t>キタヤマ　ハルト</t>
  </si>
  <si>
    <t>R010700314</t>
  </si>
  <si>
    <t>木田　貴浩</t>
  </si>
  <si>
    <t>キダ　タカヒロ</t>
  </si>
  <si>
    <t>R010214583</t>
  </si>
  <si>
    <t>木津　浩太</t>
  </si>
  <si>
    <t>キヅ　コウタ</t>
  </si>
  <si>
    <t>R010642058</t>
  </si>
  <si>
    <t>木津　翔貴</t>
  </si>
  <si>
    <t>キヅ　ショウキ</t>
  </si>
  <si>
    <t>R010728113</t>
  </si>
  <si>
    <t>木津　大河</t>
  </si>
  <si>
    <t>キヅ　タイガ</t>
  </si>
  <si>
    <t>R010214584</t>
  </si>
  <si>
    <t>木津　春歌</t>
  </si>
  <si>
    <t>キヅ　ハルカ</t>
  </si>
  <si>
    <t>R010546304</t>
  </si>
  <si>
    <t>衣笠　勇輝</t>
  </si>
  <si>
    <t>キヌガサ　ユウキ</t>
  </si>
  <si>
    <t>R001256031</t>
  </si>
  <si>
    <t>木下　和夫</t>
  </si>
  <si>
    <t>キノシタ　カズオ</t>
  </si>
  <si>
    <t>R010356143</t>
  </si>
  <si>
    <t>木原　将和</t>
  </si>
  <si>
    <t>キハラ　マサカズ</t>
  </si>
  <si>
    <t>R010700306</t>
  </si>
  <si>
    <t>岐部　蒼海</t>
  </si>
  <si>
    <t>キベ　ソウマ</t>
  </si>
  <si>
    <t>R001256068</t>
  </si>
  <si>
    <t>岐部　裕二</t>
  </si>
  <si>
    <t>キベ　ユウジ</t>
  </si>
  <si>
    <t>R010552550</t>
  </si>
  <si>
    <t>木村　翔瑛</t>
  </si>
  <si>
    <t>キムラ　ヒエイ</t>
  </si>
  <si>
    <t>R010689070</t>
  </si>
  <si>
    <t>木村　優月</t>
  </si>
  <si>
    <t>キムラ　ユヅキ</t>
  </si>
  <si>
    <t>R010689527</t>
  </si>
  <si>
    <t>木元　大芽</t>
  </si>
  <si>
    <t>キモト　タイガ</t>
  </si>
  <si>
    <t>R010581166</t>
  </si>
  <si>
    <t>清末　智暉</t>
  </si>
  <si>
    <t>キヨスエ　トモキ</t>
  </si>
  <si>
    <t>R010281797</t>
  </si>
  <si>
    <t>清原　勇二</t>
  </si>
  <si>
    <t>キヨハラ　ユウジ</t>
  </si>
  <si>
    <t>R010661146</t>
  </si>
  <si>
    <t>吉良　昌一郎</t>
  </si>
  <si>
    <t>キラ　ショウイチロウ</t>
  </si>
  <si>
    <t>R010604780</t>
  </si>
  <si>
    <t>吉良　匠生</t>
  </si>
  <si>
    <t>キラ　タクミ</t>
  </si>
  <si>
    <t>R010653157</t>
  </si>
  <si>
    <t>吉良　緋由莉</t>
  </si>
  <si>
    <t>キラ　ヒヨリ</t>
  </si>
  <si>
    <t>R010593963</t>
  </si>
  <si>
    <t>吉良　優輝</t>
  </si>
  <si>
    <t>キラ　ユウキ</t>
  </si>
  <si>
    <t>R010689069</t>
  </si>
  <si>
    <t>切封　心花</t>
  </si>
  <si>
    <t>キリフ　ココカ</t>
  </si>
  <si>
    <t>R010586314</t>
  </si>
  <si>
    <t>桐村　虎夢</t>
  </si>
  <si>
    <t>キリムラ　コム</t>
  </si>
  <si>
    <t>R010746623</t>
  </si>
  <si>
    <t>釘宮　早風</t>
  </si>
  <si>
    <t>クギミヤ　ソウタ</t>
  </si>
  <si>
    <t>R010656685</t>
  </si>
  <si>
    <t>釘宮　央</t>
  </si>
  <si>
    <t>クギミヤ　ヒロ</t>
  </si>
  <si>
    <t>R010313754</t>
  </si>
  <si>
    <t>櫛野　理弘</t>
  </si>
  <si>
    <t>クシノ　ミチヒロ</t>
  </si>
  <si>
    <t>R010351368</t>
  </si>
  <si>
    <t>楠元　和馬</t>
  </si>
  <si>
    <t>クスモト　カズマ</t>
  </si>
  <si>
    <t>R010691461</t>
  </si>
  <si>
    <t>工藤　煌人</t>
  </si>
  <si>
    <t>クドウ　アキト</t>
  </si>
  <si>
    <t>R010261616</t>
  </si>
  <si>
    <t>工藤　大昌</t>
  </si>
  <si>
    <t>クドウ　タイショウ</t>
  </si>
  <si>
    <t>R009546116</t>
  </si>
  <si>
    <t>工藤　忠弘</t>
  </si>
  <si>
    <t>クドウ　タダヒロ</t>
  </si>
  <si>
    <t>R010576385</t>
  </si>
  <si>
    <t>工藤　大明</t>
  </si>
  <si>
    <t>クドウ　ダイメイ</t>
  </si>
  <si>
    <t>R001256253</t>
  </si>
  <si>
    <t>工藤　洋</t>
  </si>
  <si>
    <t>クドウ　ヒロシ</t>
  </si>
  <si>
    <t>R001256244</t>
  </si>
  <si>
    <t>工藤　光範</t>
  </si>
  <si>
    <t>クドウ　ミツノリ</t>
  </si>
  <si>
    <t>R010083877</t>
  </si>
  <si>
    <t>工藤　大和</t>
  </si>
  <si>
    <t>クドウ　ヤマト</t>
  </si>
  <si>
    <t>R010396522</t>
  </si>
  <si>
    <t>工藤　竜世</t>
  </si>
  <si>
    <t>R010376344</t>
  </si>
  <si>
    <t>久保　翔太郎</t>
  </si>
  <si>
    <t>クボ　ショウタロウ</t>
  </si>
  <si>
    <t>R010728127</t>
  </si>
  <si>
    <t>久保﨑　兆</t>
  </si>
  <si>
    <t>クボサキ　キザシ</t>
  </si>
  <si>
    <t>R010653570</t>
  </si>
  <si>
    <t>久保田　蓮</t>
  </si>
  <si>
    <t>クボタ　レン</t>
  </si>
  <si>
    <t>R010027820</t>
  </si>
  <si>
    <t>久保山　崇</t>
  </si>
  <si>
    <t>クボヤマ　タカシ</t>
  </si>
  <si>
    <t>R010450129</t>
  </si>
  <si>
    <t>熊井　優斗</t>
  </si>
  <si>
    <t>クマイ　ユウト</t>
  </si>
  <si>
    <t>R010728160</t>
  </si>
  <si>
    <t>栗林　透我</t>
  </si>
  <si>
    <t>クリバヤシ　トウガ</t>
  </si>
  <si>
    <t>R010513913</t>
  </si>
  <si>
    <t>黒木　大治郎</t>
  </si>
  <si>
    <t>クロキ　ダイジロウ</t>
  </si>
  <si>
    <t>R010687455</t>
  </si>
  <si>
    <t>黒木　渚冴</t>
  </si>
  <si>
    <t>クロキ　ナギサ</t>
  </si>
  <si>
    <t>R010728132</t>
  </si>
  <si>
    <t>黒木　陸叶</t>
  </si>
  <si>
    <t>クロキ　リクト</t>
  </si>
  <si>
    <t>R010700302</t>
  </si>
  <si>
    <t>黒木　亮輔</t>
  </si>
  <si>
    <t>クロキ　リョウスケ</t>
  </si>
  <si>
    <t>R010281807</t>
  </si>
  <si>
    <t>黒木　一輝</t>
  </si>
  <si>
    <t>クロギ　カズキ</t>
  </si>
  <si>
    <t>R010613625</t>
  </si>
  <si>
    <t>黒田　歩</t>
  </si>
  <si>
    <t>クロダ　アユム</t>
  </si>
  <si>
    <t>R010501305</t>
  </si>
  <si>
    <t>桑野　宏幸</t>
  </si>
  <si>
    <t>クワノ　ヒロユキ</t>
  </si>
  <si>
    <t>R001256387</t>
  </si>
  <si>
    <t>桑原　剛志</t>
  </si>
  <si>
    <t>クワバラ　ツヨシ</t>
  </si>
  <si>
    <t>R010613626</t>
  </si>
  <si>
    <t>小泉　逹邦</t>
  </si>
  <si>
    <t>コイズミ　タツクニ</t>
  </si>
  <si>
    <t>R010255153</t>
  </si>
  <si>
    <t>小岩　晴久</t>
  </si>
  <si>
    <t>コイワ　ハルヒサ</t>
  </si>
  <si>
    <t>R010189321</t>
  </si>
  <si>
    <t>神志那　公市</t>
  </si>
  <si>
    <t>コウジナ　コウイチ</t>
  </si>
  <si>
    <t>R010719613</t>
  </si>
  <si>
    <t>神田　将志</t>
  </si>
  <si>
    <t>コウダ　マサシ</t>
  </si>
  <si>
    <t>R010688480</t>
  </si>
  <si>
    <t>河野　慧大</t>
  </si>
  <si>
    <t>コウノ　ケイタ</t>
  </si>
  <si>
    <t>R010715005</t>
  </si>
  <si>
    <t>河野　真幸</t>
  </si>
  <si>
    <t>コウノ　サネユキ</t>
  </si>
  <si>
    <t>R001255670</t>
  </si>
  <si>
    <t>コウノ　チエコ</t>
  </si>
  <si>
    <t>コウノ　ユウキ</t>
  </si>
  <si>
    <t>R010396510</t>
  </si>
  <si>
    <t>古賀　時宗</t>
  </si>
  <si>
    <t>コガ　トキムネ</t>
  </si>
  <si>
    <t>R006574206</t>
  </si>
  <si>
    <t>古賀　雅則</t>
  </si>
  <si>
    <t>コガ　マサノリ</t>
  </si>
  <si>
    <t>R010162996</t>
  </si>
  <si>
    <t>小越　憲太郎</t>
  </si>
  <si>
    <t>コゴシ　ケンタロウ</t>
  </si>
  <si>
    <t>R010698135</t>
  </si>
  <si>
    <t>小坂　亮</t>
  </si>
  <si>
    <t>コサカ　リョウ</t>
  </si>
  <si>
    <t>R010552559</t>
  </si>
  <si>
    <t>児玉　准哉</t>
  </si>
  <si>
    <t>コダマ　ジュンヤ</t>
  </si>
  <si>
    <t>R010169042</t>
  </si>
  <si>
    <t>児玉　悠介</t>
  </si>
  <si>
    <t>コダマ　ユウスケ</t>
  </si>
  <si>
    <t>R010445239</t>
  </si>
  <si>
    <t>児玉　佑太</t>
  </si>
  <si>
    <t>コダマ　ユウタ</t>
  </si>
  <si>
    <t>R010728153</t>
  </si>
  <si>
    <t>児玉　稜空</t>
  </si>
  <si>
    <t>コダマ　リク</t>
  </si>
  <si>
    <t>R010736991</t>
  </si>
  <si>
    <t>兒玉　龍樹</t>
  </si>
  <si>
    <t>コダマ　リュウジュ</t>
  </si>
  <si>
    <t>R005528060</t>
  </si>
  <si>
    <t>小手川　洋介</t>
  </si>
  <si>
    <t>コテガワ　ヨウスケ</t>
  </si>
  <si>
    <t>R004226712</t>
  </si>
  <si>
    <t>小林　覚</t>
  </si>
  <si>
    <t>コバヤシ　サトル</t>
  </si>
  <si>
    <t>R010642023</t>
  </si>
  <si>
    <t>小林　新明</t>
  </si>
  <si>
    <t>コバヤシ　シンメイ</t>
  </si>
  <si>
    <t>R010719624</t>
  </si>
  <si>
    <t>小堀　優翔</t>
  </si>
  <si>
    <t>コボリ　ユウト</t>
  </si>
  <si>
    <t>R010684017</t>
  </si>
  <si>
    <t>小松　俊介</t>
  </si>
  <si>
    <t>コマツ　シュンスケ</t>
  </si>
  <si>
    <t>R006664855</t>
  </si>
  <si>
    <t>近藤　孝司</t>
  </si>
  <si>
    <t>コンドウ　コウジ</t>
  </si>
  <si>
    <t>R010509969</t>
  </si>
  <si>
    <t>合谷　佑木</t>
  </si>
  <si>
    <t>ゴウタニ　ユウキ</t>
  </si>
  <si>
    <t>R009546091</t>
  </si>
  <si>
    <t>五所　睦雄</t>
  </si>
  <si>
    <t>ゴショ　ムツオ</t>
  </si>
  <si>
    <t>R010746602</t>
  </si>
  <si>
    <t>後藤　和人</t>
  </si>
  <si>
    <t>ゴトウ　カズト</t>
  </si>
  <si>
    <t>R010728119</t>
  </si>
  <si>
    <t>後藤　喬亮</t>
  </si>
  <si>
    <t>ゴトウ　キョウスケ</t>
  </si>
  <si>
    <t>R001256572</t>
  </si>
  <si>
    <t>後藤　儀一郎</t>
  </si>
  <si>
    <t>ゴトウ　ギイチロウ</t>
  </si>
  <si>
    <t>R005987519</t>
  </si>
  <si>
    <t>後藤　慶太郎</t>
  </si>
  <si>
    <t>ゴトウ　ケイタロウ</t>
  </si>
  <si>
    <t>R010576369</t>
  </si>
  <si>
    <t>後藤　健伍</t>
  </si>
  <si>
    <t>ゴトウ　ケンゴ</t>
  </si>
  <si>
    <t>R001256590</t>
  </si>
  <si>
    <t>後藤　幸治</t>
  </si>
  <si>
    <t>ゴトウ　コウジ</t>
  </si>
  <si>
    <t>R003421426</t>
  </si>
  <si>
    <t>後藤　茂好</t>
  </si>
  <si>
    <t>ゴトウ　シゲヨシ</t>
  </si>
  <si>
    <t>R010728103</t>
  </si>
  <si>
    <t>後藤　舜稀</t>
  </si>
  <si>
    <t>ゴトウ　シュンキ</t>
  </si>
  <si>
    <t>R010728133</t>
  </si>
  <si>
    <t>後藤　誠士郎</t>
  </si>
  <si>
    <t>ゴトウ　セイシロウ</t>
  </si>
  <si>
    <t>R010613619</t>
  </si>
  <si>
    <t>後藤　拓人</t>
  </si>
  <si>
    <t>ゴトウ　タクト</t>
  </si>
  <si>
    <t>R010193704</t>
  </si>
  <si>
    <t>後藤　健文</t>
  </si>
  <si>
    <t>ゴトウ　タケフミ</t>
  </si>
  <si>
    <t>R005603671</t>
  </si>
  <si>
    <t>後藤　達也</t>
  </si>
  <si>
    <t>ゴトウ　タツヤ</t>
  </si>
  <si>
    <t>R010698165</t>
  </si>
  <si>
    <t>後藤　大輝</t>
  </si>
  <si>
    <t>ゴトウ　ダイキ</t>
  </si>
  <si>
    <t>R010579143</t>
  </si>
  <si>
    <t>後藤　凪海</t>
  </si>
  <si>
    <t>ゴトウ　ナギ</t>
  </si>
  <si>
    <t>R010715000</t>
  </si>
  <si>
    <t>後藤　颯斗</t>
  </si>
  <si>
    <t>ゴトウ　ハヤト</t>
  </si>
  <si>
    <t>R010604770</t>
  </si>
  <si>
    <t>後藤　暖翔</t>
  </si>
  <si>
    <t>ゴトウ　ハルト</t>
  </si>
  <si>
    <t>R001256554</t>
  </si>
  <si>
    <t>ゴトウ　ヒサシ</t>
  </si>
  <si>
    <t>R010676618</t>
  </si>
  <si>
    <t>R010687757</t>
  </si>
  <si>
    <t>後藤　雅弥</t>
  </si>
  <si>
    <t>ゴトウ　マサヤ</t>
  </si>
  <si>
    <t>R010698149</t>
  </si>
  <si>
    <t>後藤　護</t>
  </si>
  <si>
    <t>ゴトウ　マモル</t>
  </si>
  <si>
    <t>R010538300</t>
  </si>
  <si>
    <t>後藤　睦希</t>
  </si>
  <si>
    <t>ゴトウ　ムツキ</t>
  </si>
  <si>
    <t>R010586296</t>
  </si>
  <si>
    <t>後藤　優空</t>
  </si>
  <si>
    <t>ゴトウ　ユウア</t>
  </si>
  <si>
    <t>R010653600</t>
  </si>
  <si>
    <t>後藤　友星</t>
  </si>
  <si>
    <t>R010120116</t>
  </si>
  <si>
    <t>後藤　芳健</t>
  </si>
  <si>
    <t>ゴトウ　ヨシカツ</t>
  </si>
  <si>
    <t>R010642071</t>
  </si>
  <si>
    <t>後藤　璃杏</t>
  </si>
  <si>
    <t>ゴトウ　リアン</t>
  </si>
  <si>
    <t>R010604779</t>
  </si>
  <si>
    <t>後藤　竜樹</t>
  </si>
  <si>
    <t>ゴトウ　リュウキ</t>
  </si>
  <si>
    <t>R010001964</t>
  </si>
  <si>
    <t>後藤　亮一</t>
  </si>
  <si>
    <t>ゴトウ　リョウイチ</t>
  </si>
  <si>
    <t>ゴトウ　リンタロウ</t>
  </si>
  <si>
    <t>R010552532</t>
  </si>
  <si>
    <t>佐伯　正一</t>
  </si>
  <si>
    <t>サイキ　シヨウイチ</t>
  </si>
  <si>
    <t>R010715021</t>
  </si>
  <si>
    <t>齊藤　晃平</t>
  </si>
  <si>
    <t>サイトウ　コウヘイ</t>
  </si>
  <si>
    <t>R008173685</t>
  </si>
  <si>
    <t>斎藤　亮真</t>
  </si>
  <si>
    <t>サイトウ　リョウマ</t>
  </si>
  <si>
    <t>R010552567</t>
  </si>
  <si>
    <t>酒井　碧海</t>
  </si>
  <si>
    <t>サカイ　アオト</t>
  </si>
  <si>
    <t>R010728161</t>
  </si>
  <si>
    <t>酒井　彩海</t>
  </si>
  <si>
    <t>サカイ　アヤト</t>
  </si>
  <si>
    <t>R010676606</t>
  </si>
  <si>
    <t>坂井　孝行</t>
  </si>
  <si>
    <t>サカイ　タカユキ</t>
  </si>
  <si>
    <t>R010613639</t>
  </si>
  <si>
    <t>酒井　大空翔</t>
  </si>
  <si>
    <t>サカイ　タクト</t>
  </si>
  <si>
    <t>R010719617</t>
  </si>
  <si>
    <t>酒井　晴斗</t>
  </si>
  <si>
    <t>サカイ　ハルト</t>
  </si>
  <si>
    <t>R010653163</t>
  </si>
  <si>
    <t>酒井　晴彦</t>
  </si>
  <si>
    <t>サカイ　ハルヒコ</t>
  </si>
  <si>
    <t>R010728096</t>
  </si>
  <si>
    <t>酒井　泰峰</t>
  </si>
  <si>
    <t>サカイ　ヤスタカ</t>
  </si>
  <si>
    <t>R010684097</t>
  </si>
  <si>
    <t>坂井　祐介</t>
  </si>
  <si>
    <t>サカイ　ユウスケ</t>
  </si>
  <si>
    <t>R010689083</t>
  </si>
  <si>
    <t>坂本　海</t>
  </si>
  <si>
    <t>サカモト　カイ</t>
  </si>
  <si>
    <t>R010600678</t>
  </si>
  <si>
    <t>坂本　航輝</t>
  </si>
  <si>
    <t>サカモト　コウキ</t>
  </si>
  <si>
    <t>R010653166</t>
  </si>
  <si>
    <t>坂本　翔</t>
  </si>
  <si>
    <t>サカモト　ショウ</t>
  </si>
  <si>
    <t>R010388052</t>
  </si>
  <si>
    <t>坂本　晴陽</t>
  </si>
  <si>
    <t>R010071981</t>
  </si>
  <si>
    <t>坂本　璃王</t>
  </si>
  <si>
    <t>サカモト　リオ</t>
  </si>
  <si>
    <t>R010581164</t>
  </si>
  <si>
    <t>相良　晃平</t>
  </si>
  <si>
    <t>サガラ　コウヘイ</t>
  </si>
  <si>
    <t>R010684129</t>
  </si>
  <si>
    <t>相良　琥希翔</t>
  </si>
  <si>
    <t>サガラ　トキト</t>
  </si>
  <si>
    <t>R010714998</t>
  </si>
  <si>
    <t>相良　祐虎</t>
  </si>
  <si>
    <t>サガラ　ユウト</t>
  </si>
  <si>
    <t>R008173746</t>
  </si>
  <si>
    <t>相良　宣雄</t>
  </si>
  <si>
    <t>サガラ　ヨシオ</t>
  </si>
  <si>
    <t>R010685245</t>
  </si>
  <si>
    <t>相良　漣音</t>
  </si>
  <si>
    <t>サガラ　レオン</t>
  </si>
  <si>
    <t>R010444490</t>
  </si>
  <si>
    <t>櫻井　貴寛</t>
  </si>
  <si>
    <t>サクライ　タカヒロ</t>
  </si>
  <si>
    <t>R010576381</t>
  </si>
  <si>
    <t>櫻木　海晴</t>
  </si>
  <si>
    <t>サクラギ　カイセイ</t>
  </si>
  <si>
    <t>R010542194</t>
  </si>
  <si>
    <t>迫　聖一郎</t>
  </si>
  <si>
    <t>サコ　セイイチロウ</t>
  </si>
  <si>
    <t>R010653581</t>
  </si>
  <si>
    <t>佐々木　壮太</t>
  </si>
  <si>
    <t>ササキ　ソウタ</t>
  </si>
  <si>
    <t>R010586324</t>
  </si>
  <si>
    <t>佐々木　陽音</t>
  </si>
  <si>
    <t>ササキ　ハルト</t>
  </si>
  <si>
    <t>R010586315</t>
  </si>
  <si>
    <t>佐々木　大和</t>
  </si>
  <si>
    <t>ササキ　ヤマト</t>
  </si>
  <si>
    <t>R010685157</t>
  </si>
  <si>
    <t>指原　健太郎</t>
  </si>
  <si>
    <t>サシハラ　ケンタロウ</t>
  </si>
  <si>
    <t>R010189039</t>
  </si>
  <si>
    <t>目　匡弘</t>
  </si>
  <si>
    <t>サッカ　タダヒロ</t>
  </si>
  <si>
    <t>サトウ　アキラ</t>
  </si>
  <si>
    <t>R010728141</t>
  </si>
  <si>
    <t>佐藤　朱仁</t>
  </si>
  <si>
    <t>サトウ　アヤト</t>
  </si>
  <si>
    <t>R010538390</t>
  </si>
  <si>
    <t>佐藤　歩虎</t>
  </si>
  <si>
    <t>サトウ　アユト</t>
  </si>
  <si>
    <t>サトウ　アユム</t>
  </si>
  <si>
    <t>R010448943</t>
  </si>
  <si>
    <t>佐藤　凱翔</t>
  </si>
  <si>
    <t>R010552574</t>
  </si>
  <si>
    <t>佐藤　洸輝</t>
  </si>
  <si>
    <t>サトウ　コウキ</t>
  </si>
  <si>
    <t>R010396604</t>
  </si>
  <si>
    <t>佐藤　耕輔</t>
  </si>
  <si>
    <t>サトウ　コウスケ</t>
  </si>
  <si>
    <t>R010599176</t>
  </si>
  <si>
    <t>佐藤　周平</t>
  </si>
  <si>
    <t>サトウ　シュウヘイ</t>
  </si>
  <si>
    <t>R010538354</t>
  </si>
  <si>
    <t>佐藤　秀弥</t>
  </si>
  <si>
    <t>サトウ　シユウヤ</t>
  </si>
  <si>
    <t>R010432602</t>
  </si>
  <si>
    <t>佐藤　翔太</t>
  </si>
  <si>
    <t>サトウ　ショウタ</t>
  </si>
  <si>
    <t>R004386306</t>
  </si>
  <si>
    <t>佐藤　慎也</t>
  </si>
  <si>
    <t>サトウ　シンヤ</t>
  </si>
  <si>
    <t>R010687758</t>
  </si>
  <si>
    <t>佐藤　伸哉</t>
  </si>
  <si>
    <t>R010689535</t>
  </si>
  <si>
    <t>佐藤　崇真</t>
  </si>
  <si>
    <t>R010687460</t>
  </si>
  <si>
    <t>佐藤　泰喜</t>
  </si>
  <si>
    <t>サトウ　タイキ</t>
  </si>
  <si>
    <t>R001257085</t>
  </si>
  <si>
    <t>佐藤　武吉</t>
  </si>
  <si>
    <t>サトウ　タケヨシ</t>
  </si>
  <si>
    <t>R010653599</t>
  </si>
  <si>
    <t>佐藤　大樹</t>
  </si>
  <si>
    <t>サトウ　ダイキ</t>
  </si>
  <si>
    <t>R010552561</t>
  </si>
  <si>
    <t>佐藤　哲也</t>
  </si>
  <si>
    <t>サトウ　テツヤ</t>
  </si>
  <si>
    <t>R010604777</t>
  </si>
  <si>
    <t>佐藤　成</t>
  </si>
  <si>
    <t>サトウ　ナル</t>
  </si>
  <si>
    <t>R010604776</t>
  </si>
  <si>
    <t>佐藤　悠樹</t>
  </si>
  <si>
    <t>サトウ　ハルキ</t>
  </si>
  <si>
    <t>R010189325</t>
  </si>
  <si>
    <t>佐藤　遥哉</t>
  </si>
  <si>
    <t>サトウ　ハルヤ</t>
  </si>
  <si>
    <t>R001257137</t>
  </si>
  <si>
    <t>佐藤　秀勝</t>
  </si>
  <si>
    <t>サトウ　ヒデカツ</t>
  </si>
  <si>
    <t>R010728143</t>
  </si>
  <si>
    <t>佐藤　日向</t>
  </si>
  <si>
    <t>サトウ　ヒナタ</t>
  </si>
  <si>
    <t>R010538322</t>
  </si>
  <si>
    <t>佐藤　浩樹</t>
  </si>
  <si>
    <t>R010684015</t>
  </si>
  <si>
    <t>佐藤　博哉</t>
  </si>
  <si>
    <t>サトウ　ヒロヤ</t>
  </si>
  <si>
    <t>R010746647</t>
  </si>
  <si>
    <t>佐藤　雅哉</t>
  </si>
  <si>
    <t>サトウ　マサヤ</t>
  </si>
  <si>
    <t>R010465577</t>
  </si>
  <si>
    <t>佐藤　守</t>
  </si>
  <si>
    <t>サトウ　マモル</t>
  </si>
  <si>
    <t>R005603389</t>
  </si>
  <si>
    <t>佐藤　光雄</t>
  </si>
  <si>
    <t>サトウ　ミツオ</t>
  </si>
  <si>
    <t>R010613624</t>
  </si>
  <si>
    <t>佐藤　光浩</t>
  </si>
  <si>
    <t>サトウ　ミツヒロ</t>
  </si>
  <si>
    <t>R010599169</t>
  </si>
  <si>
    <t>佐藤　元気</t>
  </si>
  <si>
    <t>サトウ　モトキ</t>
  </si>
  <si>
    <t>R010465593</t>
  </si>
  <si>
    <t>佐藤　祐親</t>
  </si>
  <si>
    <t>サトウ　ユウシン</t>
  </si>
  <si>
    <t>R007729210</t>
  </si>
  <si>
    <t>佐藤　教春</t>
  </si>
  <si>
    <t>サトウ　ヨシハル</t>
  </si>
  <si>
    <t>R010593964</t>
  </si>
  <si>
    <t>佐藤　圭悠</t>
  </si>
  <si>
    <t>R010552573</t>
  </si>
  <si>
    <t>佐藤　陸</t>
  </si>
  <si>
    <t>サトウ　リク</t>
  </si>
  <si>
    <t>R010715004</t>
  </si>
  <si>
    <t>佐藤　稜悟</t>
  </si>
  <si>
    <t>サトウ　リョウゴ</t>
  </si>
  <si>
    <t>R010583788</t>
  </si>
  <si>
    <t>佐藤　凛太朗</t>
  </si>
  <si>
    <t>サトウ　リンタロウ</t>
  </si>
  <si>
    <t>R010396509</t>
  </si>
  <si>
    <t>佐藤　蓮太</t>
  </si>
  <si>
    <t>サトウ　レンタ</t>
  </si>
  <si>
    <t>R010214533</t>
  </si>
  <si>
    <t>鮫島　裕貴</t>
  </si>
  <si>
    <t>サメジマ　ユウキ</t>
  </si>
  <si>
    <t>R010642075</t>
  </si>
  <si>
    <t>澤井　一颯</t>
  </si>
  <si>
    <t>サワイ　イブキ</t>
  </si>
  <si>
    <t>R010698134</t>
  </si>
  <si>
    <t>三宮　英士</t>
  </si>
  <si>
    <t>サンノミヤ　エイジ</t>
  </si>
  <si>
    <t>R010100659</t>
  </si>
  <si>
    <t>財前　友担</t>
  </si>
  <si>
    <t>ザイゼン　トモヒロ</t>
  </si>
  <si>
    <t>R010604774</t>
  </si>
  <si>
    <t>椎原　吟峨</t>
  </si>
  <si>
    <t>シイハラ　ギンガ</t>
  </si>
  <si>
    <t>R005603291</t>
  </si>
  <si>
    <t>椎原　健夫</t>
  </si>
  <si>
    <t>シイハラ　タケオ</t>
  </si>
  <si>
    <t>R010642031</t>
  </si>
  <si>
    <t>汐月　達也</t>
  </si>
  <si>
    <t>シオツキ　タツヤ</t>
  </si>
  <si>
    <t>R010689458</t>
  </si>
  <si>
    <t>塩手　晴仁</t>
  </si>
  <si>
    <t>シオテ　ハルヒト</t>
  </si>
  <si>
    <t>R010542200</t>
  </si>
  <si>
    <t>鹿内　克彦</t>
  </si>
  <si>
    <t>シカナイ　カツヒコ</t>
  </si>
  <si>
    <t>R010281801</t>
  </si>
  <si>
    <t>志賀　泰二</t>
  </si>
  <si>
    <t>シガ　タイジ</t>
  </si>
  <si>
    <t>R010728135</t>
  </si>
  <si>
    <t>重住　龍真</t>
  </si>
  <si>
    <t>シゲズミ　リュウマ</t>
  </si>
  <si>
    <t>R010685260</t>
  </si>
  <si>
    <t>繁田　大雅</t>
  </si>
  <si>
    <t>シゲタ　タイガ</t>
  </si>
  <si>
    <t>R010538301</t>
  </si>
  <si>
    <t>重光　日向</t>
  </si>
  <si>
    <t>シゲミツ　ヒナタ</t>
  </si>
  <si>
    <t>R010661142</t>
  </si>
  <si>
    <t>志手　佑守</t>
  </si>
  <si>
    <t>シテ　ユウヤ</t>
  </si>
  <si>
    <t>R010746656</t>
  </si>
  <si>
    <t>芝関　廉</t>
  </si>
  <si>
    <t>シバセキ　レン</t>
  </si>
  <si>
    <t>R010737005</t>
  </si>
  <si>
    <t>柴田　美佳</t>
  </si>
  <si>
    <t>シバタ　ミカ</t>
  </si>
  <si>
    <t>R010685266</t>
  </si>
  <si>
    <t>R010313749</t>
  </si>
  <si>
    <t>嶋田　尚祐</t>
  </si>
  <si>
    <t>シマダ　ナオヒロ</t>
  </si>
  <si>
    <t>R010687781</t>
  </si>
  <si>
    <t>嶋津　藍夢</t>
  </si>
  <si>
    <t>シマヅ　アイム</t>
  </si>
  <si>
    <t>R010689076</t>
  </si>
  <si>
    <t>清水　和記</t>
  </si>
  <si>
    <t>シミズ　カズキ</t>
  </si>
  <si>
    <t>R005986981</t>
  </si>
  <si>
    <t>清水　聖徳</t>
  </si>
  <si>
    <t>シミズ　セイトク</t>
  </si>
  <si>
    <t>R010579105</t>
  </si>
  <si>
    <t>清水　颯太</t>
  </si>
  <si>
    <t>シミズ　ソウタ</t>
  </si>
  <si>
    <t>R010421576</t>
  </si>
  <si>
    <t>清水　碧倭</t>
  </si>
  <si>
    <t>シミズ　ヘキヤ</t>
  </si>
  <si>
    <t>R010642036</t>
  </si>
  <si>
    <t>下山　直也</t>
  </si>
  <si>
    <t>シモヤマ　ナオヤ</t>
  </si>
  <si>
    <t>周藤　彼方</t>
  </si>
  <si>
    <t>シュウトウ　カナタ</t>
  </si>
  <si>
    <t>R010746621</t>
  </si>
  <si>
    <t>首藤　謙二</t>
  </si>
  <si>
    <t>シュトウ　ケンジ</t>
  </si>
  <si>
    <t>R010689068</t>
  </si>
  <si>
    <t>首藤　瑚春</t>
  </si>
  <si>
    <t>シュトウ　コハル</t>
  </si>
  <si>
    <t>R010465612</t>
  </si>
  <si>
    <t>首藤　貴志</t>
  </si>
  <si>
    <t>シュトウ　タカシ</t>
  </si>
  <si>
    <t>R010728112</t>
  </si>
  <si>
    <t>首藤　孝寛</t>
  </si>
  <si>
    <t>R008643838</t>
  </si>
  <si>
    <t>首藤　翼</t>
  </si>
  <si>
    <t>シュトウ　ツバサ</t>
  </si>
  <si>
    <t>R007002645</t>
  </si>
  <si>
    <t>首藤　晴美</t>
  </si>
  <si>
    <t>シュトウ　ハルミ</t>
  </si>
  <si>
    <t>R010728157</t>
  </si>
  <si>
    <t>首藤　佑樹</t>
  </si>
  <si>
    <t>シュトウ　ユウキ</t>
  </si>
  <si>
    <t>R010714997</t>
  </si>
  <si>
    <t>首藤　涼太</t>
  </si>
  <si>
    <t>シュトウ　リョウタ</t>
  </si>
  <si>
    <t>R009460533</t>
  </si>
  <si>
    <t>庄部　正人</t>
  </si>
  <si>
    <t>ショウブ　マサト</t>
  </si>
  <si>
    <t>R010685272</t>
  </si>
  <si>
    <t>白井　紘彰</t>
  </si>
  <si>
    <t>シライ　ヒロアキ</t>
  </si>
  <si>
    <t>R010352971</t>
  </si>
  <si>
    <t>白石　琥太郎</t>
  </si>
  <si>
    <t>シライシ　コタロウ</t>
  </si>
  <si>
    <t>R010599602</t>
  </si>
  <si>
    <t>白石　匠皇</t>
  </si>
  <si>
    <t>シライシ　ショウ</t>
  </si>
  <si>
    <t>R010728100</t>
  </si>
  <si>
    <t>秦　鼓乃実</t>
  </si>
  <si>
    <t>シン　コノミ</t>
  </si>
  <si>
    <t>R010444489</t>
  </si>
  <si>
    <t>秦　拓真</t>
  </si>
  <si>
    <t>シン　タクマ</t>
  </si>
  <si>
    <t>R010579104</t>
  </si>
  <si>
    <t>秦　涼介</t>
  </si>
  <si>
    <t>シン　リョウスケ</t>
  </si>
  <si>
    <t>R010546283</t>
  </si>
  <si>
    <t>新納　奏太</t>
  </si>
  <si>
    <t>シンノウ　カナタ</t>
  </si>
  <si>
    <t>R010613615</t>
  </si>
  <si>
    <t>新納　信彦</t>
  </si>
  <si>
    <t>シンノウ　ノブヒコ</t>
  </si>
  <si>
    <t>R006123774</t>
  </si>
  <si>
    <t>軸丸　耕平</t>
  </si>
  <si>
    <t>ジクマル　コウヘイ</t>
  </si>
  <si>
    <t>R010746609</t>
  </si>
  <si>
    <t>軸丸　昇</t>
  </si>
  <si>
    <t>ジクマル　ノボル</t>
  </si>
  <si>
    <t>R010728102</t>
  </si>
  <si>
    <t>城　孝明</t>
  </si>
  <si>
    <t>ジョウ　タカアキ</t>
  </si>
  <si>
    <t>R006148463</t>
  </si>
  <si>
    <t>末綱　太舟</t>
  </si>
  <si>
    <t>スエツナ　タイシュウ</t>
  </si>
  <si>
    <t>R009545995</t>
  </si>
  <si>
    <t>末永　成久</t>
  </si>
  <si>
    <t>スエナガ　ナルヒサ</t>
  </si>
  <si>
    <t>R010552569</t>
  </si>
  <si>
    <t>末成　隼</t>
  </si>
  <si>
    <t>スエナリ　シュン</t>
  </si>
  <si>
    <t>R010542209</t>
  </si>
  <si>
    <t>菅田　和真</t>
  </si>
  <si>
    <t>スガタ　カズマ</t>
  </si>
  <si>
    <t>R010714987</t>
  </si>
  <si>
    <t>須川　彪雅</t>
  </si>
  <si>
    <t>スガワ　ヒュウガ</t>
  </si>
  <si>
    <t>R010728109</t>
  </si>
  <si>
    <t>杉　吉隆</t>
  </si>
  <si>
    <t>スギ　ヨシタカ</t>
  </si>
  <si>
    <t>R008798004</t>
  </si>
  <si>
    <t>杉崎　誠</t>
  </si>
  <si>
    <t>スギサキ　マコト</t>
  </si>
  <si>
    <t>R010599611</t>
  </si>
  <si>
    <t>杉田　翔</t>
  </si>
  <si>
    <t>スギタ　カケル</t>
  </si>
  <si>
    <t>R005528103</t>
  </si>
  <si>
    <t>杉野　岳士</t>
  </si>
  <si>
    <t>スギノ　タケシ</t>
  </si>
  <si>
    <t>R010715013</t>
  </si>
  <si>
    <t>杉村　祐心</t>
  </si>
  <si>
    <t>スギムラ　ユウシン</t>
  </si>
  <si>
    <t>R010214548</t>
  </si>
  <si>
    <t>鈴木　公大</t>
  </si>
  <si>
    <t>スズキ　コウダイ</t>
  </si>
  <si>
    <t>R010465610</t>
  </si>
  <si>
    <t>須藤　聡</t>
  </si>
  <si>
    <t>ストウ　ソウ</t>
  </si>
  <si>
    <t>R010746619</t>
  </si>
  <si>
    <t>簀戸　裕樹</t>
  </si>
  <si>
    <t>スド　ヒロキ</t>
  </si>
  <si>
    <t>R010714982</t>
  </si>
  <si>
    <t>須藤　来希</t>
  </si>
  <si>
    <t>スドウ　ライキ</t>
  </si>
  <si>
    <t>R010214540</t>
  </si>
  <si>
    <t>隅田　渚斗</t>
  </si>
  <si>
    <t>スミタ　ナギト</t>
  </si>
  <si>
    <t>R010356124</t>
  </si>
  <si>
    <t>隅田　波希</t>
  </si>
  <si>
    <t>スミタ　ナミキ</t>
  </si>
  <si>
    <t>R010576507</t>
  </si>
  <si>
    <t>清家　海佐輝</t>
  </si>
  <si>
    <t>セイケ　ミサキ</t>
  </si>
  <si>
    <t>R003258422</t>
  </si>
  <si>
    <t>関　一昭</t>
  </si>
  <si>
    <t>セキ　カズアキ</t>
  </si>
  <si>
    <t>R010352992</t>
  </si>
  <si>
    <t>関　翼</t>
  </si>
  <si>
    <t>セキ　ツバサ</t>
  </si>
  <si>
    <t>R007959750</t>
  </si>
  <si>
    <t>関谷　僚人</t>
  </si>
  <si>
    <t>セキヤ　トモヒト</t>
  </si>
  <si>
    <t>R010746644</t>
  </si>
  <si>
    <t>瀬口　遼太</t>
  </si>
  <si>
    <t>セグチ　リョウタ</t>
  </si>
  <si>
    <t>R005987458</t>
  </si>
  <si>
    <t>曽根田　康寿</t>
  </si>
  <si>
    <t>ソネダ　ヤストシ</t>
  </si>
  <si>
    <t>R010306443</t>
  </si>
  <si>
    <t>園田　純直</t>
  </si>
  <si>
    <t>ソノダ　スミタダ</t>
  </si>
  <si>
    <t>R010546282</t>
  </si>
  <si>
    <t>染矢　優心</t>
  </si>
  <si>
    <t>ソメヤ　ユウシン</t>
  </si>
  <si>
    <t>R010737009</t>
  </si>
  <si>
    <t>高石　靖太</t>
  </si>
  <si>
    <t>タカイシ　セイタ</t>
  </si>
  <si>
    <t>R010682446</t>
  </si>
  <si>
    <t>高木　奏</t>
  </si>
  <si>
    <t>タカキ　カナデ</t>
  </si>
  <si>
    <t>R010719608</t>
  </si>
  <si>
    <t>髙木　獅道</t>
  </si>
  <si>
    <t>タカキ　シドウ</t>
  </si>
  <si>
    <t>R010465602</t>
  </si>
  <si>
    <t>髙木　大誠</t>
  </si>
  <si>
    <t>タカキ　タイセイ</t>
  </si>
  <si>
    <t>R001257942</t>
  </si>
  <si>
    <t>高倉　一城</t>
  </si>
  <si>
    <t>タカクラ　カズキ</t>
  </si>
  <si>
    <t>R010746601</t>
  </si>
  <si>
    <t>髙倉　普平</t>
  </si>
  <si>
    <t>タカクラ　シンペイ</t>
  </si>
  <si>
    <t>R010688260</t>
  </si>
  <si>
    <t>高倉　暖基</t>
  </si>
  <si>
    <t>タカクラ　ハルキ</t>
  </si>
  <si>
    <t>R010468412</t>
  </si>
  <si>
    <t>高田　雅博</t>
  </si>
  <si>
    <t>タカダ　マサヒロ</t>
  </si>
  <si>
    <t>R010376369</t>
  </si>
  <si>
    <t>高月　隆成</t>
  </si>
  <si>
    <t>タカツキ　リュウセイ</t>
  </si>
  <si>
    <t>R003578487</t>
  </si>
  <si>
    <t>髙野　大輔</t>
  </si>
  <si>
    <t>タカノ　ダイスケ</t>
  </si>
  <si>
    <t>R010715016</t>
  </si>
  <si>
    <t>高橋　天翔</t>
  </si>
  <si>
    <t>タカハシ　アマト</t>
  </si>
  <si>
    <t>R008798156</t>
  </si>
  <si>
    <t>高橋　洸介</t>
  </si>
  <si>
    <t>R010728136</t>
  </si>
  <si>
    <t>髙橋　恒太</t>
  </si>
  <si>
    <t>タカハシ　コウタ</t>
  </si>
  <si>
    <t>R010719611</t>
  </si>
  <si>
    <t>高橋　典誠</t>
  </si>
  <si>
    <t>タカハシ　テンセイ</t>
  </si>
  <si>
    <t>R007334924</t>
  </si>
  <si>
    <t>高橋　央明</t>
  </si>
  <si>
    <t>タカハシ　ヒロアキ</t>
  </si>
  <si>
    <t>R003256062</t>
  </si>
  <si>
    <t>高橋　由資</t>
  </si>
  <si>
    <t>タカハシ　ユウスケ</t>
  </si>
  <si>
    <t>R010684111</t>
  </si>
  <si>
    <t>髙橋　璃央</t>
  </si>
  <si>
    <t>タカハシ　リオ</t>
  </si>
  <si>
    <t>R010352959</t>
  </si>
  <si>
    <t>髙橋　涼介</t>
  </si>
  <si>
    <t>タカハシ　リョウスケ</t>
  </si>
  <si>
    <t>R010700293</t>
  </si>
  <si>
    <t>高原　啓司</t>
  </si>
  <si>
    <t>タカハラ　ケイジ</t>
  </si>
  <si>
    <t>R010240538</t>
  </si>
  <si>
    <t>高原　悠太</t>
  </si>
  <si>
    <t>タカハラ　ユウタ</t>
  </si>
  <si>
    <t>タカミネ　フミヤ</t>
  </si>
  <si>
    <t>R010583798</t>
  </si>
  <si>
    <t>髙村　悠悟</t>
  </si>
  <si>
    <t>タカムラ　ユウゴ</t>
  </si>
  <si>
    <t>R010653152</t>
  </si>
  <si>
    <t>髙本　澪奈</t>
  </si>
  <si>
    <t>タカモト　レイナ</t>
  </si>
  <si>
    <t>R010255176</t>
  </si>
  <si>
    <t>高森　宗治</t>
  </si>
  <si>
    <t>タカモリ　ムネハル</t>
  </si>
  <si>
    <t>R010715009</t>
  </si>
  <si>
    <t>高山　尚大</t>
  </si>
  <si>
    <t>タカヤマ　ナオヒロ</t>
  </si>
  <si>
    <t>R010653580</t>
  </si>
  <si>
    <t>髙山　僚太</t>
  </si>
  <si>
    <t>タカヤマ　リョウタ</t>
  </si>
  <si>
    <t>R010698159</t>
  </si>
  <si>
    <t>瀧口　康平</t>
  </si>
  <si>
    <t>タキグチ　コウヘイ</t>
  </si>
  <si>
    <t>R010259424</t>
  </si>
  <si>
    <t>瀧水　蓮太郎</t>
  </si>
  <si>
    <t>タキミズ　レンタロウ</t>
  </si>
  <si>
    <t>R010538309</t>
  </si>
  <si>
    <t>田口　碧依</t>
  </si>
  <si>
    <t>タグチ　アオイ</t>
  </si>
  <si>
    <t>R010700297</t>
  </si>
  <si>
    <t>田口　聖</t>
  </si>
  <si>
    <t>タグチ　キヨシ</t>
  </si>
  <si>
    <t>R010714986</t>
  </si>
  <si>
    <t>竹内　彪斗</t>
  </si>
  <si>
    <t>タケウチ　アヤト</t>
  </si>
  <si>
    <t>R010676615</t>
  </si>
  <si>
    <t>竹内　崇士</t>
  </si>
  <si>
    <t>タケウチ　ソウシ</t>
  </si>
  <si>
    <t>R010653162</t>
  </si>
  <si>
    <t>竹尾　理志</t>
  </si>
  <si>
    <t>タケオ　サトシ</t>
  </si>
  <si>
    <t>R010546279</t>
  </si>
  <si>
    <t>竹嶋　優</t>
  </si>
  <si>
    <t>タケシマ　ユウ</t>
  </si>
  <si>
    <t>R010642021</t>
  </si>
  <si>
    <t>竹田　皓一</t>
  </si>
  <si>
    <t>タケタ　コウイチ</t>
  </si>
  <si>
    <t>R010653574</t>
  </si>
  <si>
    <t>武田　有冴</t>
  </si>
  <si>
    <t>タケダ　ユウゴ</t>
  </si>
  <si>
    <t>R010746649</t>
  </si>
  <si>
    <t>武田　豊</t>
  </si>
  <si>
    <t>タケダ　ユタカ</t>
  </si>
  <si>
    <t>R010586318</t>
  </si>
  <si>
    <t>竹友　勝虎</t>
  </si>
  <si>
    <t>タケトモ　カツト</t>
  </si>
  <si>
    <t>R007335127</t>
  </si>
  <si>
    <t>竹中　啓司</t>
  </si>
  <si>
    <t>タケナカ　ケイジ</t>
  </si>
  <si>
    <t>R010656681</t>
  </si>
  <si>
    <t>竹永　涼夢</t>
  </si>
  <si>
    <t>タケナガ　リム</t>
  </si>
  <si>
    <t>R010542181</t>
  </si>
  <si>
    <t>竹本　哲也</t>
  </si>
  <si>
    <t>タケモト　テツヤ</t>
  </si>
  <si>
    <t>R010604117</t>
  </si>
  <si>
    <t>竹本　徠愛</t>
  </si>
  <si>
    <t>タケモト　リイナ</t>
  </si>
  <si>
    <t>R010714981</t>
  </si>
  <si>
    <t>竹本　蓮</t>
  </si>
  <si>
    <t>タケモト　レン</t>
  </si>
  <si>
    <t>R010728146</t>
  </si>
  <si>
    <t>武吉　翔平</t>
  </si>
  <si>
    <t>タケヨシ　ショウヘイ</t>
  </si>
  <si>
    <t>R010700307</t>
  </si>
  <si>
    <t>田阪　将平</t>
  </si>
  <si>
    <t>タサカ　ショウヘイ</t>
  </si>
  <si>
    <t>R010661148</t>
  </si>
  <si>
    <t>田崎　順嗣</t>
  </si>
  <si>
    <t>タサキ　ジユンジ</t>
  </si>
  <si>
    <t>R010306446</t>
  </si>
  <si>
    <t>多嶋田　尚平</t>
  </si>
  <si>
    <t>タシマダ　ショウヘイ</t>
  </si>
  <si>
    <t>R004371818</t>
  </si>
  <si>
    <t>田代　修三</t>
  </si>
  <si>
    <t>タシロ　シュウゾウ</t>
  </si>
  <si>
    <t>R010613638</t>
  </si>
  <si>
    <t>田代　真士</t>
  </si>
  <si>
    <t>タシロ　マサシ</t>
  </si>
  <si>
    <t>R010687756</t>
  </si>
  <si>
    <t>田多　智晴</t>
  </si>
  <si>
    <t>タダ　トモハル</t>
  </si>
  <si>
    <t>R010728130</t>
  </si>
  <si>
    <t>立花　煉</t>
  </si>
  <si>
    <t>タチバナ　レン</t>
  </si>
  <si>
    <t>R010642039</t>
  </si>
  <si>
    <t>立川　粋人</t>
  </si>
  <si>
    <t>タツカワ　キヨト</t>
  </si>
  <si>
    <t>R010685254</t>
  </si>
  <si>
    <t>田中　冠舟</t>
  </si>
  <si>
    <t>タナカ　カンシュウ</t>
  </si>
  <si>
    <t>R010638069</t>
  </si>
  <si>
    <t>田中　脩翔</t>
  </si>
  <si>
    <t>R010678828</t>
  </si>
  <si>
    <t>田中　翔</t>
  </si>
  <si>
    <t>タナカ　ショウ</t>
  </si>
  <si>
    <t>R010638055</t>
  </si>
  <si>
    <t>田中　誠</t>
  </si>
  <si>
    <t>タナカ　マコト</t>
  </si>
  <si>
    <t>R010538395</t>
  </si>
  <si>
    <t>田中　悠陽</t>
  </si>
  <si>
    <t>タナカ　ユウヒ</t>
  </si>
  <si>
    <t>タナカ　ルイ</t>
  </si>
  <si>
    <t>R010638046</t>
  </si>
  <si>
    <t>田邉　研昇</t>
  </si>
  <si>
    <t>タナベ　ケント</t>
  </si>
  <si>
    <t>R007728503</t>
  </si>
  <si>
    <t>田邊　政治</t>
  </si>
  <si>
    <t>タナベ　マサハル</t>
  </si>
  <si>
    <t>R010691473</t>
  </si>
  <si>
    <t>谷　悠真</t>
  </si>
  <si>
    <t>タニ　ユウマ</t>
  </si>
  <si>
    <t>R010542175</t>
  </si>
  <si>
    <t>谷川　勝利</t>
  </si>
  <si>
    <t>タニガワ　カツトシ</t>
  </si>
  <si>
    <t>R008798484</t>
  </si>
  <si>
    <t>谷川　潤弥</t>
  </si>
  <si>
    <t>タニガワ　ジュンヤ</t>
  </si>
  <si>
    <t>R010546271</t>
  </si>
  <si>
    <t>谷口　流星心</t>
  </si>
  <si>
    <t>タニグチ　スバル</t>
  </si>
  <si>
    <t>R010685246</t>
  </si>
  <si>
    <t>田吹　奏太</t>
  </si>
  <si>
    <t>タブキ　カナタ</t>
  </si>
  <si>
    <t>R010746603</t>
  </si>
  <si>
    <t>田吹　将</t>
  </si>
  <si>
    <t>タブキ　マサシ</t>
  </si>
  <si>
    <t>R010728148</t>
  </si>
  <si>
    <t>玉井　葉夏</t>
  </si>
  <si>
    <t>タマイ　ハナ</t>
  </si>
  <si>
    <t>R010604095</t>
  </si>
  <si>
    <t>玉正　龍蒼</t>
  </si>
  <si>
    <t>タマショウ　リュウソウ</t>
  </si>
  <si>
    <t>R010600674</t>
  </si>
  <si>
    <t>玉永　史春</t>
  </si>
  <si>
    <t>タマナガ　フミハル</t>
  </si>
  <si>
    <t>R010549368</t>
  </si>
  <si>
    <t>田村　音羽</t>
  </si>
  <si>
    <t>タムラ　オトハ</t>
  </si>
  <si>
    <t>R010281809</t>
  </si>
  <si>
    <t>田村　拓也</t>
  </si>
  <si>
    <t>タムラ　タクヤ</t>
  </si>
  <si>
    <t>R001251753</t>
  </si>
  <si>
    <t>ダテ　ヨウスケ</t>
  </si>
  <si>
    <t>R010728108</t>
  </si>
  <si>
    <t>団塚　智幸</t>
  </si>
  <si>
    <t>ダンヅカ　トモユキ</t>
  </si>
  <si>
    <t>R010698147</t>
  </si>
  <si>
    <t>団塚　浩</t>
  </si>
  <si>
    <t>ダンヅカ　ヒロシ</t>
  </si>
  <si>
    <t>R010513889</t>
  </si>
  <si>
    <t>近砂　覚志</t>
  </si>
  <si>
    <t>チカスナ　サトシ</t>
  </si>
  <si>
    <t>R010613613</t>
  </si>
  <si>
    <t>地原　陽斗</t>
  </si>
  <si>
    <t>チハラ　ハルト</t>
  </si>
  <si>
    <t>R010552563</t>
  </si>
  <si>
    <t>津崎　亮佑</t>
  </si>
  <si>
    <t>ツザキ　リョウスケ</t>
  </si>
  <si>
    <t>R010093455</t>
  </si>
  <si>
    <t>津田　敬太</t>
  </si>
  <si>
    <t>ツダ　ケイタ</t>
  </si>
  <si>
    <t>R010189345</t>
  </si>
  <si>
    <t>筒井　愛</t>
  </si>
  <si>
    <t>ツツイ　アイ</t>
  </si>
  <si>
    <t>R006937089</t>
  </si>
  <si>
    <t>津守　翔太</t>
  </si>
  <si>
    <t>ツモリ　ショウタ</t>
  </si>
  <si>
    <t>R010444506</t>
  </si>
  <si>
    <t>鶴原　楓也</t>
  </si>
  <si>
    <t>ツルハラ　フウヤ</t>
  </si>
  <si>
    <t>R010728121</t>
  </si>
  <si>
    <t>手島　蕾翔</t>
  </si>
  <si>
    <t>テシマ　ライト</t>
  </si>
  <si>
    <t>R001258613</t>
  </si>
  <si>
    <t>出口　功</t>
  </si>
  <si>
    <t>デグチ　イサオ</t>
  </si>
  <si>
    <t>R010689084</t>
  </si>
  <si>
    <t>出口　雅也</t>
  </si>
  <si>
    <t>デグチ　マサヤ</t>
  </si>
  <si>
    <t>R010583759</t>
  </si>
  <si>
    <t>出口　湧也</t>
  </si>
  <si>
    <t>デグチ　ユウヤ</t>
  </si>
  <si>
    <t>R010715006</t>
  </si>
  <si>
    <t>當麻　晃基</t>
  </si>
  <si>
    <t>トウマ　コウキ</t>
  </si>
  <si>
    <t>R010542168</t>
  </si>
  <si>
    <t>時松　辰行</t>
  </si>
  <si>
    <t>トキマツ　タツユキ</t>
  </si>
  <si>
    <t>R010093499</t>
  </si>
  <si>
    <t>徳丸　淳治</t>
  </si>
  <si>
    <t>トクマル　ジュンジ</t>
  </si>
  <si>
    <t>R010538380</t>
  </si>
  <si>
    <t>得丸　宗志</t>
  </si>
  <si>
    <t>トクマル　ソウシ</t>
  </si>
  <si>
    <t>R001258695</t>
  </si>
  <si>
    <t>徳丸　英明</t>
  </si>
  <si>
    <t>トクマル　ヒデアキ</t>
  </si>
  <si>
    <t>R001258686</t>
  </si>
  <si>
    <t>得丸　政徳</t>
  </si>
  <si>
    <t>トクマル　マサノリ</t>
  </si>
  <si>
    <t>R010379064</t>
  </si>
  <si>
    <t>都甲　空</t>
  </si>
  <si>
    <t>トゴウ　ソラ</t>
  </si>
  <si>
    <t>R010684109</t>
  </si>
  <si>
    <t>利光　蒼太</t>
  </si>
  <si>
    <t>トシミツ　ソウタ</t>
  </si>
  <si>
    <t>R010685165</t>
  </si>
  <si>
    <t>利光　洋介</t>
  </si>
  <si>
    <t>トシミツ　ヨウスケ</t>
  </si>
  <si>
    <t>R010159150</t>
  </si>
  <si>
    <t>戸田　汐音</t>
  </si>
  <si>
    <t>トダ　シオン</t>
  </si>
  <si>
    <t>R010046512</t>
  </si>
  <si>
    <t>十時　優介</t>
  </si>
  <si>
    <t>トトキ　ユウスケ</t>
  </si>
  <si>
    <t>R010415910</t>
  </si>
  <si>
    <t>笘川　銀雅</t>
  </si>
  <si>
    <t>トマカワ　ギンガ</t>
  </si>
  <si>
    <t>R010415915</t>
  </si>
  <si>
    <t>友永　弥</t>
  </si>
  <si>
    <t>トモナガ　ワタル</t>
  </si>
  <si>
    <t>R010660814</t>
  </si>
  <si>
    <t>友松　駿斗</t>
  </si>
  <si>
    <t>トモマツ　シュント</t>
  </si>
  <si>
    <t>R010100678</t>
  </si>
  <si>
    <t>友松　誠二</t>
  </si>
  <si>
    <t>トモマツ　セイジ</t>
  </si>
  <si>
    <t>R010604767</t>
  </si>
  <si>
    <t>豊田　葵</t>
  </si>
  <si>
    <t>トヨダ　アオイ</t>
  </si>
  <si>
    <t>R003421170</t>
  </si>
  <si>
    <t>豊田　裕司</t>
  </si>
  <si>
    <t>トヨダ　ヒロシ</t>
  </si>
  <si>
    <t>R010576389</t>
  </si>
  <si>
    <t>直野　優斗</t>
  </si>
  <si>
    <t>ナオノ　ユウト</t>
  </si>
  <si>
    <t>R010737000</t>
  </si>
  <si>
    <t>仲　凌生</t>
  </si>
  <si>
    <t>ナカ　リョウセイ</t>
  </si>
  <si>
    <t>R004793931</t>
  </si>
  <si>
    <t>中川　勝裕</t>
  </si>
  <si>
    <t>ナカガワ　カツヒロ</t>
  </si>
  <si>
    <t>R001258880</t>
  </si>
  <si>
    <t>中川　俊哉</t>
  </si>
  <si>
    <t>ナカガワ　トシヤ</t>
  </si>
  <si>
    <t>ナカガワ　ハルキ</t>
  </si>
  <si>
    <t>R010638064</t>
  </si>
  <si>
    <t>中倉　奏歌</t>
  </si>
  <si>
    <t>ナカクラ　ソウタ</t>
  </si>
  <si>
    <t>R002530329</t>
  </si>
  <si>
    <t>中島　大成</t>
  </si>
  <si>
    <t>ナカシマ　オオナリ</t>
  </si>
  <si>
    <t>R010613608</t>
  </si>
  <si>
    <t>中島　拓郎</t>
  </si>
  <si>
    <t>ナカシマ　タクロウ</t>
  </si>
  <si>
    <t>R010396594</t>
  </si>
  <si>
    <t>中島　忠伸</t>
  </si>
  <si>
    <t>ナカシマ　タダノブ</t>
  </si>
  <si>
    <t>R010684100</t>
  </si>
  <si>
    <t>中島　大介</t>
  </si>
  <si>
    <t>ナカシマ　ダイスケ</t>
  </si>
  <si>
    <t>R001258914</t>
  </si>
  <si>
    <t>中嶋　結孝</t>
  </si>
  <si>
    <t>ナカジマ　ユウコウ</t>
  </si>
  <si>
    <t>R010642024</t>
  </si>
  <si>
    <t>中津留　正三</t>
  </si>
  <si>
    <t>ナカツル　ショウゾウ</t>
  </si>
  <si>
    <t>R002917412</t>
  </si>
  <si>
    <t>中西　智彦</t>
  </si>
  <si>
    <t>ナカニシ　トモヒコ</t>
  </si>
  <si>
    <t>R010546313</t>
  </si>
  <si>
    <t>中根　漸</t>
  </si>
  <si>
    <t>ナカネ　ゼン</t>
  </si>
  <si>
    <t>R010642072</t>
  </si>
  <si>
    <t>中根　晴希</t>
  </si>
  <si>
    <t>ナカネ　ハルキ</t>
  </si>
  <si>
    <t>R001259038</t>
  </si>
  <si>
    <t>中根　幹雄</t>
  </si>
  <si>
    <t>ナカネ　ミキオ</t>
  </si>
  <si>
    <t>R010281799</t>
  </si>
  <si>
    <t>中野　明</t>
  </si>
  <si>
    <t>ナカノ　アキラ</t>
  </si>
  <si>
    <t>R001259056</t>
  </si>
  <si>
    <t>中野　俊宏</t>
  </si>
  <si>
    <t>ナカノ　トシヒロ</t>
  </si>
  <si>
    <t>R010586304</t>
  </si>
  <si>
    <t>中野　友晶</t>
  </si>
  <si>
    <t>ナカノ　トモアキ</t>
  </si>
  <si>
    <t>R010093448</t>
  </si>
  <si>
    <t>中野　智博</t>
  </si>
  <si>
    <t>ナカノ　トモヒロ</t>
  </si>
  <si>
    <t>R010593968</t>
  </si>
  <si>
    <t>仲野　雅貴</t>
  </si>
  <si>
    <t>R010281853</t>
  </si>
  <si>
    <t>中野　竜太</t>
  </si>
  <si>
    <t>ナカノ　リュウタ</t>
  </si>
  <si>
    <t>R010688484</t>
  </si>
  <si>
    <t>中畑　晴和</t>
  </si>
  <si>
    <t>ナカハタ　ハルト</t>
  </si>
  <si>
    <t>R006574394</t>
  </si>
  <si>
    <t>中畑　光宏</t>
  </si>
  <si>
    <t>ナカハタ　ミツヒロ</t>
  </si>
  <si>
    <t>R010746632</t>
  </si>
  <si>
    <t>中堀　定</t>
  </si>
  <si>
    <t>ナカボリ　サダム</t>
  </si>
  <si>
    <t>R001251896</t>
  </si>
  <si>
    <t>中間　敏彦</t>
  </si>
  <si>
    <t>ナカマ　トシヒコ</t>
  </si>
  <si>
    <t>R010538378</t>
  </si>
  <si>
    <t>中村　海晴</t>
  </si>
  <si>
    <t>ナカムラ　カイセイ</t>
  </si>
  <si>
    <t>R003316948</t>
  </si>
  <si>
    <t>中村　冴里</t>
  </si>
  <si>
    <t>ナカムラ　サエリ</t>
  </si>
  <si>
    <t>R009197585</t>
  </si>
  <si>
    <t>中村　智美</t>
  </si>
  <si>
    <t>ナカムラ　トモミ</t>
  </si>
  <si>
    <t>R010599608</t>
  </si>
  <si>
    <t>仲村　晃瑠</t>
  </si>
  <si>
    <t>ナカムラ　ヒカル</t>
  </si>
  <si>
    <t>R001251911</t>
  </si>
  <si>
    <t>中村　真彦</t>
  </si>
  <si>
    <t>ナカムラ　マサヒコ</t>
  </si>
  <si>
    <t>R010728147</t>
  </si>
  <si>
    <t>中山　大我</t>
  </si>
  <si>
    <t>ナカヤマ　オオガ</t>
  </si>
  <si>
    <t>R010240580</t>
  </si>
  <si>
    <t>永井　智大</t>
  </si>
  <si>
    <t>ナガイ　トモヒロ</t>
  </si>
  <si>
    <t>R010546316</t>
  </si>
  <si>
    <t>永井　陽</t>
  </si>
  <si>
    <t>ナガイ　ハル</t>
  </si>
  <si>
    <t>R010714976</t>
  </si>
  <si>
    <t>長尾　晟太朗</t>
  </si>
  <si>
    <t>ナガオ　セイタロウ</t>
  </si>
  <si>
    <t>R010281817</t>
  </si>
  <si>
    <t>永尾　透</t>
  </si>
  <si>
    <t>ナガオ　トオル</t>
  </si>
  <si>
    <t>R010687790</t>
  </si>
  <si>
    <t>永嶋　竜太朗</t>
  </si>
  <si>
    <t>ナガシマ　リュウタロウ</t>
  </si>
  <si>
    <t>R010656670</t>
  </si>
  <si>
    <t>永冨　斗</t>
  </si>
  <si>
    <t>ナガトミ　トワ</t>
  </si>
  <si>
    <t>R010719607</t>
  </si>
  <si>
    <t>永野　貴碩</t>
  </si>
  <si>
    <t>ナガノ　キセキ</t>
  </si>
  <si>
    <t>R010465597</t>
  </si>
  <si>
    <t>長野　武史</t>
  </si>
  <si>
    <t>ナガノ　タケシ</t>
  </si>
  <si>
    <t>R010676601</t>
  </si>
  <si>
    <t>長野　諄也</t>
  </si>
  <si>
    <t>ナガノ　トモヤ</t>
  </si>
  <si>
    <t>R010687760</t>
  </si>
  <si>
    <t>長野　仁樹</t>
  </si>
  <si>
    <t>ナガノ　ニキ</t>
  </si>
  <si>
    <t>R010259414</t>
  </si>
  <si>
    <t>永松　和寿</t>
  </si>
  <si>
    <t>ナガマツ　カズトシ</t>
  </si>
  <si>
    <t>R010719605</t>
  </si>
  <si>
    <t>永松　涼介</t>
  </si>
  <si>
    <t>ナガマツ　リョウスケ</t>
  </si>
  <si>
    <t>R010676590</t>
  </si>
  <si>
    <t>長光　飛輝</t>
  </si>
  <si>
    <t>ナガミツ　トキ</t>
  </si>
  <si>
    <t>R005527353</t>
  </si>
  <si>
    <t>永山　正樹</t>
  </si>
  <si>
    <t>ナガヤマ　マサキ</t>
  </si>
  <si>
    <t>R010193705</t>
  </si>
  <si>
    <t>長山　祐介</t>
  </si>
  <si>
    <t>ナガヤマ　ユウスケ</t>
  </si>
  <si>
    <t>R005987403</t>
  </si>
  <si>
    <t>流川　新</t>
  </si>
  <si>
    <t>ナガレカワ　アラタ</t>
  </si>
  <si>
    <t>R009072295</t>
  </si>
  <si>
    <t>奈須野　安侑里</t>
  </si>
  <si>
    <t>ナスノ　アユリ</t>
  </si>
  <si>
    <t>R010579051</t>
  </si>
  <si>
    <t>新名　桜晟</t>
  </si>
  <si>
    <t>ニイナ　オウセイ</t>
  </si>
  <si>
    <t>R010604765</t>
  </si>
  <si>
    <t>西　海輝</t>
  </si>
  <si>
    <t>ニシ　カイキ</t>
  </si>
  <si>
    <t>R010714999</t>
  </si>
  <si>
    <t>西江　真翔</t>
  </si>
  <si>
    <t>ニシエ　マナト</t>
  </si>
  <si>
    <t>R010576375</t>
  </si>
  <si>
    <t>西尾　晃空</t>
  </si>
  <si>
    <t>ニシオ　コウア</t>
  </si>
  <si>
    <t>R004386023</t>
  </si>
  <si>
    <t>西尾　拓之</t>
  </si>
  <si>
    <t>ニシオ　ヒロユキ</t>
  </si>
  <si>
    <t>R001251957</t>
  </si>
  <si>
    <t>西岡　京一郎</t>
  </si>
  <si>
    <t>ニシオカ　ケイイチロウ</t>
  </si>
  <si>
    <t>R010538313</t>
  </si>
  <si>
    <t>西角　航兵</t>
  </si>
  <si>
    <t>ニシカド　コウヘイ</t>
  </si>
  <si>
    <t>R010396501</t>
  </si>
  <si>
    <t>西田　翔</t>
  </si>
  <si>
    <t>ニシダ　ショウ</t>
  </si>
  <si>
    <t>R010691462</t>
  </si>
  <si>
    <t>西本　達哉</t>
  </si>
  <si>
    <t>ニシモト　タツヤ</t>
  </si>
  <si>
    <t>R010465601</t>
  </si>
  <si>
    <t>西山　純平</t>
  </si>
  <si>
    <t>ニシヤマ　ジュンペイ</t>
  </si>
  <si>
    <t>R010746613</t>
  </si>
  <si>
    <t>蜷川　勇来</t>
  </si>
  <si>
    <t>ニナガワ　ユライ</t>
  </si>
  <si>
    <t>R010261589</t>
  </si>
  <si>
    <t>二宮　慶太</t>
  </si>
  <si>
    <t>ニノミヤ　ケイタ</t>
  </si>
  <si>
    <t>R010678821</t>
  </si>
  <si>
    <t>二宮　秀太</t>
  </si>
  <si>
    <t>ニノミヤ　シュウタ</t>
  </si>
  <si>
    <t>R010576379</t>
  </si>
  <si>
    <t>二宮　駿太</t>
  </si>
  <si>
    <t>ニノミヤ　シュンタ</t>
  </si>
  <si>
    <t>R010583782</t>
  </si>
  <si>
    <t>二宮　颯春</t>
  </si>
  <si>
    <t>ニノミヤ　ソウシュン</t>
  </si>
  <si>
    <t>R010465600</t>
  </si>
  <si>
    <t>二宮　鯛介</t>
  </si>
  <si>
    <t>ニノミヤ　タイスケ</t>
  </si>
  <si>
    <t>R010281837</t>
  </si>
  <si>
    <t>二宮　大己</t>
  </si>
  <si>
    <t>ニノミヤ　ダイキ</t>
  </si>
  <si>
    <t>R010096809</t>
  </si>
  <si>
    <t>二宮　大作</t>
  </si>
  <si>
    <t>ニノミヤ　ダイサク</t>
  </si>
  <si>
    <t>R010684140</t>
  </si>
  <si>
    <t>二宮　陽詩</t>
  </si>
  <si>
    <t>ニノミヤ　ヒナタ</t>
  </si>
  <si>
    <t>R004055664</t>
  </si>
  <si>
    <t>二宮　康彰</t>
  </si>
  <si>
    <t>ニノミヤ　ヤスアキ</t>
  </si>
  <si>
    <t>R010728139</t>
  </si>
  <si>
    <t>丹生　昂亨</t>
  </si>
  <si>
    <t>ニュウ　タカユキ</t>
  </si>
  <si>
    <t>R010390433</t>
  </si>
  <si>
    <t>庭瀬　元希</t>
  </si>
  <si>
    <t>ニワセ　ゲンキ</t>
  </si>
  <si>
    <t>R010376301</t>
  </si>
  <si>
    <t>野上　拳跳</t>
  </si>
  <si>
    <t>ノガミ　ケント</t>
  </si>
  <si>
    <t>R002917333</t>
  </si>
  <si>
    <t>野口　康二郎</t>
  </si>
  <si>
    <t>ノグチ　コウジロウ</t>
  </si>
  <si>
    <t>R010719600</t>
  </si>
  <si>
    <t>野口　智隆</t>
  </si>
  <si>
    <t>ノグチ　トモタカ</t>
  </si>
  <si>
    <t>R010579141</t>
  </si>
  <si>
    <t>野尻　憲慎</t>
  </si>
  <si>
    <t>ノジリ　ケンシン</t>
  </si>
  <si>
    <t>R010453583</t>
  </si>
  <si>
    <t>野尻　慎之助</t>
  </si>
  <si>
    <t>ノジリ　シンノスケ</t>
  </si>
  <si>
    <t>R010689459</t>
  </si>
  <si>
    <t>野尻　聖斗</t>
  </si>
  <si>
    <t>ノジリ　セイト</t>
  </si>
  <si>
    <t>R005527830</t>
  </si>
  <si>
    <t>野尻　崇</t>
  </si>
  <si>
    <t>ノジリ　タカシ</t>
  </si>
  <si>
    <t>R010638043</t>
  </si>
  <si>
    <t>野田　泰紀</t>
  </si>
  <si>
    <t>ノダ　タイキ</t>
  </si>
  <si>
    <t>R010576383</t>
  </si>
  <si>
    <t>野仲　晃生</t>
  </si>
  <si>
    <t>ノナカ　コウセイ</t>
  </si>
  <si>
    <t>R006125736</t>
  </si>
  <si>
    <t>野村　哲也</t>
  </si>
  <si>
    <t>ノムラ　テツヤ</t>
  </si>
  <si>
    <t>R006544278</t>
  </si>
  <si>
    <t>則次　祐介</t>
  </si>
  <si>
    <t>ノリツギ　ユウスケ</t>
  </si>
  <si>
    <t>R010352972</t>
  </si>
  <si>
    <t>間　勇翔</t>
  </si>
  <si>
    <t>ハザマ　ユウショウ</t>
  </si>
  <si>
    <t>R010660804</t>
  </si>
  <si>
    <t>橋口　優斗</t>
  </si>
  <si>
    <t>ハシグチ　ユウト</t>
  </si>
  <si>
    <t>R006221012</t>
  </si>
  <si>
    <t>橋本　敏邦</t>
  </si>
  <si>
    <t>ハシモト　トシクニ</t>
  </si>
  <si>
    <t>R010656691</t>
  </si>
  <si>
    <t>長谷雄　大和</t>
  </si>
  <si>
    <t>ハセオ　ヤマト</t>
  </si>
  <si>
    <t>R010746653</t>
  </si>
  <si>
    <t>秦　宗一朗</t>
  </si>
  <si>
    <t>ハタ　ソウイチロウ</t>
  </si>
  <si>
    <t>R010687462</t>
  </si>
  <si>
    <t>波多野　瑛斗</t>
  </si>
  <si>
    <t>ハタノ　エイト</t>
  </si>
  <si>
    <t>R010007845</t>
  </si>
  <si>
    <t>波多野　政美</t>
  </si>
  <si>
    <t>ハタノ　マサミ</t>
  </si>
  <si>
    <t>R010347358</t>
  </si>
  <si>
    <t>畑辺　康年</t>
  </si>
  <si>
    <t>ハタベ　ヤストシ</t>
  </si>
  <si>
    <t>R010542191</t>
  </si>
  <si>
    <t>羽立　智宣</t>
  </si>
  <si>
    <t>ハダテ　トモノリ</t>
  </si>
  <si>
    <t>R010544476</t>
  </si>
  <si>
    <t>羽田野　天空</t>
  </si>
  <si>
    <t>ハダノ　ソラ</t>
  </si>
  <si>
    <t>R010714972</t>
  </si>
  <si>
    <t>羽田野　雄大</t>
  </si>
  <si>
    <t>ハダノ　ユウト</t>
  </si>
  <si>
    <t>R003421116</t>
  </si>
  <si>
    <t>波津久　雄平</t>
  </si>
  <si>
    <t>ハツク　ユウヘイ</t>
  </si>
  <si>
    <t>R010468353</t>
  </si>
  <si>
    <t>花宮　龍之介</t>
  </si>
  <si>
    <t>ハナミヤ　リュウノスケ</t>
  </si>
  <si>
    <t>R010653584</t>
  </si>
  <si>
    <t>濱岡　奏也</t>
  </si>
  <si>
    <t>ハマオカ　ソウヤ</t>
  </si>
  <si>
    <t>R001259579</t>
  </si>
  <si>
    <t>濱崎　賢一</t>
  </si>
  <si>
    <t>ハマサキ　ケンイチ</t>
  </si>
  <si>
    <t>R010352977</t>
  </si>
  <si>
    <t>濱砂　樹</t>
  </si>
  <si>
    <t>ハマスナ　イツキ</t>
  </si>
  <si>
    <t>R010719614</t>
  </si>
  <si>
    <t>濵砂　詩虎</t>
  </si>
  <si>
    <t>ハマスナ　ウタトラ</t>
  </si>
  <si>
    <t>R006221100</t>
  </si>
  <si>
    <t>浜町　隆蒔</t>
  </si>
  <si>
    <t>ハママチ　リュウジ</t>
  </si>
  <si>
    <t>R010661140</t>
  </si>
  <si>
    <t>林　知徳</t>
  </si>
  <si>
    <t>ハヤシ　トモノリ</t>
  </si>
  <si>
    <t>R010728114</t>
  </si>
  <si>
    <t>林　裕樹</t>
  </si>
  <si>
    <t>ハヤシ　ユウキ</t>
  </si>
  <si>
    <t>R010396503</t>
  </si>
  <si>
    <t>林田　健太</t>
  </si>
  <si>
    <t>ハヤシダ　ケンタ</t>
  </si>
  <si>
    <t>R010613636</t>
  </si>
  <si>
    <t>早見　裕基</t>
  </si>
  <si>
    <t>ハヤミ　ユウキ</t>
  </si>
  <si>
    <t>R006220095</t>
  </si>
  <si>
    <t>原　正佳</t>
  </si>
  <si>
    <t>ハラ　マサヨシ</t>
  </si>
  <si>
    <t>R010689531</t>
  </si>
  <si>
    <t>原　稜磨</t>
  </si>
  <si>
    <t>ハラ　リョウマ</t>
  </si>
  <si>
    <t>原田　煌也</t>
  </si>
  <si>
    <t>R010189330</t>
  </si>
  <si>
    <t>原田　裕規</t>
  </si>
  <si>
    <t>ハラダ　ユウキ</t>
  </si>
  <si>
    <t>R010698151</t>
  </si>
  <si>
    <t>春田　喜介</t>
  </si>
  <si>
    <t>ハルタ　キスケ</t>
  </si>
  <si>
    <t>R010687765</t>
  </si>
  <si>
    <t>飯田　佳亮</t>
  </si>
  <si>
    <t>ハンダ　ケイスケ</t>
  </si>
  <si>
    <t>R010687769</t>
  </si>
  <si>
    <t>飯田　侑平</t>
  </si>
  <si>
    <t>ハンダ　ユウヘイ</t>
  </si>
  <si>
    <t>R010540705</t>
  </si>
  <si>
    <t>馬場　晴大</t>
  </si>
  <si>
    <t>ババ　ハルト</t>
  </si>
  <si>
    <t>R004111605</t>
  </si>
  <si>
    <t>馬場　睦紀</t>
  </si>
  <si>
    <t>ババ　ムツキ</t>
  </si>
  <si>
    <t>R010604070</t>
  </si>
  <si>
    <t>馬場　悠士郎</t>
  </si>
  <si>
    <t>ババ　ユウシロウ</t>
  </si>
  <si>
    <t>R010601878</t>
  </si>
  <si>
    <t>日浦　慶至</t>
  </si>
  <si>
    <t>ヒウラ　ケイシ</t>
  </si>
  <si>
    <t>R010376345</t>
  </si>
  <si>
    <t>東　大晟</t>
  </si>
  <si>
    <t>ヒガシ　タイセイ</t>
  </si>
  <si>
    <t>R010613642</t>
  </si>
  <si>
    <t>東　拓史</t>
  </si>
  <si>
    <t>ヒガシ　タクミ</t>
  </si>
  <si>
    <t>R010604124</t>
  </si>
  <si>
    <t>東　美月</t>
  </si>
  <si>
    <t>ヒガシ　ミヅキ</t>
  </si>
  <si>
    <t>R010468362</t>
  </si>
  <si>
    <t>疋田　真吾</t>
  </si>
  <si>
    <t>ヒキダ　シンゴ</t>
  </si>
  <si>
    <t>R010376333</t>
  </si>
  <si>
    <t>日隈　駿</t>
  </si>
  <si>
    <t>ヒグマ　シュン</t>
  </si>
  <si>
    <t>R010685240</t>
  </si>
  <si>
    <t>日隈　心靖</t>
  </si>
  <si>
    <t>ヒグマ　シンセイ</t>
  </si>
  <si>
    <t>R010715001</t>
  </si>
  <si>
    <t>菱川　暁翔</t>
  </si>
  <si>
    <t>ヒシカワ　アキト</t>
  </si>
  <si>
    <t>R010700316</t>
  </si>
  <si>
    <t>日野　颯太</t>
  </si>
  <si>
    <t>ヒノ　ソウタ</t>
  </si>
  <si>
    <t>R010576367</t>
  </si>
  <si>
    <t>日野　那音</t>
  </si>
  <si>
    <t>ヒノ　ナオト</t>
  </si>
  <si>
    <t>R010243665</t>
  </si>
  <si>
    <t>姫野　青空</t>
  </si>
  <si>
    <t>ヒメノ　ソラ</t>
  </si>
  <si>
    <t>R010449907</t>
  </si>
  <si>
    <t>姫野　太一</t>
  </si>
  <si>
    <t>ヒメノ　タイチ</t>
  </si>
  <si>
    <t>R010027875</t>
  </si>
  <si>
    <t>姫野　太輔</t>
  </si>
  <si>
    <t>ヒメノ　ダイスケ</t>
  </si>
  <si>
    <t>R010376279</t>
  </si>
  <si>
    <t>姫野　雅俊</t>
  </si>
  <si>
    <t>ヒメノ　マサトシ</t>
  </si>
  <si>
    <t>R010542187</t>
  </si>
  <si>
    <t>兵頭　哲也</t>
  </si>
  <si>
    <t>ヒョウドウ　テツヤ</t>
  </si>
  <si>
    <t>R010642077</t>
  </si>
  <si>
    <t>平井　桜晴</t>
  </si>
  <si>
    <t>ヒライ　オウセイ</t>
  </si>
  <si>
    <t>R010642074</t>
  </si>
  <si>
    <t>平井　喜暁</t>
  </si>
  <si>
    <t>ヒライ　ヨシアキ</t>
  </si>
  <si>
    <t>R010588867</t>
  </si>
  <si>
    <t>平石　祥梧</t>
  </si>
  <si>
    <t>ヒライシ　ショウゴ</t>
  </si>
  <si>
    <t>R010728150</t>
  </si>
  <si>
    <t>平川　桃子</t>
  </si>
  <si>
    <t>ヒラカワ　モモコ</t>
  </si>
  <si>
    <t>R010601885</t>
  </si>
  <si>
    <t>平川　結偉</t>
  </si>
  <si>
    <t>ヒラカワ　ユウイ</t>
  </si>
  <si>
    <t>R010684117</t>
  </si>
  <si>
    <t>平早水　蒼空</t>
  </si>
  <si>
    <t>ヒラソウズ　ソラ</t>
  </si>
  <si>
    <t>R010676600</t>
  </si>
  <si>
    <t>平田　尚翔</t>
  </si>
  <si>
    <t>ヒラタ　ナオト</t>
  </si>
  <si>
    <t>R008174064</t>
  </si>
  <si>
    <t>平野　道弘</t>
  </si>
  <si>
    <t>ヒラノ　ミチヒロ</t>
  </si>
  <si>
    <t>R010376335</t>
  </si>
  <si>
    <t>平野　泰寛</t>
  </si>
  <si>
    <t>ヒラノ　ヤスヒロ</t>
  </si>
  <si>
    <t>R010214604</t>
  </si>
  <si>
    <t>平林　昭二</t>
  </si>
  <si>
    <t>ヒラバヤシ　ショウジ</t>
  </si>
  <si>
    <t>R010352938</t>
  </si>
  <si>
    <t>平林　拓朗</t>
  </si>
  <si>
    <t>ヒラバヤシ　タクロウ</t>
  </si>
  <si>
    <t>R001260016</t>
  </si>
  <si>
    <t>平原　晃</t>
  </si>
  <si>
    <t>ヒラバラ　アキラ</t>
  </si>
  <si>
    <t>R008797953</t>
  </si>
  <si>
    <t>平原　悟</t>
  </si>
  <si>
    <t>ヒラバラ　サトル</t>
  </si>
  <si>
    <t>R010542207</t>
  </si>
  <si>
    <t>平松　敬章</t>
  </si>
  <si>
    <t>ヒラマツ　タカアキ</t>
  </si>
  <si>
    <t>R010450133</t>
  </si>
  <si>
    <t>平山　雄太</t>
  </si>
  <si>
    <t>ヒラヤマ　コウタ</t>
  </si>
  <si>
    <t>R010660805</t>
  </si>
  <si>
    <t>廣池　樂</t>
  </si>
  <si>
    <t>ヒロイケ　ラク</t>
  </si>
  <si>
    <t>R010678823</t>
  </si>
  <si>
    <t>廣門　胡太朗</t>
  </si>
  <si>
    <t>ヒロカド　コタロウ</t>
  </si>
  <si>
    <t>R010588861</t>
  </si>
  <si>
    <t>廣川　敬太</t>
  </si>
  <si>
    <t>ヒロカワ　ケイタ</t>
  </si>
  <si>
    <t>R008798253</t>
  </si>
  <si>
    <t>廣瀬　尚人</t>
  </si>
  <si>
    <t>ヒロセ　ナオト</t>
  </si>
  <si>
    <t>R010653575</t>
  </si>
  <si>
    <t>廣瀬　帆斗</t>
  </si>
  <si>
    <t>ヒロセ　ハント</t>
  </si>
  <si>
    <t>R010714992</t>
  </si>
  <si>
    <t>廣田　惺我</t>
  </si>
  <si>
    <t>ヒロタ　セイガ</t>
  </si>
  <si>
    <t>R010642068</t>
  </si>
  <si>
    <t>廣田　智納</t>
  </si>
  <si>
    <t>ヒロタ　トモナリ</t>
  </si>
  <si>
    <t>R010714996</t>
  </si>
  <si>
    <t>深尾　一颯</t>
  </si>
  <si>
    <t>フカオ　イブキ</t>
  </si>
  <si>
    <t>R010538370</t>
  </si>
  <si>
    <t>深田　勝弥</t>
  </si>
  <si>
    <t>フカタ　カツヤ</t>
  </si>
  <si>
    <t>R010093449</t>
  </si>
  <si>
    <t>深見　精二</t>
  </si>
  <si>
    <t>フカミ　セイジ</t>
  </si>
  <si>
    <t>R010638059</t>
  </si>
  <si>
    <t>福田　ここな</t>
  </si>
  <si>
    <t>フクダ　ココナ</t>
  </si>
  <si>
    <t>R010653597</t>
  </si>
  <si>
    <t>福田　虎志郎</t>
  </si>
  <si>
    <t>フクダ　コジロウ</t>
  </si>
  <si>
    <t>R010281831</t>
  </si>
  <si>
    <t>福田　紫月</t>
  </si>
  <si>
    <t>フクダ　シヅキ</t>
  </si>
  <si>
    <t>R010714974</t>
  </si>
  <si>
    <t>福田　翼</t>
  </si>
  <si>
    <t>フクダ　ツバサ</t>
  </si>
  <si>
    <t>R010691474</t>
  </si>
  <si>
    <t>藤井　新生</t>
  </si>
  <si>
    <t>フジイ　アラン</t>
  </si>
  <si>
    <t>R010214568</t>
  </si>
  <si>
    <t>藤井　俊輔</t>
  </si>
  <si>
    <t>フジイ　シュンスケ</t>
  </si>
  <si>
    <t>R010599610</t>
  </si>
  <si>
    <t>藤井　智也</t>
  </si>
  <si>
    <t>フジイ　トモヤ</t>
  </si>
  <si>
    <t>R009408825</t>
  </si>
  <si>
    <t>藤井　康之</t>
  </si>
  <si>
    <t>フジイ　ヤスユキ</t>
  </si>
  <si>
    <t>R010352952</t>
  </si>
  <si>
    <t>藤岡　典之</t>
  </si>
  <si>
    <t>フジオカ　ノリユキ</t>
  </si>
  <si>
    <t>R010352946</t>
  </si>
  <si>
    <t>藤田　翔</t>
  </si>
  <si>
    <t>フジタ　カケル</t>
  </si>
  <si>
    <t>フジタ　キョウスケ</t>
  </si>
  <si>
    <t>R010656682</t>
  </si>
  <si>
    <t>藤田　京佑</t>
  </si>
  <si>
    <t>R010638074</t>
  </si>
  <si>
    <t>藤田　淳也</t>
  </si>
  <si>
    <t>フジタ　ジュンヤ</t>
  </si>
  <si>
    <t>R010432652</t>
  </si>
  <si>
    <t>藤田　大幹</t>
  </si>
  <si>
    <t>フジタ　タイキ</t>
  </si>
  <si>
    <t>R010684128</t>
  </si>
  <si>
    <t>藤髙　温希</t>
  </si>
  <si>
    <t>フジタカ　ハルキ</t>
  </si>
  <si>
    <t>R010579139</t>
  </si>
  <si>
    <t>藤戸　瑛太</t>
  </si>
  <si>
    <t>フジト　エイタ</t>
  </si>
  <si>
    <t>R010396574</t>
  </si>
  <si>
    <t>藤野　聖也</t>
  </si>
  <si>
    <t>フジノ　セイヤ</t>
  </si>
  <si>
    <t>R010396505</t>
  </si>
  <si>
    <t>藤野　哲哉</t>
  </si>
  <si>
    <t>フジノ　テツヤ</t>
  </si>
  <si>
    <t>R007090941</t>
  </si>
  <si>
    <t>藤野　誠</t>
  </si>
  <si>
    <t>フジノ　マコト</t>
  </si>
  <si>
    <t>R010396545</t>
  </si>
  <si>
    <t>藤松　秀那</t>
  </si>
  <si>
    <t>フジマツ　シュウナ</t>
  </si>
  <si>
    <t>R003351233</t>
  </si>
  <si>
    <t>藤松　竜也</t>
  </si>
  <si>
    <t>フジマツ　タツヤ</t>
  </si>
  <si>
    <t>R010214617</t>
  </si>
  <si>
    <t>藤本　宏平</t>
  </si>
  <si>
    <t>フジモト　コウヘイ</t>
  </si>
  <si>
    <t>R010613599</t>
  </si>
  <si>
    <t>藤本　貴裕</t>
  </si>
  <si>
    <t>フジモト　タカヒロ</t>
  </si>
  <si>
    <t>R010642078</t>
  </si>
  <si>
    <t>藤山　優斗</t>
  </si>
  <si>
    <t>フジヤマ　ユウト</t>
  </si>
  <si>
    <t>R010421581</t>
  </si>
  <si>
    <t>藤原　翔大</t>
  </si>
  <si>
    <t>フジワラ　ショウタ</t>
  </si>
  <si>
    <t>R010700304</t>
  </si>
  <si>
    <t>藤原　翔平</t>
  </si>
  <si>
    <t>フジワラ　ショウヘイ</t>
  </si>
  <si>
    <t>R010448931</t>
  </si>
  <si>
    <t>藤原　迅</t>
  </si>
  <si>
    <t>フジワラ　ジン</t>
  </si>
  <si>
    <t>R010687465</t>
  </si>
  <si>
    <t>藤原　世</t>
  </si>
  <si>
    <t>フジワラ　セイ</t>
  </si>
  <si>
    <t>R005467945</t>
  </si>
  <si>
    <t>藤原　妙子</t>
  </si>
  <si>
    <t>フジワラ　タエコ</t>
  </si>
  <si>
    <t>R010736990</t>
  </si>
  <si>
    <t>藤原　尚</t>
  </si>
  <si>
    <t>フジワラ　ナオ</t>
  </si>
  <si>
    <t>R010599604</t>
  </si>
  <si>
    <t>淵野　日向</t>
  </si>
  <si>
    <t>フチノ　ヒナタ</t>
  </si>
  <si>
    <t>R010676674</t>
  </si>
  <si>
    <t>舩津　滉太郎</t>
  </si>
  <si>
    <t>フナツ　コウタロウ</t>
  </si>
  <si>
    <t>R010539285</t>
  </si>
  <si>
    <t>冨米野　祐輔</t>
  </si>
  <si>
    <t>フメノ　ユウスケ</t>
  </si>
  <si>
    <t>R010588863</t>
  </si>
  <si>
    <t>古川　士道</t>
  </si>
  <si>
    <t>フルカワ　シドウ</t>
  </si>
  <si>
    <t>R010432642</t>
  </si>
  <si>
    <t>古寺　明日架</t>
  </si>
  <si>
    <t>フルテラ　アスカ</t>
  </si>
  <si>
    <t>R010728152</t>
  </si>
  <si>
    <t>古野　光臥</t>
  </si>
  <si>
    <t>フルノ　コウガ</t>
  </si>
  <si>
    <t>R001260405</t>
  </si>
  <si>
    <t>古畑　親治</t>
  </si>
  <si>
    <t>フルハタ　シンジ</t>
  </si>
  <si>
    <t>R010639576</t>
  </si>
  <si>
    <t>豊東　龍司</t>
  </si>
  <si>
    <t>ブンドウ　リュウジ</t>
  </si>
  <si>
    <t>R002678009</t>
  </si>
  <si>
    <t>保明　栄治</t>
  </si>
  <si>
    <t>ホアキ　エイジ</t>
  </si>
  <si>
    <t>R010715019</t>
  </si>
  <si>
    <t>帆足　太陽</t>
  </si>
  <si>
    <t>ホアシ　タイヨウ</t>
  </si>
  <si>
    <t>R010604120</t>
  </si>
  <si>
    <t>宝珠　咲羽</t>
  </si>
  <si>
    <t>ホウス　サワ</t>
  </si>
  <si>
    <t>R010685257</t>
  </si>
  <si>
    <t>宝珠　将吾</t>
  </si>
  <si>
    <t>ホウス　ショウゴ</t>
  </si>
  <si>
    <t>R010676595</t>
  </si>
  <si>
    <t>星　享佑</t>
  </si>
  <si>
    <t>ホシ　キョウスケ</t>
  </si>
  <si>
    <t>R009484728</t>
  </si>
  <si>
    <t>星野　嵐</t>
  </si>
  <si>
    <t>ホシノ　ラン</t>
  </si>
  <si>
    <t>R010689064</t>
  </si>
  <si>
    <t>堀　菜々美</t>
  </si>
  <si>
    <t>ホリ　ナナミ</t>
  </si>
  <si>
    <t>R010653577</t>
  </si>
  <si>
    <t>堀　愛歩</t>
  </si>
  <si>
    <t>ホリ　マナブ</t>
  </si>
  <si>
    <t>R010687766</t>
  </si>
  <si>
    <t>堀切　鈴央</t>
  </si>
  <si>
    <t>ホリキリ　レオ</t>
  </si>
  <si>
    <t>R010604763</t>
  </si>
  <si>
    <t>堀田　信斗</t>
  </si>
  <si>
    <t>ホリタ　アキト</t>
  </si>
  <si>
    <t>R010586718</t>
  </si>
  <si>
    <t>堀田　詞音</t>
  </si>
  <si>
    <t>ホリタ　シオン</t>
  </si>
  <si>
    <t>R010728128</t>
  </si>
  <si>
    <t>堀田　徠亜</t>
  </si>
  <si>
    <t>ホリタ　ライア</t>
  </si>
  <si>
    <t>R010354651</t>
  </si>
  <si>
    <t>本城　瑛翔</t>
  </si>
  <si>
    <t>ホンジョウ　アキト</t>
  </si>
  <si>
    <t>R010552533</t>
  </si>
  <si>
    <t>本田　敬恭</t>
  </si>
  <si>
    <t>ホンダ　ケイスケ</t>
  </si>
  <si>
    <t>R001258899</t>
  </si>
  <si>
    <t>本田　淳仁</t>
  </si>
  <si>
    <t>ホンダ　ジュンジ</t>
  </si>
  <si>
    <t>R010613593</t>
  </si>
  <si>
    <t>本田　光宣</t>
  </si>
  <si>
    <t>ホンダ　ミツノブ</t>
  </si>
  <si>
    <t>R010583758</t>
  </si>
  <si>
    <t>本田　郁恭</t>
  </si>
  <si>
    <t>ホンダ　ユウスケ</t>
  </si>
  <si>
    <t>R010719603</t>
  </si>
  <si>
    <t>前田　龍心</t>
  </si>
  <si>
    <t>マエダ　リュウシン</t>
  </si>
  <si>
    <t>R010538362</t>
  </si>
  <si>
    <t>牧　優空</t>
  </si>
  <si>
    <t>マキ　ユラ</t>
  </si>
  <si>
    <t>R010714993</t>
  </si>
  <si>
    <t>馬﨑　隆世</t>
  </si>
  <si>
    <t>マサキ　リュウセイ</t>
  </si>
  <si>
    <t>R010687457</t>
  </si>
  <si>
    <t>増田　壮我</t>
  </si>
  <si>
    <t>マスダ　ソウガ</t>
  </si>
  <si>
    <t>R010719622</t>
  </si>
  <si>
    <t>増田　真聡</t>
  </si>
  <si>
    <t>マスダ　マサト</t>
  </si>
  <si>
    <t>R010449558</t>
  </si>
  <si>
    <t>桝永　真斗</t>
  </si>
  <si>
    <t>マスナガ　マナト</t>
  </si>
  <si>
    <t>R010613623</t>
  </si>
  <si>
    <t>松井　悠斗</t>
  </si>
  <si>
    <t>マツイ　ユウト</t>
  </si>
  <si>
    <t>R010746648</t>
  </si>
  <si>
    <t>松浦　統馬</t>
  </si>
  <si>
    <t>マツウラ　トウマ</t>
  </si>
  <si>
    <t>R005528097</t>
  </si>
  <si>
    <t>松尾　国洋</t>
  </si>
  <si>
    <t>マツオ　クニヒロ</t>
  </si>
  <si>
    <t>R007334951</t>
  </si>
  <si>
    <t>松尾　賢一</t>
  </si>
  <si>
    <t>マツオ　ケンイチ</t>
  </si>
  <si>
    <t>R010444487</t>
  </si>
  <si>
    <t>松尾　征吾</t>
  </si>
  <si>
    <t>マツオ　セイゴ</t>
  </si>
  <si>
    <t>R010638085</t>
  </si>
  <si>
    <t>松尾　叶輝優</t>
  </si>
  <si>
    <t>マツオ　トキウ</t>
  </si>
  <si>
    <t>R010448941</t>
  </si>
  <si>
    <t>松尾　晴登</t>
  </si>
  <si>
    <t>マツオ　ハルト</t>
  </si>
  <si>
    <t>R010465583</t>
  </si>
  <si>
    <t>松岡　辰倫</t>
  </si>
  <si>
    <t>マツオカ　タツノリ</t>
  </si>
  <si>
    <t>R010604077</t>
  </si>
  <si>
    <t>松岡　祐太</t>
  </si>
  <si>
    <t>マツオカ　ユウタ</t>
  </si>
  <si>
    <t>R010715018</t>
  </si>
  <si>
    <t>松木　歩潤</t>
  </si>
  <si>
    <t>マツキ　フウル</t>
  </si>
  <si>
    <t>R010604778</t>
  </si>
  <si>
    <t>松木　優飛</t>
  </si>
  <si>
    <t>マツキ　ユウビ</t>
  </si>
  <si>
    <t>R007959723</t>
  </si>
  <si>
    <t>松下　立夫</t>
  </si>
  <si>
    <t>マツシタ　タテオ</t>
  </si>
  <si>
    <t>R010682448</t>
  </si>
  <si>
    <t>松下　直樹</t>
  </si>
  <si>
    <t>マツシタ　ナオキ</t>
  </si>
  <si>
    <t>R010583762</t>
  </si>
  <si>
    <t>松下　未来翔</t>
  </si>
  <si>
    <t>マツシタ　ミクト</t>
  </si>
  <si>
    <t>R010311808</t>
  </si>
  <si>
    <t>松田　信行</t>
  </si>
  <si>
    <t>マツダ　ノブユキ</t>
  </si>
  <si>
    <t>R010604769</t>
  </si>
  <si>
    <t>松胴　煌</t>
  </si>
  <si>
    <t>マツドウ　コウ</t>
  </si>
  <si>
    <t>R010613617</t>
  </si>
  <si>
    <t>松永　康汰</t>
  </si>
  <si>
    <t>マツナガ　コウタ</t>
  </si>
  <si>
    <t>R010432598</t>
  </si>
  <si>
    <t>松原　巧</t>
  </si>
  <si>
    <t>マツバラ　タクミ</t>
  </si>
  <si>
    <t>R010642061</t>
  </si>
  <si>
    <t>松原　大</t>
  </si>
  <si>
    <t>マツバラ　ダイ</t>
  </si>
  <si>
    <t>R007002991</t>
  </si>
  <si>
    <t>松原　広幸</t>
  </si>
  <si>
    <t>マツバラ　ヒロユキ</t>
  </si>
  <si>
    <t>R004714970</t>
  </si>
  <si>
    <t>松原　政司</t>
  </si>
  <si>
    <t>マツバラ　マサシ</t>
  </si>
  <si>
    <t>R010347359</t>
  </si>
  <si>
    <t>松原　唯衣</t>
  </si>
  <si>
    <t>マツバラ　ユイ</t>
  </si>
  <si>
    <t>R010416214</t>
  </si>
  <si>
    <t>松村　未来</t>
  </si>
  <si>
    <t>マツムラ　ミク</t>
  </si>
  <si>
    <t>R010653154</t>
  </si>
  <si>
    <t>松村　夢生</t>
  </si>
  <si>
    <t>マツムラ　メイ</t>
  </si>
  <si>
    <t>R010093445</t>
  </si>
  <si>
    <t>松本　侑樹</t>
  </si>
  <si>
    <t>マツモト　ユウキ</t>
  </si>
  <si>
    <t>R004793940</t>
  </si>
  <si>
    <t>松本　祐輔</t>
  </si>
  <si>
    <t>マツモト　ユウスケ</t>
  </si>
  <si>
    <t>R010715015</t>
  </si>
  <si>
    <t>松本　倖也</t>
  </si>
  <si>
    <t>マツモト　ユキヤ</t>
  </si>
  <si>
    <t>R010653582</t>
  </si>
  <si>
    <t>松本　凌茉</t>
  </si>
  <si>
    <t>マツモト　リョウマ</t>
  </si>
  <si>
    <t>R010546270</t>
  </si>
  <si>
    <t>松山　琉維</t>
  </si>
  <si>
    <t>マツヤマ　ルイ</t>
  </si>
  <si>
    <t>R010451954</t>
  </si>
  <si>
    <t>松雪　浩俊</t>
  </si>
  <si>
    <t>マツユキ　ヒロトシ</t>
  </si>
  <si>
    <t>R010691463</t>
  </si>
  <si>
    <t>丸山　芽惟</t>
  </si>
  <si>
    <t>マルヤマ　メイ</t>
  </si>
  <si>
    <t>R010358003</t>
  </si>
  <si>
    <t>三浦　櫂斗</t>
  </si>
  <si>
    <t>ミウラ　カイト</t>
  </si>
  <si>
    <t>R008634283</t>
  </si>
  <si>
    <t>三浦　憲太郎</t>
  </si>
  <si>
    <t>R010376286</t>
  </si>
  <si>
    <t>三浦　弘大</t>
  </si>
  <si>
    <t>ミウラ　コウダイ</t>
  </si>
  <si>
    <t>R010593961</t>
  </si>
  <si>
    <t>三浦　蒼羽</t>
  </si>
  <si>
    <t>ミウラ　ソウ</t>
  </si>
  <si>
    <t>R010120131</t>
  </si>
  <si>
    <t>三浦　哲郎</t>
  </si>
  <si>
    <t>ミウラ　テツロウ</t>
  </si>
  <si>
    <t>R006932437</t>
  </si>
  <si>
    <t>三浦　雄大</t>
  </si>
  <si>
    <t>ミウラ　ユウダイ</t>
  </si>
  <si>
    <t>R010638088</t>
  </si>
  <si>
    <t>三浦　優真</t>
  </si>
  <si>
    <t>ミウラ　ユウマ</t>
  </si>
  <si>
    <t>R010538372</t>
  </si>
  <si>
    <t>三浦　吏琥</t>
  </si>
  <si>
    <t>ミウラ　リク</t>
  </si>
  <si>
    <t>R010698160</t>
  </si>
  <si>
    <t>三重野　晋司</t>
  </si>
  <si>
    <t>ミエノ　シンジ</t>
  </si>
  <si>
    <t>R006125772</t>
  </si>
  <si>
    <t>三重野　英人</t>
  </si>
  <si>
    <t>ミエノ　ヒデト</t>
  </si>
  <si>
    <t>R010512243</t>
  </si>
  <si>
    <t>三重野　将弘</t>
  </si>
  <si>
    <t>ミエノ　マサヒロ</t>
  </si>
  <si>
    <t>R010691467</t>
  </si>
  <si>
    <t>三ヶ尻　啓輔</t>
  </si>
  <si>
    <t>ミカジリ　ケイスケ</t>
  </si>
  <si>
    <t>R004060374</t>
  </si>
  <si>
    <t>水島　義規</t>
  </si>
  <si>
    <t>ミズシマ　ヨシノリ</t>
  </si>
  <si>
    <t>R010539946</t>
  </si>
  <si>
    <t>水城　莉緒斗</t>
  </si>
  <si>
    <t>ミズシロ　リオト</t>
  </si>
  <si>
    <t>R010613627</t>
  </si>
  <si>
    <t>水本　純平</t>
  </si>
  <si>
    <t>ミズモト　ジュンペイ</t>
  </si>
  <si>
    <t>R010449908</t>
  </si>
  <si>
    <t>溝辺　哲也</t>
  </si>
  <si>
    <t>ミゾベ　テツヤ</t>
  </si>
  <si>
    <t>R010538363</t>
  </si>
  <si>
    <t>溝邉　陸馬</t>
  </si>
  <si>
    <t>ミゾベ　リクマ</t>
  </si>
  <si>
    <t>R010638079</t>
  </si>
  <si>
    <t>御手洗　真</t>
  </si>
  <si>
    <t>ミタライ　シン</t>
  </si>
  <si>
    <t>R004794073</t>
  </si>
  <si>
    <t>御手洗　佑太</t>
  </si>
  <si>
    <t>ミタライ　ユウタ</t>
  </si>
  <si>
    <t>R010684019</t>
  </si>
  <si>
    <t>道頭　学</t>
  </si>
  <si>
    <t>ミチガシラ　マナブ</t>
  </si>
  <si>
    <t>R010542196</t>
  </si>
  <si>
    <t>道脇　陽介</t>
  </si>
  <si>
    <t>ミチワキ　ヨウスケ</t>
  </si>
  <si>
    <t>R010376283</t>
  </si>
  <si>
    <t>三井　雄大</t>
  </si>
  <si>
    <t>ミツイ　ユウダイ</t>
  </si>
  <si>
    <t>R010465590</t>
  </si>
  <si>
    <t>満永　啓祐</t>
  </si>
  <si>
    <t>ミツナガ　ケイスケ</t>
  </si>
  <si>
    <t>R002917494</t>
  </si>
  <si>
    <t>三笘　晋也</t>
  </si>
  <si>
    <t>ミトマ　シンヤ</t>
  </si>
  <si>
    <t>R010350225</t>
  </si>
  <si>
    <t>南　佳織</t>
  </si>
  <si>
    <t>ミナミ　カオリ</t>
  </si>
  <si>
    <t>R010728110</t>
  </si>
  <si>
    <t>皆見　一樹</t>
  </si>
  <si>
    <t>ミナミ　カズキ</t>
  </si>
  <si>
    <t>南　樹吏</t>
  </si>
  <si>
    <t>ミナミ　ジュリ</t>
  </si>
  <si>
    <t>R010736996</t>
  </si>
  <si>
    <t>南　秀和</t>
  </si>
  <si>
    <t>ミナミ　ヒデカズ</t>
  </si>
  <si>
    <t>R010746605</t>
  </si>
  <si>
    <t>峰尾　勝</t>
  </si>
  <si>
    <t>ミネオ　マサル</t>
  </si>
  <si>
    <t>R003677432</t>
  </si>
  <si>
    <t>三原　将弥</t>
  </si>
  <si>
    <t>ミハラ　マサヤ</t>
  </si>
  <si>
    <t>R010689065</t>
  </si>
  <si>
    <t>宮川　咲輝</t>
  </si>
  <si>
    <t>ミヤガワ　サキ</t>
  </si>
  <si>
    <t>R004793852</t>
  </si>
  <si>
    <t>宮崎　友雅</t>
  </si>
  <si>
    <t>ミヤザキ　トモマサ</t>
  </si>
  <si>
    <t>R010356116</t>
  </si>
  <si>
    <t>宮本　崇史</t>
  </si>
  <si>
    <t>ミヤモト　タカシ</t>
  </si>
  <si>
    <t>R010746629</t>
  </si>
  <si>
    <t>宮本　祥光</t>
  </si>
  <si>
    <t>ミヤモト　ヨシミツ</t>
  </si>
  <si>
    <t>R010538328</t>
  </si>
  <si>
    <t>宮脇　大芽</t>
  </si>
  <si>
    <t>ミヤワキ　タイガ</t>
  </si>
  <si>
    <t>R010682447</t>
  </si>
  <si>
    <t>宮脇　彪瑠</t>
  </si>
  <si>
    <t>ミヤワキ　タケル</t>
  </si>
  <si>
    <t>R010689075</t>
  </si>
  <si>
    <t>向　拓磨</t>
  </si>
  <si>
    <t>ムコウ　タクマ</t>
  </si>
  <si>
    <t>R010746628</t>
  </si>
  <si>
    <t>鞭馬　龍也</t>
  </si>
  <si>
    <t>ムチマ　リュウヤ</t>
  </si>
  <si>
    <t>R004793755</t>
  </si>
  <si>
    <t>宗岡　亮次</t>
  </si>
  <si>
    <t>ムナオカ　リョウジ</t>
  </si>
  <si>
    <t>R010214582</t>
  </si>
  <si>
    <t>村上　叶恋</t>
  </si>
  <si>
    <t>ムラカミ　カレン</t>
  </si>
  <si>
    <t>R010314806</t>
  </si>
  <si>
    <t>村上　煌誠</t>
  </si>
  <si>
    <t>ムラカミ　コウセイ</t>
  </si>
  <si>
    <t>R010313763</t>
  </si>
  <si>
    <t>村上　瑳彩</t>
  </si>
  <si>
    <t>ムラカミ　サアヤ</t>
  </si>
  <si>
    <t>R010642073</t>
  </si>
  <si>
    <t>村上　駿斗</t>
  </si>
  <si>
    <t>ムラカミ　ハヤト</t>
  </si>
  <si>
    <t>R001737174</t>
  </si>
  <si>
    <t>村上　洋平</t>
  </si>
  <si>
    <t>ムラカミ　ヨウヘイ</t>
  </si>
  <si>
    <t>R010728158</t>
  </si>
  <si>
    <t>村上　凛太朗</t>
  </si>
  <si>
    <t>ムラカミ　リンタロウ</t>
  </si>
  <si>
    <t>R010546325</t>
  </si>
  <si>
    <t>村田　龍二</t>
  </si>
  <si>
    <t>ムラタ　リュウジ</t>
  </si>
  <si>
    <t>R008797908</t>
  </si>
  <si>
    <t>村谷　祐一</t>
  </si>
  <si>
    <t>ムラヤ　ユウイチ</t>
  </si>
  <si>
    <t>R010214562</t>
  </si>
  <si>
    <t>村山　武志</t>
  </si>
  <si>
    <t>ムラヤマ　タケシ</t>
  </si>
  <si>
    <t>R010468355</t>
  </si>
  <si>
    <t>室　元樹</t>
  </si>
  <si>
    <t>ムロ　ゲンキ</t>
  </si>
  <si>
    <t>R010586302</t>
  </si>
  <si>
    <t>室谷　優心</t>
  </si>
  <si>
    <t>ムロタニ　ユウシン</t>
  </si>
  <si>
    <t>R010314810</t>
  </si>
  <si>
    <t>用松　聖登</t>
  </si>
  <si>
    <t>モチマツ　マサト</t>
  </si>
  <si>
    <t>R010306448</t>
  </si>
  <si>
    <t>元木　勇太</t>
  </si>
  <si>
    <t>モトキ　ユウタ</t>
  </si>
  <si>
    <t>R003421684</t>
  </si>
  <si>
    <t>本野　秀貴</t>
  </si>
  <si>
    <t>モトノ　ヒデタカ</t>
  </si>
  <si>
    <t>R010576513</t>
  </si>
  <si>
    <t>本室　匠翔</t>
  </si>
  <si>
    <t>モトムロ　タクト</t>
  </si>
  <si>
    <t>R010638087</t>
  </si>
  <si>
    <t>桃田　偉吹</t>
  </si>
  <si>
    <t>モモタ　イブキ</t>
  </si>
  <si>
    <t>R010682827</t>
  </si>
  <si>
    <t>百田　翔貴</t>
  </si>
  <si>
    <t>モモタ　トキ</t>
  </si>
  <si>
    <t>R010214605</t>
  </si>
  <si>
    <t>森　恭子</t>
  </si>
  <si>
    <t>モリ　キョウコ</t>
  </si>
  <si>
    <t>R010390423</t>
  </si>
  <si>
    <t>森　健太朗</t>
  </si>
  <si>
    <t>モリ　ケンタロウ</t>
  </si>
  <si>
    <t>R010465588</t>
  </si>
  <si>
    <t>森　秀太</t>
  </si>
  <si>
    <t>モリ　シュウタ</t>
  </si>
  <si>
    <t>R010685160</t>
  </si>
  <si>
    <t>森　勇大</t>
  </si>
  <si>
    <t>モリ　ユウダイ</t>
  </si>
  <si>
    <t>R010538303</t>
  </si>
  <si>
    <t>森　凛桜</t>
  </si>
  <si>
    <t>モリ　リサ</t>
  </si>
  <si>
    <t>R010214606</t>
  </si>
  <si>
    <t>森　凛人</t>
  </si>
  <si>
    <t>モリ　リト</t>
  </si>
  <si>
    <t>R010700317</t>
  </si>
  <si>
    <t>森木　大雅</t>
  </si>
  <si>
    <t>モリキ　タイガ</t>
  </si>
  <si>
    <t>R010281811</t>
  </si>
  <si>
    <t>森崎　敬三</t>
  </si>
  <si>
    <t>モリサキ　ケイゾウ</t>
  </si>
  <si>
    <t>R010540702</t>
  </si>
  <si>
    <t>森崎　陽輝</t>
  </si>
  <si>
    <t>モリサキ　ハルキ</t>
  </si>
  <si>
    <t>R010448918</t>
  </si>
  <si>
    <t>森崎　瑠聖</t>
  </si>
  <si>
    <t>モリサキ　リュウセイ</t>
  </si>
  <si>
    <t>R010691457</t>
  </si>
  <si>
    <t>森迫　大翔</t>
  </si>
  <si>
    <t>モリサコ　ヒロト</t>
  </si>
  <si>
    <t>R010719612</t>
  </si>
  <si>
    <t>森田　爽楽</t>
  </si>
  <si>
    <t>モリタ　ソラ</t>
  </si>
  <si>
    <t>R010688483</t>
  </si>
  <si>
    <t>森田　廉也</t>
  </si>
  <si>
    <t>モリタ　レンヤ</t>
  </si>
  <si>
    <t>R010714978</t>
  </si>
  <si>
    <t>盛武　大樹</t>
  </si>
  <si>
    <t>モリタケ　タイキ</t>
  </si>
  <si>
    <t>R010259432</t>
  </si>
  <si>
    <t>森永　和彦</t>
  </si>
  <si>
    <t>モリナガ　カズヒコ</t>
  </si>
  <si>
    <t>R010714977</t>
  </si>
  <si>
    <t>森山　蓮亜</t>
  </si>
  <si>
    <t>モリヤマ　レイア</t>
  </si>
  <si>
    <t>R010746638</t>
  </si>
  <si>
    <t>諸冨　貴宣</t>
  </si>
  <si>
    <t>モロトミ　タカヨシ</t>
  </si>
  <si>
    <t>R010465599</t>
  </si>
  <si>
    <t>薬師寺　康平</t>
  </si>
  <si>
    <t>ヤクシジ　コウヘイ</t>
  </si>
  <si>
    <t>R010352985</t>
  </si>
  <si>
    <t>薬師寺　章伊</t>
  </si>
  <si>
    <t>ヤクシジ　ショウイ</t>
  </si>
  <si>
    <t>R010638062</t>
  </si>
  <si>
    <t>薬師寺　悠貴</t>
  </si>
  <si>
    <t>ヤクシジ　ユウキ</t>
  </si>
  <si>
    <t>R009460472</t>
  </si>
  <si>
    <t>八坂　秀青</t>
  </si>
  <si>
    <t>ヤサカ　ヒデハル</t>
  </si>
  <si>
    <t>R010396581</t>
  </si>
  <si>
    <t>矢治　弘志郎</t>
  </si>
  <si>
    <t>ヤジ　コウシロウ</t>
  </si>
  <si>
    <t>R010698171</t>
  </si>
  <si>
    <t>保田　拓海</t>
  </si>
  <si>
    <t>ヤスダ　タクミ</t>
  </si>
  <si>
    <t>R010093501</t>
  </si>
  <si>
    <t>安波　俊英</t>
  </si>
  <si>
    <t>ヤスナミ　トシヒデ</t>
  </si>
  <si>
    <t>R010676608</t>
  </si>
  <si>
    <t>安松　稜</t>
  </si>
  <si>
    <t>ヤスマツ　リョウ</t>
  </si>
  <si>
    <t>R010604094</t>
  </si>
  <si>
    <t>柳井　秀斗</t>
  </si>
  <si>
    <t>ヤナイ　ヒデト</t>
  </si>
  <si>
    <t>R010538290</t>
  </si>
  <si>
    <t>柳井　雅貴</t>
  </si>
  <si>
    <t>ヤナイ　マサタカ</t>
  </si>
  <si>
    <t>R010579083</t>
  </si>
  <si>
    <t>栁本　楓</t>
  </si>
  <si>
    <t>ヤナギモト　カエデ</t>
  </si>
  <si>
    <t>R010453584</t>
  </si>
  <si>
    <t>柳本　龍成</t>
  </si>
  <si>
    <t>ヤナモト　リュウセイ</t>
  </si>
  <si>
    <t>R010604775</t>
  </si>
  <si>
    <t>矢野　晃也</t>
  </si>
  <si>
    <t>ヤノ　アキヤ</t>
  </si>
  <si>
    <t>R010538389</t>
  </si>
  <si>
    <t>矢野　伊織</t>
  </si>
  <si>
    <t>ヤノ　イオリ</t>
  </si>
  <si>
    <t>R010579108</t>
  </si>
  <si>
    <t>矢野　草隼</t>
  </si>
  <si>
    <t>ヤノ　ソウジュン</t>
  </si>
  <si>
    <t>R010255171</t>
  </si>
  <si>
    <t>矢野　十央南</t>
  </si>
  <si>
    <t>ヤノ　トオナ</t>
  </si>
  <si>
    <t>R010445840</t>
  </si>
  <si>
    <t>矢野　虎乃介</t>
  </si>
  <si>
    <t>ヤノ　トラノスケ</t>
  </si>
  <si>
    <t>R010542185</t>
  </si>
  <si>
    <t>矢野　裕</t>
  </si>
  <si>
    <t>ヤノ　ユウ</t>
  </si>
  <si>
    <t>R010281830</t>
  </si>
  <si>
    <t>矢野　譲</t>
  </si>
  <si>
    <t>ヤノ　ユズル</t>
  </si>
  <si>
    <t>R010715007</t>
  </si>
  <si>
    <t>矢野　陽介</t>
  </si>
  <si>
    <t>ヤノ　ヨウスケ</t>
  </si>
  <si>
    <t>R010698143</t>
  </si>
  <si>
    <t>矢野　善朗</t>
  </si>
  <si>
    <t>ヤノ　ヨシロウ</t>
  </si>
  <si>
    <t>ヤノ　リュウセイ</t>
  </si>
  <si>
    <t>R010593959</t>
  </si>
  <si>
    <t>矢野　廉士</t>
  </si>
  <si>
    <t>ヤノ　レンシ</t>
  </si>
  <si>
    <t>R010352990</t>
  </si>
  <si>
    <t>矢部　泰史</t>
  </si>
  <si>
    <t>ヤベ　タイシ</t>
  </si>
  <si>
    <t>R010746645</t>
  </si>
  <si>
    <t>山岡　哲也</t>
  </si>
  <si>
    <t>ヤマオカ　テツヤ</t>
  </si>
  <si>
    <t>R010588855</t>
  </si>
  <si>
    <t>山岸　秀彰</t>
  </si>
  <si>
    <t>ヤマギシ　ヒデアキ</t>
  </si>
  <si>
    <t>R010700310</t>
  </si>
  <si>
    <t>山口　駿</t>
  </si>
  <si>
    <t>ヤマグチ　シュン</t>
  </si>
  <si>
    <t>R010538379</t>
  </si>
  <si>
    <t>山口　翔大</t>
  </si>
  <si>
    <t>ヤマグチ　ショウタ</t>
  </si>
  <si>
    <t>R010698139</t>
  </si>
  <si>
    <t>山口　大空</t>
  </si>
  <si>
    <t>ヤマグチ　タク</t>
  </si>
  <si>
    <t>R010579106</t>
  </si>
  <si>
    <t>山﨑　櫂</t>
  </si>
  <si>
    <t>ヤマサキ　カイ</t>
  </si>
  <si>
    <t>R008174338</t>
  </si>
  <si>
    <t>山﨑　爽暉</t>
  </si>
  <si>
    <t>ヤマサキ　ソウキ</t>
  </si>
  <si>
    <t>R010728115</t>
  </si>
  <si>
    <t>山﨑　温仁</t>
  </si>
  <si>
    <t>ヤマサキ　ハルト</t>
  </si>
  <si>
    <t>R010466473</t>
  </si>
  <si>
    <t>山崎　哲也</t>
  </si>
  <si>
    <t>ヤマザキ　テツヤ</t>
  </si>
  <si>
    <t>R010746654</t>
  </si>
  <si>
    <t>山下　大輔</t>
  </si>
  <si>
    <t>ヤマシタ　ダイスケ</t>
  </si>
  <si>
    <t>R010728126</t>
  </si>
  <si>
    <t>山下　竜輝</t>
  </si>
  <si>
    <t>ヤマシタ　リュウキ</t>
  </si>
  <si>
    <t>R010684118</t>
  </si>
  <si>
    <t>山田　笙太郎</t>
  </si>
  <si>
    <t>ヤマダ　ソウタロウ</t>
  </si>
  <si>
    <t>R010728144</t>
  </si>
  <si>
    <t>山田　陽喜</t>
  </si>
  <si>
    <t>ヤマダ　ハルキ</t>
  </si>
  <si>
    <t>R010214542</t>
  </si>
  <si>
    <t>山田　宏和</t>
  </si>
  <si>
    <t>ヤマダ　ヒロカズ</t>
  </si>
  <si>
    <t>R010653160</t>
  </si>
  <si>
    <t>山田　心結</t>
  </si>
  <si>
    <t>ヤマダ　ミユウ</t>
  </si>
  <si>
    <t>R010698175</t>
  </si>
  <si>
    <t>山中　将貴</t>
  </si>
  <si>
    <t>ヤマナカ　マサタカ</t>
  </si>
  <si>
    <t>R006220101</t>
  </si>
  <si>
    <t>山根　雄治</t>
  </si>
  <si>
    <t>ヤマネ　ユウジ</t>
  </si>
  <si>
    <t>R010719610</t>
  </si>
  <si>
    <t>山本　海</t>
  </si>
  <si>
    <t>ヤマモト　カイ</t>
  </si>
  <si>
    <t>R010676609</t>
  </si>
  <si>
    <t>山本　和慧</t>
  </si>
  <si>
    <t>ヤマモト　カズサ</t>
  </si>
  <si>
    <t>R005603228</t>
  </si>
  <si>
    <t>山本　康平</t>
  </si>
  <si>
    <t>ヤマモト　コウヘイ</t>
  </si>
  <si>
    <t>R010586723</t>
  </si>
  <si>
    <t>山本　耕平</t>
  </si>
  <si>
    <t>R010189317</t>
  </si>
  <si>
    <t>山本　純平</t>
  </si>
  <si>
    <t>ヤマモト　ジュンペイ</t>
  </si>
  <si>
    <t>R010542530</t>
  </si>
  <si>
    <t>山本　太郎</t>
  </si>
  <si>
    <t>ヤマモト　タロウ</t>
  </si>
  <si>
    <t>R010613600</t>
  </si>
  <si>
    <t>山本　光彦</t>
  </si>
  <si>
    <t>ヤマモト　テルヒコ</t>
  </si>
  <si>
    <t>R010538381</t>
  </si>
  <si>
    <t>山本　成彦</t>
  </si>
  <si>
    <t>ヤマモト　ノリヒコ</t>
  </si>
  <si>
    <t>R010400187</t>
  </si>
  <si>
    <t>山本　隼斗</t>
  </si>
  <si>
    <t>ヤマモト　ハヤト</t>
  </si>
  <si>
    <t>R010728123</t>
  </si>
  <si>
    <t>山本　晴翔</t>
  </si>
  <si>
    <t>ヤマモト　ハルト</t>
  </si>
  <si>
    <t>R010546337</t>
  </si>
  <si>
    <t>山本　獅王</t>
  </si>
  <si>
    <t>ヤマモト　レオ</t>
  </si>
  <si>
    <t>R010660831</t>
  </si>
  <si>
    <t>山本　瀧生</t>
  </si>
  <si>
    <t>ヤマモト　ロイ</t>
  </si>
  <si>
    <t>R010728105</t>
  </si>
  <si>
    <t>幸　浩史朗</t>
  </si>
  <si>
    <t>ユキ　コウジロウ</t>
  </si>
  <si>
    <t>R010715010</t>
  </si>
  <si>
    <t>幸　拓磨</t>
  </si>
  <si>
    <t>ユキ　タクマ</t>
  </si>
  <si>
    <t>R010638068</t>
  </si>
  <si>
    <t>幸　大翔</t>
  </si>
  <si>
    <t>ユキ　ヒロト</t>
  </si>
  <si>
    <t>R010604087</t>
  </si>
  <si>
    <t>幸重　頼人</t>
  </si>
  <si>
    <t>ユキシゲ　ライト</t>
  </si>
  <si>
    <t>R010261479</t>
  </si>
  <si>
    <t>柚木　貴博</t>
  </si>
  <si>
    <t>ユノキ　タカヒロ</t>
  </si>
  <si>
    <t>R010576376</t>
  </si>
  <si>
    <t>横江　恒瑛</t>
  </si>
  <si>
    <t>ヨコエ　コウヨウ</t>
  </si>
  <si>
    <t>R010214553</t>
  </si>
  <si>
    <t>横尾　茂</t>
  </si>
  <si>
    <t>ヨコオ　シゲル</t>
  </si>
  <si>
    <t>R010354817</t>
  </si>
  <si>
    <t>横尾　夏希</t>
  </si>
  <si>
    <t>ヨコオ　ナツキ</t>
  </si>
  <si>
    <t>R010538392</t>
  </si>
  <si>
    <t>横飛　明</t>
  </si>
  <si>
    <t>ヨコトビ　アキラ</t>
  </si>
  <si>
    <t>R010698155</t>
  </si>
  <si>
    <t>横山　幸司</t>
  </si>
  <si>
    <t>ヨコヤマ　コウジ</t>
  </si>
  <si>
    <t>R010687466</t>
  </si>
  <si>
    <t>吉浦　祐之助</t>
  </si>
  <si>
    <t>ヨシウラ　ユウノスケ</t>
  </si>
  <si>
    <t>R010581157</t>
  </si>
  <si>
    <t>吉岡　佑人</t>
  </si>
  <si>
    <t>ヨシオカ　ユウト</t>
  </si>
  <si>
    <t>R010281855</t>
  </si>
  <si>
    <t>吉川　哲平</t>
  </si>
  <si>
    <t>ヨシカワ　テッペイ</t>
  </si>
  <si>
    <t>R009430268</t>
  </si>
  <si>
    <t>吉川　美里</t>
  </si>
  <si>
    <t>ヨシカワ　ミサト</t>
  </si>
  <si>
    <t>R010700295</t>
  </si>
  <si>
    <t>吉崎　隼司</t>
  </si>
  <si>
    <t>ヨシザキ　シュンジ</t>
  </si>
  <si>
    <t>R003421480</t>
  </si>
  <si>
    <t>吉武　毅</t>
  </si>
  <si>
    <t>ヨシタケ　ツヨシ</t>
  </si>
  <si>
    <t>R010657826</t>
  </si>
  <si>
    <t>吉谷　俊哉</t>
  </si>
  <si>
    <t>ヨシタニ　トシヤ</t>
  </si>
  <si>
    <t>R010653610</t>
  </si>
  <si>
    <t>吉田　綾斗</t>
  </si>
  <si>
    <t>ヨシダ　アヤト</t>
  </si>
  <si>
    <t>R010746626</t>
  </si>
  <si>
    <t>吉田　和雅</t>
  </si>
  <si>
    <t>ヨシダ　カズノリ</t>
  </si>
  <si>
    <t>R010542528</t>
  </si>
  <si>
    <t>吉田　光騎</t>
  </si>
  <si>
    <t>ヨシダ　コウキ</t>
  </si>
  <si>
    <t>R010719623</t>
  </si>
  <si>
    <t>吉田　大河</t>
  </si>
  <si>
    <t>ヨシダ　タイガ</t>
  </si>
  <si>
    <t>R010689073</t>
  </si>
  <si>
    <t>吉田　翼</t>
  </si>
  <si>
    <t>ヨシダ　ツバサ</t>
  </si>
  <si>
    <t>R010553466</t>
  </si>
  <si>
    <t>吉田　将志</t>
  </si>
  <si>
    <t>ヨシダ　マサシ</t>
  </si>
  <si>
    <t>R010714994</t>
  </si>
  <si>
    <t>吉田　悠馬</t>
  </si>
  <si>
    <t>ヨシダ　ユウマ</t>
  </si>
  <si>
    <t>R010576360</t>
  </si>
  <si>
    <t>吉野　峨流</t>
  </si>
  <si>
    <t>ヨシノ　ガリュウ</t>
  </si>
  <si>
    <t>R005603875</t>
  </si>
  <si>
    <t>吉野　公司</t>
  </si>
  <si>
    <t>ヨシノ　コウジ</t>
  </si>
  <si>
    <t>R008798466</t>
  </si>
  <si>
    <t>吉原　喬樹</t>
  </si>
  <si>
    <t>ヨシハラ　タカキ</t>
  </si>
  <si>
    <t>R010642070</t>
  </si>
  <si>
    <t>吉原　大翔</t>
  </si>
  <si>
    <t>ヨシハラ　ヒロト</t>
  </si>
  <si>
    <t>R001261918</t>
  </si>
  <si>
    <t>吉松　健</t>
  </si>
  <si>
    <t>ヨシマツ　タケシ</t>
  </si>
  <si>
    <t>R010600682</t>
  </si>
  <si>
    <t>吉松　赳士</t>
  </si>
  <si>
    <t>R010691460</t>
  </si>
  <si>
    <t>吉水　蒼真</t>
  </si>
  <si>
    <t>ヨシミズ　ソウマ</t>
  </si>
  <si>
    <t>R010538338</t>
  </si>
  <si>
    <t>吉村　純平</t>
  </si>
  <si>
    <t>ヨシムラ　ジュンペイ</t>
  </si>
  <si>
    <t>R001261936</t>
  </si>
  <si>
    <t>佳元　省三</t>
  </si>
  <si>
    <t>ヨシモト　ショウゾウ</t>
  </si>
  <si>
    <t>R010599582</t>
  </si>
  <si>
    <t>米倉　佳宏</t>
  </si>
  <si>
    <t>ヨネクラ　ヨシヒロ</t>
  </si>
  <si>
    <t>R010396542</t>
  </si>
  <si>
    <t>米澤　邦彦</t>
  </si>
  <si>
    <t>ヨネザワ　クニヒコ</t>
  </si>
  <si>
    <t>R001261972</t>
  </si>
  <si>
    <t>米田　尚司</t>
  </si>
  <si>
    <t>ヨネダ　ショウジ</t>
  </si>
  <si>
    <t>R010538376</t>
  </si>
  <si>
    <t>米丸　碧</t>
  </si>
  <si>
    <t>ヨネマル　アオ</t>
  </si>
  <si>
    <t>R010728129</t>
  </si>
  <si>
    <t>萬　結史</t>
  </si>
  <si>
    <t>ヨロズ　ユシ</t>
  </si>
  <si>
    <t>R010162992</t>
  </si>
  <si>
    <t>若林　歩夢</t>
  </si>
  <si>
    <t>ワカバヤシ　アユム</t>
  </si>
  <si>
    <t>R010281870</t>
  </si>
  <si>
    <t>R010698152</t>
  </si>
  <si>
    <t>稙田　瑛汰</t>
  </si>
  <si>
    <t>ワサダ　エイタ</t>
  </si>
  <si>
    <t>R010538318</t>
  </si>
  <si>
    <t>渡辺　敢太</t>
  </si>
  <si>
    <t>ワタナベ　カンタ</t>
  </si>
  <si>
    <t>R010736997</t>
  </si>
  <si>
    <t>渡邉　圭輔</t>
  </si>
  <si>
    <t>ワタナベ　ケイスケ</t>
  </si>
  <si>
    <t>R010638070</t>
  </si>
  <si>
    <t>R010684095</t>
  </si>
  <si>
    <t>渡邊　修平</t>
  </si>
  <si>
    <t>ワタナベ　シュウヘイ</t>
  </si>
  <si>
    <t>R010600679</t>
  </si>
  <si>
    <t>渡辺　俊介</t>
  </si>
  <si>
    <t>ワタナベ　シュンスケ</t>
  </si>
  <si>
    <t>R010698161</t>
  </si>
  <si>
    <t>渡邉　敏範</t>
  </si>
  <si>
    <t>ワタナベ　トシノリ</t>
  </si>
  <si>
    <t>R010444491</t>
  </si>
  <si>
    <t>渡邉　直耶</t>
  </si>
  <si>
    <t>ワタナベ　ナオヤ</t>
  </si>
  <si>
    <t>R010538382</t>
  </si>
  <si>
    <t>渡辺　陽斗</t>
  </si>
  <si>
    <t>ワタナベ　ヒナト</t>
  </si>
  <si>
    <t>R010688479</t>
  </si>
  <si>
    <t>渡邉　雄敏</t>
  </si>
  <si>
    <t>渡邉　陸斗</t>
  </si>
  <si>
    <t>ワタナベ　リクト</t>
  </si>
  <si>
    <t>R010746652</t>
  </si>
  <si>
    <t>渡邊　稜平</t>
  </si>
  <si>
    <t>ワタナベ　リョウヘイ</t>
  </si>
  <si>
    <t>R010542529</t>
  </si>
  <si>
    <t>輪田　真理</t>
  </si>
  <si>
    <t>ワダ　マリ</t>
  </si>
  <si>
    <t>R010306435</t>
  </si>
  <si>
    <t>和田　優作</t>
  </si>
  <si>
    <t>ワダ　ユウサク</t>
  </si>
  <si>
    <t>佐伯市総合運動公園 陸上競技場（佐伯中央病院陸上競技場）</t>
    <phoneticPr fontId="77"/>
  </si>
  <si>
    <t>その他</t>
    <rPh sb="2" eb="3">
      <t>タ</t>
    </rPh>
    <phoneticPr fontId="81"/>
  </si>
  <si>
    <t>『安心安全なサッカー　～ベンチからの声かけ～』</t>
    <phoneticPr fontId="77"/>
  </si>
  <si>
    <t>14:10～ A</t>
    <phoneticPr fontId="77"/>
  </si>
  <si>
    <t>11:10～ B</t>
    <phoneticPr fontId="77"/>
  </si>
  <si>
    <t>9:30～ B</t>
  </si>
  <si>
    <t>10:20～ B</t>
  </si>
  <si>
    <t>9:30～ A</t>
  </si>
  <si>
    <t>10:20～ A</t>
  </si>
  <si>
    <t>佐藤　青空</t>
  </si>
  <si>
    <t>穴井　太陽</t>
  </si>
  <si>
    <t>アナイ　タイヨウ</t>
  </si>
  <si>
    <t>渡邉　凌央</t>
  </si>
  <si>
    <t>ワタナベ　リョウ</t>
  </si>
  <si>
    <t>川井　幹太</t>
  </si>
  <si>
    <t>カワイ　カンタ</t>
  </si>
  <si>
    <t>梅木　翔陽</t>
  </si>
  <si>
    <t>ウメキ　ショウヨウ</t>
  </si>
  <si>
    <t>穴井　一颯</t>
  </si>
  <si>
    <t>アナイ　イブキ</t>
  </si>
  <si>
    <t>水谷　聡佑</t>
  </si>
  <si>
    <t>ミズタニ　ソウスケ</t>
  </si>
  <si>
    <t>松岡　紘太</t>
  </si>
  <si>
    <t>マツオカ　コウタ</t>
  </si>
  <si>
    <t>渡邉　大蔵</t>
  </si>
  <si>
    <t>ワタナベ　ダイゾウ</t>
  </si>
  <si>
    <t>宇野　太惺</t>
  </si>
  <si>
    <t>ウノ　タイセイ</t>
  </si>
  <si>
    <t>八代　禅太朗</t>
  </si>
  <si>
    <t>ヤツシロ　ゼンタロウ</t>
  </si>
  <si>
    <t>八代　珠太朗</t>
  </si>
  <si>
    <t>ヤツシロ　ジュタロウ</t>
  </si>
  <si>
    <t>魚返　隼翔</t>
  </si>
  <si>
    <t>オガエリ　ハヤト</t>
  </si>
  <si>
    <t>梶原　大聖</t>
  </si>
  <si>
    <t>カジワラ　タイセイ</t>
  </si>
  <si>
    <t>矢幡　翔</t>
  </si>
  <si>
    <t>ヤワタ　ショウ</t>
  </si>
  <si>
    <t>財津　光</t>
  </si>
  <si>
    <t>ザイツ　ヒカリ</t>
  </si>
  <si>
    <t>中山　蓮斗</t>
  </si>
  <si>
    <t>ナカヤマ　レント</t>
  </si>
  <si>
    <t>高橋　蓮介</t>
  </si>
  <si>
    <t>タカハシ　レンスケ</t>
  </si>
  <si>
    <t>高尾　一颯</t>
  </si>
  <si>
    <t>タカオ　イブキ</t>
  </si>
  <si>
    <t>相良　琉希翔</t>
  </si>
  <si>
    <t>サガラ　ルキト</t>
  </si>
  <si>
    <t>高田　愛斗</t>
  </si>
  <si>
    <t>タカダ　マナト</t>
  </si>
  <si>
    <t>櫻木　禄</t>
  </si>
  <si>
    <t>サクラギ　ロク</t>
  </si>
  <si>
    <t>手嶋　心音</t>
  </si>
  <si>
    <t>テシマ　ココネ</t>
  </si>
  <si>
    <t>松尾　凌佑</t>
  </si>
  <si>
    <t>マツオ　リョウスケ</t>
  </si>
  <si>
    <t>トーマス　ヘイデン</t>
  </si>
  <si>
    <t>建　来和</t>
  </si>
  <si>
    <t>タテ　ライト</t>
  </si>
  <si>
    <t>村上　煌征</t>
  </si>
  <si>
    <t>井上　滉</t>
  </si>
  <si>
    <t>イノウエ　コウ</t>
  </si>
  <si>
    <t>瀬口　林昌</t>
  </si>
  <si>
    <t>セグチ　リンスケ</t>
  </si>
  <si>
    <t>佐藤　銀</t>
  </si>
  <si>
    <t>サトウ　ギン</t>
  </si>
  <si>
    <t>中島　秀斗</t>
  </si>
  <si>
    <t>ナカシマ　ヒデト</t>
  </si>
  <si>
    <t>田中　燈</t>
  </si>
  <si>
    <t>タナカ　アカリ</t>
  </si>
  <si>
    <t>中嶋　隆心</t>
  </si>
  <si>
    <t>ナカシマ　リュウシン</t>
  </si>
  <si>
    <t>吉海　れの</t>
  </si>
  <si>
    <t>ヨシカイ　レノ</t>
  </si>
  <si>
    <t>高倉　豪人</t>
  </si>
  <si>
    <t>タカクラ　タケヒト</t>
  </si>
  <si>
    <t>財津　洸希</t>
  </si>
  <si>
    <t>ザイツ　コウキ</t>
  </si>
  <si>
    <t>吉光　悠人</t>
  </si>
  <si>
    <t>ヨシミツ　ユウト</t>
  </si>
  <si>
    <t>松木　創志</t>
  </si>
  <si>
    <t>マツキ　ソウシ</t>
  </si>
  <si>
    <t>三笘　友羽果</t>
  </si>
  <si>
    <t>ミトマ　ユウカ</t>
  </si>
  <si>
    <t>高尾　旭</t>
  </si>
  <si>
    <t>タカオ　アサヒ</t>
  </si>
  <si>
    <t>河津　文汰</t>
  </si>
  <si>
    <t>カワヅ　アヤタ</t>
  </si>
  <si>
    <t>後藤　壱侍</t>
  </si>
  <si>
    <t>ゴトウ　イツジ</t>
  </si>
  <si>
    <t>萬　三史郎</t>
  </si>
  <si>
    <t>ヨロズ　サンシロウ</t>
  </si>
  <si>
    <t>福沢　楓</t>
  </si>
  <si>
    <t>フクザワ　カエデ</t>
  </si>
  <si>
    <t>梶原　直太朗</t>
  </si>
  <si>
    <t>カジワラ　ナオタロウ</t>
  </si>
  <si>
    <t>廣田　琉衣</t>
  </si>
  <si>
    <t>吉海　いろ</t>
  </si>
  <si>
    <t>ヨシカイ　イロ</t>
  </si>
  <si>
    <t>藤原　奏音</t>
  </si>
  <si>
    <t>フジワラ　カナデ</t>
  </si>
  <si>
    <t>小野　真輝</t>
  </si>
  <si>
    <t>オノ　マサキ</t>
  </si>
  <si>
    <t>溝口　華央</t>
  </si>
  <si>
    <t>ミゾグチ　カオ</t>
  </si>
  <si>
    <t>井上　大楽</t>
  </si>
  <si>
    <t>イノウエ　タイラ</t>
  </si>
  <si>
    <t>穴井　希成</t>
  </si>
  <si>
    <t>アナイ　キナリ</t>
  </si>
  <si>
    <t>吉武　紅美</t>
  </si>
  <si>
    <t>ヨシタケ　コウミ</t>
  </si>
  <si>
    <t>江藤　楓真</t>
  </si>
  <si>
    <t>エトウ　フウマ</t>
  </si>
  <si>
    <t>太郎良　元翔</t>
  </si>
  <si>
    <t>タロウラ　ゲント</t>
  </si>
  <si>
    <t>梅木　杏珠</t>
  </si>
  <si>
    <t>ウメキ　アンジュ</t>
  </si>
  <si>
    <t>渡辺　由彩</t>
  </si>
  <si>
    <t>ワタナベ　ユウア</t>
  </si>
  <si>
    <t>衛藤　新</t>
  </si>
  <si>
    <t>エトウ　シン</t>
  </si>
  <si>
    <t>秋好　勇信</t>
  </si>
  <si>
    <t>アキヨシ　ユウシン</t>
  </si>
  <si>
    <t>日野　湊太</t>
  </si>
  <si>
    <t>川野　晴太</t>
  </si>
  <si>
    <t>カワノ　セイタ</t>
  </si>
  <si>
    <t>前川　心晴</t>
  </si>
  <si>
    <t>マエカワ　コハル</t>
  </si>
  <si>
    <t>江隈　輝空</t>
  </si>
  <si>
    <t>エグマ　コウスケ</t>
  </si>
  <si>
    <t>佐古　百汰</t>
  </si>
  <si>
    <t>サコ　モモタ</t>
  </si>
  <si>
    <t>今永　心華</t>
  </si>
  <si>
    <t>イマナガ　シンカ</t>
  </si>
  <si>
    <t>今仁　桃南</t>
  </si>
  <si>
    <t>イマニ　モモナ</t>
  </si>
  <si>
    <t>平川　蒼士郎</t>
  </si>
  <si>
    <t>ヒラカワ　ソウジロウ</t>
  </si>
  <si>
    <t>小野　百華</t>
  </si>
  <si>
    <t>オノ　モモカ</t>
  </si>
  <si>
    <t>長本　奈々花</t>
  </si>
  <si>
    <t>ナガモト　ナナカ</t>
  </si>
  <si>
    <t>常広　桃未</t>
  </si>
  <si>
    <t>ツネヒロ　モモミ</t>
  </si>
  <si>
    <t>今仁　勇陽</t>
  </si>
  <si>
    <t>イマニ　ユウヒ</t>
  </si>
  <si>
    <t>常広　果成</t>
  </si>
  <si>
    <t>ツネヒロ　カナル</t>
  </si>
  <si>
    <t>礒辺　悠</t>
  </si>
  <si>
    <t>イソベ　ハル</t>
  </si>
  <si>
    <t>椛田　創介</t>
  </si>
  <si>
    <t>カバタ　ソウスケ</t>
  </si>
  <si>
    <t>阪口　優心</t>
  </si>
  <si>
    <t>サカグチ　ユウシン</t>
  </si>
  <si>
    <t>加茂　翔汰</t>
  </si>
  <si>
    <t>カモ　ショウタ</t>
  </si>
  <si>
    <t>畑瀬　翔央</t>
  </si>
  <si>
    <t>ハタセ　トア</t>
  </si>
  <si>
    <t>中畑　太我</t>
  </si>
  <si>
    <t>ナカハタ　タイガ</t>
  </si>
  <si>
    <t>友清　諒真</t>
  </si>
  <si>
    <t>トモキヨ　リョウマ</t>
  </si>
  <si>
    <t>田口　琉翔</t>
  </si>
  <si>
    <t>タグチ　リュウト</t>
  </si>
  <si>
    <t>渡邉　叶人</t>
  </si>
  <si>
    <t>ワタナベ　カナト</t>
  </si>
  <si>
    <t>小林　晃輔</t>
  </si>
  <si>
    <t>コバヤシ　コウスケ</t>
  </si>
  <si>
    <t>徳光　慶汰</t>
  </si>
  <si>
    <t>トクミツ　ケイタ</t>
  </si>
  <si>
    <t>端山　朝耀</t>
  </si>
  <si>
    <t>ハヤマ　アサヒ</t>
  </si>
  <si>
    <t>末松　叶多</t>
  </si>
  <si>
    <t>スエマツ　カナタ</t>
  </si>
  <si>
    <t>副島　悠生</t>
  </si>
  <si>
    <t>ソエジマ　ユウセイ</t>
  </si>
  <si>
    <t>オガワ　ハルト</t>
  </si>
  <si>
    <t>市場　稜久</t>
  </si>
  <si>
    <t>イチバ　リク</t>
  </si>
  <si>
    <t>松原　拓翔</t>
  </si>
  <si>
    <t>マツバラ　タクト</t>
  </si>
  <si>
    <t>田村　謙悟</t>
  </si>
  <si>
    <t>タムラ　ケンゴ</t>
  </si>
  <si>
    <t>荒川　煌大</t>
  </si>
  <si>
    <t>公原　義翔</t>
  </si>
  <si>
    <t>コウバル　ヨリト</t>
  </si>
  <si>
    <t>井上　喜心</t>
  </si>
  <si>
    <t>イノウエ　キシン</t>
  </si>
  <si>
    <t>松本　碧音</t>
  </si>
  <si>
    <t>マツモト　アオト</t>
  </si>
  <si>
    <t>中島　叶太</t>
  </si>
  <si>
    <t>ナカシマ　カナタ</t>
  </si>
  <si>
    <t>中元　友喜</t>
  </si>
  <si>
    <t>ナカモト　トモキ</t>
  </si>
  <si>
    <t>濱小路　蒼真</t>
  </si>
  <si>
    <t>ハマコウジ　ソウマ</t>
  </si>
  <si>
    <t>津田　透李</t>
  </si>
  <si>
    <t>ツダ　トウリ</t>
  </si>
  <si>
    <t>中元　大輝</t>
  </si>
  <si>
    <t>ナカモト　ダイキ</t>
  </si>
  <si>
    <t>川端　健心</t>
  </si>
  <si>
    <t>カワバタ　ケンシン</t>
  </si>
  <si>
    <t>田原　朔空</t>
  </si>
  <si>
    <t>タハラ　サク</t>
  </si>
  <si>
    <t>安倍　聖空</t>
  </si>
  <si>
    <t>アベ　セイア</t>
  </si>
  <si>
    <t>畑辺　涼佑</t>
  </si>
  <si>
    <t>ハタベ　リョウスケ</t>
  </si>
  <si>
    <t>今井　旭陽</t>
  </si>
  <si>
    <t>イマイ　アサヒ</t>
  </si>
  <si>
    <t>石田　稜斗</t>
  </si>
  <si>
    <t>イシダ　リョウト</t>
  </si>
  <si>
    <t>釜元　想太</t>
  </si>
  <si>
    <t>カマモト　ソウタ</t>
  </si>
  <si>
    <t>光岡　勇飛</t>
  </si>
  <si>
    <t>ミツオカ　ユウヒ</t>
  </si>
  <si>
    <t>元吉　優太</t>
  </si>
  <si>
    <t>モトヨシ　ユウタ</t>
  </si>
  <si>
    <t>徳永　拓真</t>
  </si>
  <si>
    <t>トクナガ　タクマ</t>
  </si>
  <si>
    <t>藤本　友翔</t>
  </si>
  <si>
    <t>フジモト　ユウト</t>
  </si>
  <si>
    <t>古田　櫂生</t>
  </si>
  <si>
    <t>フルタ　カイ</t>
  </si>
  <si>
    <t>小野　大雅</t>
  </si>
  <si>
    <t>オノ　タイガ</t>
  </si>
  <si>
    <t>東　Ｆ　Ｃ</t>
  </si>
  <si>
    <t>大西　風流</t>
  </si>
  <si>
    <t>オオニシ　フウリュウ</t>
  </si>
  <si>
    <t>荒巻　瑛士</t>
  </si>
  <si>
    <t>アラマキ　エイト</t>
  </si>
  <si>
    <t>角南　正翔</t>
  </si>
  <si>
    <t>スナミ　マサト</t>
  </si>
  <si>
    <t>神田　亜優夢</t>
  </si>
  <si>
    <t>カンダ　アユム</t>
  </si>
  <si>
    <t>藤本　竜之介</t>
  </si>
  <si>
    <t>フジモト　リュウノスケ</t>
  </si>
  <si>
    <t>阿部　航士</t>
  </si>
  <si>
    <t>アベ　コウシ</t>
  </si>
  <si>
    <t>大西　心空</t>
  </si>
  <si>
    <t>オオニシ　ソラ</t>
  </si>
  <si>
    <t>阿部　時煌</t>
  </si>
  <si>
    <t>アベ　ハルキ</t>
  </si>
  <si>
    <t>二宮　浩志</t>
  </si>
  <si>
    <t>ニノミヤ　コウシ</t>
  </si>
  <si>
    <t>髙橋　秀豪</t>
  </si>
  <si>
    <t>タカハシ　ゴウキ</t>
  </si>
  <si>
    <t>岡　航基</t>
  </si>
  <si>
    <t>オカ　コウキ</t>
  </si>
  <si>
    <t>量山　照慶</t>
  </si>
  <si>
    <t>リョウザン　テルヨシ</t>
  </si>
  <si>
    <t>賀来　大河</t>
  </si>
  <si>
    <t>カク　タイガ</t>
  </si>
  <si>
    <t>賀来　葵</t>
  </si>
  <si>
    <t>カク　アオイ</t>
  </si>
  <si>
    <t>安倍　愼</t>
  </si>
  <si>
    <t>アンベ　シン</t>
  </si>
  <si>
    <t>鴨田　光真</t>
  </si>
  <si>
    <t>カモダ　コウマ</t>
  </si>
  <si>
    <t>大石　卓矢</t>
  </si>
  <si>
    <t>河野　れお</t>
  </si>
  <si>
    <t>コウノ　レオ</t>
  </si>
  <si>
    <t>野田　拓真</t>
  </si>
  <si>
    <t>ノダ　タクマ</t>
  </si>
  <si>
    <t>相良　瑞樹</t>
  </si>
  <si>
    <t>サガラ　ミズキ</t>
  </si>
  <si>
    <t>佐加良　瑛翔</t>
  </si>
  <si>
    <t>サガラ　エイト</t>
  </si>
  <si>
    <t>稲吉　怜</t>
  </si>
  <si>
    <t>イナヨシ　レイ</t>
  </si>
  <si>
    <t>小嶋　櫂</t>
  </si>
  <si>
    <t>コジマ　トウキ</t>
  </si>
  <si>
    <t>井口　晴琉</t>
  </si>
  <si>
    <t>イノクチ　ハル</t>
  </si>
  <si>
    <t>小嶋　龍</t>
  </si>
  <si>
    <t>コジマ　タツミ</t>
  </si>
  <si>
    <t>上田　大陽</t>
  </si>
  <si>
    <t>ウエダ　タイヨウ</t>
  </si>
  <si>
    <t>中野　颯大</t>
  </si>
  <si>
    <t>ナカノ　ソウタ</t>
  </si>
  <si>
    <t>稲用　泰士</t>
  </si>
  <si>
    <t>イナモチ　タイシ</t>
  </si>
  <si>
    <t>麻生　大暉</t>
  </si>
  <si>
    <t>アソウ　ダイキ</t>
  </si>
  <si>
    <t>末廣　三樹也</t>
  </si>
  <si>
    <t>スエヒロ　ミキヤ</t>
  </si>
  <si>
    <t>矢野　尋士</t>
  </si>
  <si>
    <t>ヤノ　ヒロト</t>
  </si>
  <si>
    <t>江川　優馬</t>
  </si>
  <si>
    <t>エガワ　ユウマ</t>
  </si>
  <si>
    <t>高松　瑛兜</t>
  </si>
  <si>
    <t>タカマツ　エイト</t>
  </si>
  <si>
    <t>相良　碧月</t>
  </si>
  <si>
    <t>小野　蒼馬</t>
  </si>
  <si>
    <t>松本　月</t>
  </si>
  <si>
    <t>マツモト　ライト</t>
  </si>
  <si>
    <t>投野　壱真</t>
  </si>
  <si>
    <t>ナギノ　カズマ</t>
  </si>
  <si>
    <t>小川　蓮斗</t>
  </si>
  <si>
    <t>オガワ　リオト</t>
  </si>
  <si>
    <t>村上　佑心</t>
  </si>
  <si>
    <t>ムラカミ　タスク</t>
  </si>
  <si>
    <t>竹山　旺佑</t>
  </si>
  <si>
    <t>タケヤマ　オウスケ</t>
  </si>
  <si>
    <t>田中　孔明</t>
  </si>
  <si>
    <t>タナカ　コウメイ</t>
  </si>
  <si>
    <t>安部　斗真</t>
  </si>
  <si>
    <t>アベ　トウマ</t>
  </si>
  <si>
    <t>朝吹　陸</t>
  </si>
  <si>
    <t>アサブキ　リク</t>
  </si>
  <si>
    <t>尾川　倖大</t>
  </si>
  <si>
    <t>オガワ　コウタ</t>
  </si>
  <si>
    <t>佐藤　鉄平</t>
  </si>
  <si>
    <t>サトウ　テッペイ</t>
  </si>
  <si>
    <t>福永　善志郎</t>
  </si>
  <si>
    <t>フクナガ　ゼンシロウ</t>
  </si>
  <si>
    <t>棚成　葵</t>
  </si>
  <si>
    <t>タナナリ　アオイ</t>
  </si>
  <si>
    <t>矢田　岳功</t>
  </si>
  <si>
    <t>ヤダ　ガク</t>
  </si>
  <si>
    <t>長野　碧生</t>
  </si>
  <si>
    <t>ナガノ　アオイ</t>
  </si>
  <si>
    <t>弓崎　祐輝</t>
  </si>
  <si>
    <t>ユミサキ　ユウキ</t>
  </si>
  <si>
    <t>西枝　菜奈美</t>
  </si>
  <si>
    <t>ニシエダ　ナナミ</t>
  </si>
  <si>
    <t>廣瀬　叶真</t>
  </si>
  <si>
    <t>ヒロセ　トウマ</t>
  </si>
  <si>
    <t>三代　大誠</t>
  </si>
  <si>
    <t>ミシロ　タイセイ</t>
  </si>
  <si>
    <t>芝関　壱心</t>
  </si>
  <si>
    <t>シバセキ　イッシン</t>
  </si>
  <si>
    <t>長野　燈吏</t>
  </si>
  <si>
    <t>ナガノ　トウリ</t>
  </si>
  <si>
    <t>遠矢　隼斗</t>
  </si>
  <si>
    <t>トオヤ　ハヤト</t>
  </si>
  <si>
    <t>佐保　汰輔</t>
  </si>
  <si>
    <t>サホ　タイスケ</t>
  </si>
  <si>
    <t>斉藤　大翔</t>
  </si>
  <si>
    <t>サイトウ　ヒロト</t>
  </si>
  <si>
    <t>西田　光汰</t>
  </si>
  <si>
    <t>ニシダ　コウタ</t>
  </si>
  <si>
    <t>日名子　結咲</t>
  </si>
  <si>
    <t>ヒナゴ　ユイ</t>
  </si>
  <si>
    <t>古屋　輝優</t>
  </si>
  <si>
    <t>コヤ　ソウマ</t>
  </si>
  <si>
    <t>大関　尚春</t>
  </si>
  <si>
    <t>オオゼキ　ナオハル</t>
  </si>
  <si>
    <t>大久保　響</t>
  </si>
  <si>
    <t>オオクボ　ユラト</t>
  </si>
  <si>
    <t>繁昌　璃斗</t>
  </si>
  <si>
    <t>ハンジョウ　リト</t>
  </si>
  <si>
    <t>二宮　慶</t>
  </si>
  <si>
    <t>ニノミヤ　ケイ</t>
  </si>
  <si>
    <t>生野　晴真</t>
  </si>
  <si>
    <t>ショウノ　ハルマ</t>
  </si>
  <si>
    <t>後藤　彩羽</t>
  </si>
  <si>
    <t>ゴトウ　イロハ</t>
  </si>
  <si>
    <t>後藤　蒼空</t>
  </si>
  <si>
    <t>ゴトウ　ソラ</t>
  </si>
  <si>
    <t>武田　樹</t>
  </si>
  <si>
    <t>タケダ　イツキ</t>
  </si>
  <si>
    <t>小山　岳</t>
  </si>
  <si>
    <t>コヤマ　ガク</t>
  </si>
  <si>
    <t>山﨑　縁</t>
  </si>
  <si>
    <t>ヤマサキ　エニシ</t>
  </si>
  <si>
    <t>安部　智敦</t>
  </si>
  <si>
    <t>アンベ　トモアツ</t>
  </si>
  <si>
    <t>桑野　鉄世</t>
  </si>
  <si>
    <t>クワノ　テッセイ</t>
  </si>
  <si>
    <t>江藤　桜夏</t>
  </si>
  <si>
    <t>エトウ　オウカ</t>
  </si>
  <si>
    <t>香川　悠真</t>
  </si>
  <si>
    <t>カガワ　ハルマ</t>
  </si>
  <si>
    <t>旗手　貴一</t>
  </si>
  <si>
    <t>ハタテ　キイチ</t>
  </si>
  <si>
    <t>山本　啓太</t>
  </si>
  <si>
    <t>ヤマモト　ケイタ</t>
  </si>
  <si>
    <t>田原　隼輝</t>
  </si>
  <si>
    <t>タハラ　ハヤテ</t>
  </si>
  <si>
    <t>香川　柊真</t>
  </si>
  <si>
    <t>カガワ　トウマ</t>
  </si>
  <si>
    <t>花木　一心</t>
  </si>
  <si>
    <t>ハナキ　イッシン</t>
  </si>
  <si>
    <t>西本　尚生</t>
  </si>
  <si>
    <t>ニシモト　ナオキ</t>
  </si>
  <si>
    <t>原山　佳士</t>
  </si>
  <si>
    <t>ハラヤマ　ケイト</t>
  </si>
  <si>
    <t>村上　白夜</t>
  </si>
  <si>
    <t>ムラカミ　ビャクヤ</t>
  </si>
  <si>
    <t>矢野　朝陽</t>
  </si>
  <si>
    <t>ヤノ　アサヒ</t>
  </si>
  <si>
    <t>中谷　陽七汰</t>
  </si>
  <si>
    <t>ナカタニ　ヒナタ</t>
  </si>
  <si>
    <t>江口　幸徠磨</t>
  </si>
  <si>
    <t>エグチ　サクマ</t>
  </si>
  <si>
    <t>山﨑　嘉武慰</t>
  </si>
  <si>
    <t>ヤマサキ　カムイ</t>
  </si>
  <si>
    <t>山本　陽太</t>
  </si>
  <si>
    <t>ヤマモト　ヒナタ</t>
  </si>
  <si>
    <t>下畑　朝陽</t>
  </si>
  <si>
    <t>シモハタ　アサヒ</t>
  </si>
  <si>
    <t>田中　陽</t>
  </si>
  <si>
    <t>タナカ　アサヒ</t>
  </si>
  <si>
    <t>原田　華鈴</t>
  </si>
  <si>
    <t>ハラダ　カリン</t>
  </si>
  <si>
    <t>釘丸　結翔</t>
  </si>
  <si>
    <t>クギマル　ユイト</t>
  </si>
  <si>
    <t>眞鍋　昊士</t>
  </si>
  <si>
    <t>マナベ　コウシ</t>
  </si>
  <si>
    <t>久持　蓮</t>
  </si>
  <si>
    <t>ヒサモチ　レン</t>
  </si>
  <si>
    <t>宇土　宗之</t>
  </si>
  <si>
    <t>ウド　ソウシ</t>
  </si>
  <si>
    <t>池田　怜叶</t>
  </si>
  <si>
    <t>イケダ　レント</t>
  </si>
  <si>
    <t>丸谷　琉斗</t>
  </si>
  <si>
    <t>マルタニ　ルイト</t>
  </si>
  <si>
    <t>難波　貴幸</t>
  </si>
  <si>
    <t>ナンバ　タカユキ</t>
  </si>
  <si>
    <t>司城　蒼汰</t>
  </si>
  <si>
    <t>シジョウ　ソウタ</t>
  </si>
  <si>
    <t>奥永　琉生</t>
  </si>
  <si>
    <t>オクナガ　リュウセイ</t>
  </si>
  <si>
    <t>丸田　珠生</t>
  </si>
  <si>
    <t>マルタ　シュウ</t>
  </si>
  <si>
    <t>村井　創志</t>
  </si>
  <si>
    <t>ムライ　ソウシ</t>
  </si>
  <si>
    <t>宮脇　昂司</t>
  </si>
  <si>
    <t>ミヤワキ　コウジ</t>
  </si>
  <si>
    <t>友松　理久</t>
  </si>
  <si>
    <t>トモマツ　リク</t>
  </si>
  <si>
    <t>池田　蒼月</t>
  </si>
  <si>
    <t>イケダ　アツキ</t>
  </si>
  <si>
    <t>渡邉　凛太</t>
  </si>
  <si>
    <t>ワタナベ　リンタ</t>
  </si>
  <si>
    <t>上城　元</t>
  </si>
  <si>
    <t>カミジョウ　モトキ</t>
  </si>
  <si>
    <t>貞許　福志</t>
  </si>
  <si>
    <t>サダモト　フクシ</t>
  </si>
  <si>
    <t>中島　凛</t>
  </si>
  <si>
    <t>ナカシマ　リン</t>
  </si>
  <si>
    <t>関根　雄太</t>
  </si>
  <si>
    <t>セキネ　ユウタ</t>
  </si>
  <si>
    <t>増田　山人</t>
  </si>
  <si>
    <t>マスダ　ヤマト</t>
  </si>
  <si>
    <t>古賀　晴真</t>
  </si>
  <si>
    <t>コガ　ハルマ</t>
  </si>
  <si>
    <t>佐野　湊斗</t>
  </si>
  <si>
    <t>サノ　ミナト</t>
  </si>
  <si>
    <t>塔元　陽南太</t>
  </si>
  <si>
    <t>トウモト　ヒナタ</t>
  </si>
  <si>
    <t>梶原　遥真</t>
  </si>
  <si>
    <t>カジワラ　トオマ</t>
  </si>
  <si>
    <t>吉岡　大星</t>
  </si>
  <si>
    <t>ヨシオカ　タイセイ</t>
  </si>
  <si>
    <t>曽我　歩夢</t>
  </si>
  <si>
    <t>ソガ　アユム</t>
  </si>
  <si>
    <t>川口　蒼真</t>
  </si>
  <si>
    <t>カワグチ　ソウマ</t>
  </si>
  <si>
    <t>友松　瞬</t>
  </si>
  <si>
    <t>トモマツ　シュン</t>
  </si>
  <si>
    <t>新家　颯太</t>
  </si>
  <si>
    <t>シンヤ　ソウタ</t>
  </si>
  <si>
    <t>大江　杏莉</t>
  </si>
  <si>
    <t>オオエ　アンリ</t>
  </si>
  <si>
    <t>大霜　汰月</t>
  </si>
  <si>
    <t>オオシモ　タツキ</t>
  </si>
  <si>
    <t>友松　ゆず</t>
  </si>
  <si>
    <t>トモマツ　ユズ</t>
  </si>
  <si>
    <t>吉崎　陽玄</t>
  </si>
  <si>
    <t>ヨシザキ　ヒゲン</t>
  </si>
  <si>
    <t>山口　絵愛</t>
  </si>
  <si>
    <t>ヤマグチ　エマ</t>
  </si>
  <si>
    <t>合津　花波</t>
  </si>
  <si>
    <t>アイヅ　カナミ</t>
  </si>
  <si>
    <t>廣畑　寧々</t>
  </si>
  <si>
    <t>ヒロハタ　ネネ</t>
  </si>
  <si>
    <t>池田　新</t>
  </si>
  <si>
    <t>イケダ　アラタ</t>
  </si>
  <si>
    <t>廣畑　一樹</t>
  </si>
  <si>
    <t>ヒロハタ　イツキ</t>
  </si>
  <si>
    <t>秋吉　碧晴</t>
  </si>
  <si>
    <t>アキヨシ　アイセイ</t>
  </si>
  <si>
    <t>貴戸　瞬</t>
  </si>
  <si>
    <t>キド　シュン</t>
  </si>
  <si>
    <t>田中　友梧</t>
  </si>
  <si>
    <t>タナカ　ユウゴ</t>
  </si>
  <si>
    <t>北山　綺琉</t>
  </si>
  <si>
    <t>キタヤマ　キルア</t>
  </si>
  <si>
    <t>秦　悠人</t>
  </si>
  <si>
    <t>ハタ　ユウト</t>
  </si>
  <si>
    <t>渋田　雅琥</t>
  </si>
  <si>
    <t>シブタ　ガク</t>
  </si>
  <si>
    <t>栗山　すず</t>
  </si>
  <si>
    <t>クリヤマ　スズ</t>
  </si>
  <si>
    <t>卯花　優奈</t>
  </si>
  <si>
    <t>ウノハナ　ユナ</t>
  </si>
  <si>
    <t>恒成　大智</t>
  </si>
  <si>
    <t>ツネナリ　ダイチ</t>
  </si>
  <si>
    <t>堀部　心桜</t>
  </si>
  <si>
    <t>ホリベ　コハル</t>
  </si>
  <si>
    <t>久家　颯真</t>
  </si>
  <si>
    <t>クゲ　ソウマ</t>
  </si>
  <si>
    <t>恒任　結斗</t>
  </si>
  <si>
    <t>ツネトウ　ユイト</t>
  </si>
  <si>
    <t>安東　宏人</t>
  </si>
  <si>
    <t>アンドウ　ヒロト</t>
  </si>
  <si>
    <t>井手　朔士</t>
  </si>
  <si>
    <t>イデ　サクト</t>
  </si>
  <si>
    <t>門田　千洋</t>
  </si>
  <si>
    <t>カドタ　チヒロ</t>
  </si>
  <si>
    <t>小山　葉月</t>
  </si>
  <si>
    <t>コヤマ　ハヅキ</t>
  </si>
  <si>
    <t>矢田　蓮</t>
  </si>
  <si>
    <t>ヤダ　レン</t>
  </si>
  <si>
    <t>中村　源</t>
  </si>
  <si>
    <t>ナカムラ　ゲン</t>
  </si>
  <si>
    <t>山田　花凛</t>
  </si>
  <si>
    <t>ヤマダ　カリン</t>
  </si>
  <si>
    <t>高司　蓮</t>
  </si>
  <si>
    <t>タカツカ　レン</t>
  </si>
  <si>
    <t>岡村　茉白</t>
  </si>
  <si>
    <t>オカムラ　マシロ</t>
  </si>
  <si>
    <t>野田　煌嵐</t>
  </si>
  <si>
    <t>ノダ　コウラン</t>
  </si>
  <si>
    <t>小山　鉱蔵</t>
  </si>
  <si>
    <t>コヤマ　コウゾウ</t>
  </si>
  <si>
    <t>染矢　清志</t>
  </si>
  <si>
    <t>ソメヤ　キヨシ</t>
  </si>
  <si>
    <t>森﨑　陽月</t>
  </si>
  <si>
    <t>モリサキ　ヒヅキ</t>
  </si>
  <si>
    <t>伊賀上　怜太</t>
  </si>
  <si>
    <t>イガウエ　リョウタ</t>
  </si>
  <si>
    <t>木下　遥樹</t>
  </si>
  <si>
    <t>キノシタ　ハルキ</t>
  </si>
  <si>
    <t>山田　莉生</t>
  </si>
  <si>
    <t>ヤマダ　リオ</t>
  </si>
  <si>
    <t>狩生　健太</t>
  </si>
  <si>
    <t>カリュウ　ケンタ</t>
  </si>
  <si>
    <t>二見　勝</t>
  </si>
  <si>
    <t>フタミ　スグル</t>
  </si>
  <si>
    <t>田代　豊修</t>
  </si>
  <si>
    <t>タシロ　トヨノブ</t>
  </si>
  <si>
    <t>冨高　想介</t>
  </si>
  <si>
    <t>トミタカ　ソウスケ</t>
  </si>
  <si>
    <t>陸丸　源太</t>
  </si>
  <si>
    <t>リクマル　ゲンタ</t>
  </si>
  <si>
    <t>木許　恵介</t>
  </si>
  <si>
    <t>キモト　ケイスケ</t>
  </si>
  <si>
    <t>安達　誠人</t>
  </si>
  <si>
    <t>アダチ　マサト</t>
  </si>
  <si>
    <t>川田　到</t>
  </si>
  <si>
    <t>カワタ　イタル</t>
  </si>
  <si>
    <t>西方　朔也</t>
  </si>
  <si>
    <t>ニシカタ　サクヤ</t>
  </si>
  <si>
    <t>池岡　駿将</t>
  </si>
  <si>
    <t>イケオカ　シュンスケ</t>
  </si>
  <si>
    <t>丸山　陸</t>
  </si>
  <si>
    <t>マルヤマ　リク</t>
  </si>
  <si>
    <t>浅海　翔</t>
  </si>
  <si>
    <t>アサウミ　ショウ</t>
  </si>
  <si>
    <t>鈴木　悠真</t>
  </si>
  <si>
    <t>スズキ　ユウマ</t>
  </si>
  <si>
    <t>福泉　咲希</t>
  </si>
  <si>
    <t>フクイズミ　サキ</t>
  </si>
  <si>
    <t>塩月　琢叶</t>
  </si>
  <si>
    <t>シオツキ　タクト</t>
  </si>
  <si>
    <t>秋元　ほまれ</t>
  </si>
  <si>
    <t>アキモト　ホマレ</t>
  </si>
  <si>
    <t>木許　真極人</t>
  </si>
  <si>
    <t>キモト　マキト</t>
  </si>
  <si>
    <t>黒木　徠己</t>
  </si>
  <si>
    <t>クロキ　ライミ</t>
  </si>
  <si>
    <t>木村　栄太</t>
  </si>
  <si>
    <t>キムラ　エイタ</t>
  </si>
  <si>
    <t>横山　心奏</t>
  </si>
  <si>
    <t>ヨコヤマ　ココナ</t>
  </si>
  <si>
    <t>坂本　燈真</t>
  </si>
  <si>
    <t>サカモト　トウマ</t>
  </si>
  <si>
    <t>塩月　誠叶</t>
  </si>
  <si>
    <t>シオツキ　マサト</t>
  </si>
  <si>
    <t>山口　瑚希々</t>
  </si>
  <si>
    <t>ヤマグチ　ココネ</t>
  </si>
  <si>
    <t>増村　旺太</t>
  </si>
  <si>
    <t>マスムラ　オウタ</t>
  </si>
  <si>
    <t>小野　彩心</t>
  </si>
  <si>
    <t>オノ　アコ</t>
  </si>
  <si>
    <t>小野　虹心</t>
  </si>
  <si>
    <t>オノ　ニコ</t>
  </si>
  <si>
    <t>佐藤　陽奈太</t>
  </si>
  <si>
    <t>木本　汰旺</t>
  </si>
  <si>
    <t>キモト　タオ</t>
  </si>
  <si>
    <t>秋元　陽太</t>
  </si>
  <si>
    <t>アキモト　ヨウタ</t>
  </si>
  <si>
    <t>吉良　悠輝</t>
  </si>
  <si>
    <t>キラ　ハルキ</t>
  </si>
  <si>
    <t>宮田　駿士</t>
  </si>
  <si>
    <t>ミヤタ　シュント</t>
  </si>
  <si>
    <t>長尾　律希</t>
  </si>
  <si>
    <t>ナガオ　リツキ</t>
  </si>
  <si>
    <t>野々下　海星</t>
  </si>
  <si>
    <t>ノノシタ　カイセイ</t>
  </si>
  <si>
    <t>津田　蒼空</t>
  </si>
  <si>
    <t>ツダ　ソウア</t>
  </si>
  <si>
    <t>児玉　篤己</t>
  </si>
  <si>
    <t>コダマ　アツキ</t>
  </si>
  <si>
    <t>小野　結翔</t>
  </si>
  <si>
    <t>前田　空翔</t>
  </si>
  <si>
    <t>マエダ　ソラト</t>
  </si>
  <si>
    <t>迫田　大和</t>
  </si>
  <si>
    <t>サコダ　ヤマト</t>
  </si>
  <si>
    <t>井野本　瑠羽</t>
  </si>
  <si>
    <t>イノモト　ルウ</t>
  </si>
  <si>
    <t>松尾　怜咲佑</t>
  </si>
  <si>
    <t>マツオ　レイショウ</t>
  </si>
  <si>
    <t>簀戸　洋翔</t>
  </si>
  <si>
    <t>スド　ヒロト</t>
  </si>
  <si>
    <t>岩丸　洋太郎</t>
  </si>
  <si>
    <t>イワマル　ヨウタロウ</t>
  </si>
  <si>
    <t>谷川　優太</t>
  </si>
  <si>
    <t>タニガワ　ユウタ</t>
  </si>
  <si>
    <t>神崎　陽貴</t>
  </si>
  <si>
    <t>カンザキ　ハルキ</t>
  </si>
  <si>
    <t>井野本　煌羽</t>
  </si>
  <si>
    <t>イノモト　コウ</t>
  </si>
  <si>
    <t>冨澤　碧</t>
  </si>
  <si>
    <t>トミザワ　アオイ</t>
  </si>
  <si>
    <t>宮本　匠望</t>
  </si>
  <si>
    <t>ミヤモト　タクミ</t>
  </si>
  <si>
    <t>首藤　源司</t>
  </si>
  <si>
    <t>シュトウ　ゲンジ</t>
  </si>
  <si>
    <t>池宮　新</t>
  </si>
  <si>
    <t>イケミヤ　アラタ</t>
  </si>
  <si>
    <t>小島　夢生</t>
  </si>
  <si>
    <t>コジマ　イブキ</t>
  </si>
  <si>
    <t>佐藤　波瑠</t>
  </si>
  <si>
    <t>サトウ　ハル</t>
  </si>
  <si>
    <t>中臣　颯真</t>
  </si>
  <si>
    <t>ナカトミ　ソウマ</t>
  </si>
  <si>
    <t>山川　愛貴</t>
  </si>
  <si>
    <t>ヤマカワ　アイキ</t>
  </si>
  <si>
    <t>森　清一郎</t>
  </si>
  <si>
    <t>モリ　セイイチロウ</t>
  </si>
  <si>
    <t>石橋　悠</t>
  </si>
  <si>
    <t>イシバシ　ユウ</t>
  </si>
  <si>
    <t>永尾　瀬凪</t>
  </si>
  <si>
    <t>ナガオ　セナ</t>
  </si>
  <si>
    <t>崎村　祐正</t>
  </si>
  <si>
    <t>サキムラ　ユウセイ</t>
  </si>
  <si>
    <t>財前　綾斗</t>
  </si>
  <si>
    <t>ザイゼン　アヤト</t>
  </si>
  <si>
    <t>樗木　丈琉</t>
  </si>
  <si>
    <t>オテキ　タケル</t>
  </si>
  <si>
    <t>井上　朔斗</t>
  </si>
  <si>
    <t>イノウエ　サクト</t>
  </si>
  <si>
    <t>西　貴一郎</t>
  </si>
  <si>
    <t>ニシ　キイチロウ</t>
  </si>
  <si>
    <t>寺田　竹志</t>
  </si>
  <si>
    <t>テラダ　タケシ</t>
  </si>
  <si>
    <t>眞嶋　皇我</t>
  </si>
  <si>
    <t>マジマ　オウガ</t>
  </si>
  <si>
    <t>大在サッカースポーツ少年団</t>
  </si>
  <si>
    <t>甲斐　大翔</t>
  </si>
  <si>
    <t>カイ　ヤマト</t>
  </si>
  <si>
    <t>高倉　湊太</t>
  </si>
  <si>
    <t>タカクラ　ソウタ</t>
  </si>
  <si>
    <t>大西　暁士</t>
  </si>
  <si>
    <t>オオニシ　サトシ</t>
  </si>
  <si>
    <t>後藤　司</t>
  </si>
  <si>
    <t>ゴトウ　ツカサ</t>
  </si>
  <si>
    <t>水永　陽花翔</t>
  </si>
  <si>
    <t>ミズナガ　ヒナト</t>
  </si>
  <si>
    <t>加藤　美和</t>
  </si>
  <si>
    <t>カトウ　ミワ</t>
  </si>
  <si>
    <t>姫野　綾華</t>
  </si>
  <si>
    <t>ヒメノ　アヤカ</t>
  </si>
  <si>
    <t>法川　光輝</t>
  </si>
  <si>
    <t>ノリカワ　コウキ</t>
  </si>
  <si>
    <t>法川　成輝</t>
  </si>
  <si>
    <t>ノリカワ　ナルキ</t>
  </si>
  <si>
    <t>三代　鈴太郎</t>
  </si>
  <si>
    <t>ミシロ　リンタロウ</t>
  </si>
  <si>
    <t>田中　蓮音</t>
  </si>
  <si>
    <t>向畑　俊輔</t>
  </si>
  <si>
    <t>ムコハタ　シュンスケ</t>
  </si>
  <si>
    <t>姫野　瑠郁</t>
  </si>
  <si>
    <t>ヒメノ　ルイク</t>
  </si>
  <si>
    <t>佐藤　祐真</t>
  </si>
  <si>
    <t>サトウ　ユウマ</t>
  </si>
  <si>
    <t>竹ノ内　聡真</t>
  </si>
  <si>
    <t>タケノウチ　ソウマ</t>
  </si>
  <si>
    <t>石井　伶</t>
  </si>
  <si>
    <t>イシイ　レイ</t>
  </si>
  <si>
    <t>古賀　郁哉</t>
  </si>
  <si>
    <t>コガ　フミヤ</t>
  </si>
  <si>
    <t>伊藤　諒</t>
  </si>
  <si>
    <t>イトウ　アキ</t>
  </si>
  <si>
    <t>山本　悠雅</t>
  </si>
  <si>
    <t>ヤマモト　ユウガ</t>
  </si>
  <si>
    <t>藤内　心勇</t>
  </si>
  <si>
    <t>トウナイ　シュウ</t>
  </si>
  <si>
    <t>橋本　大璃</t>
  </si>
  <si>
    <t>ハシモト　タイリ</t>
  </si>
  <si>
    <t>三浦　旺真</t>
  </si>
  <si>
    <t>ミウラ　オウマ</t>
  </si>
  <si>
    <t>若杉　奏翔</t>
  </si>
  <si>
    <t>ワカスギ　カナト</t>
  </si>
  <si>
    <t>吉田　晴馬</t>
  </si>
  <si>
    <t>ヨシダ　ハルマ</t>
  </si>
  <si>
    <t>國師　佑晟</t>
  </si>
  <si>
    <t>コクシ　ユウセイ</t>
  </si>
  <si>
    <t>神河　晴希</t>
  </si>
  <si>
    <t>カミカワ　ハルキ</t>
  </si>
  <si>
    <t>楢橋　心羽</t>
  </si>
  <si>
    <t>ナラハシ　コハネ</t>
  </si>
  <si>
    <t>川谷　仁</t>
  </si>
  <si>
    <t>カワタニ　ジン</t>
  </si>
  <si>
    <t>首藤　颯翔</t>
  </si>
  <si>
    <t>シュトウ　ソラト</t>
  </si>
  <si>
    <t>宮口　悠人</t>
  </si>
  <si>
    <t>ミヤグチ　ユウト</t>
  </si>
  <si>
    <t>村山　杏奈</t>
  </si>
  <si>
    <t>ムラヤマ　アンナ</t>
  </si>
  <si>
    <t>三浦　想真</t>
  </si>
  <si>
    <t>神田　想太</t>
  </si>
  <si>
    <t>カンダ　ソウタ</t>
  </si>
  <si>
    <t>浅尾　啓太</t>
  </si>
  <si>
    <t>アサオ　ケイタ</t>
  </si>
  <si>
    <t>安部　央恭</t>
  </si>
  <si>
    <t>アベ　オウスケ</t>
  </si>
  <si>
    <t>福田　海斗</t>
  </si>
  <si>
    <t>フクダ　カイト</t>
  </si>
  <si>
    <t>小野　碧仁</t>
  </si>
  <si>
    <t>オノ　アオト</t>
  </si>
  <si>
    <t>河野　快翔</t>
  </si>
  <si>
    <t>秦　歩夢</t>
  </si>
  <si>
    <t>シン　アユム</t>
  </si>
  <si>
    <t>平野　晃大</t>
  </si>
  <si>
    <t>ヒラノ　コウタ</t>
  </si>
  <si>
    <t>衛藤　壮佑</t>
  </si>
  <si>
    <t>山田　凌翔</t>
  </si>
  <si>
    <t>ヤマダ　リオト</t>
  </si>
  <si>
    <t>渡邉　洸太</t>
  </si>
  <si>
    <t>鶴原　京祐</t>
  </si>
  <si>
    <t>渕野　蒼介</t>
  </si>
  <si>
    <t>フチノ　ソウスケ</t>
  </si>
  <si>
    <t>吉光　志</t>
  </si>
  <si>
    <t>ヨシミツ　ユキ</t>
  </si>
  <si>
    <t>日野　碧人</t>
  </si>
  <si>
    <t>ヒノ　アオト</t>
  </si>
  <si>
    <t>野林　洸太</t>
  </si>
  <si>
    <t>ノバヤシ　コウタ</t>
  </si>
  <si>
    <t>杉田　禅桜</t>
  </si>
  <si>
    <t>スギタ　ゼンヨウ</t>
  </si>
  <si>
    <t>後藤　雅貴</t>
  </si>
  <si>
    <t>ゴトウ　マサキ</t>
  </si>
  <si>
    <t>幸　遼輔</t>
  </si>
  <si>
    <t>ユキ　リョウスケ</t>
  </si>
  <si>
    <t>黒川　厚綺</t>
  </si>
  <si>
    <t>クロカワ　アツキ</t>
  </si>
  <si>
    <t>瀧山　勝汰</t>
  </si>
  <si>
    <t>タキヤマ　ショウタ</t>
  </si>
  <si>
    <t>郷原　秀馬</t>
  </si>
  <si>
    <t>ゴウハラ　シュウマ</t>
  </si>
  <si>
    <t>山村　駿太</t>
  </si>
  <si>
    <t>ヤマムラ　シュンタ</t>
  </si>
  <si>
    <t>多田　唯人</t>
  </si>
  <si>
    <t>タダ　ユイト</t>
  </si>
  <si>
    <t>相良　篤太朗</t>
  </si>
  <si>
    <t>サガラ　トクタロウ</t>
  </si>
  <si>
    <t>野尻　陽</t>
  </si>
  <si>
    <t>ノジリ　ハル</t>
  </si>
  <si>
    <t>小田　晃佑</t>
  </si>
  <si>
    <t>オダ　コウスケ</t>
  </si>
  <si>
    <t>後藤　凛太郎</t>
  </si>
  <si>
    <t>中野　陽太</t>
  </si>
  <si>
    <t>ナカノ　ヒナタ</t>
  </si>
  <si>
    <t>嶌田　優煌</t>
  </si>
  <si>
    <t>シマダ　ユウキ</t>
  </si>
  <si>
    <t>武口　隼人</t>
  </si>
  <si>
    <t>タケグチ　ハヤト</t>
  </si>
  <si>
    <t>小嶋　稜太</t>
  </si>
  <si>
    <t>コジマ　リョウタ</t>
  </si>
  <si>
    <t>松尾　一兄</t>
  </si>
  <si>
    <t>マツオ　イッケイ</t>
  </si>
  <si>
    <t>山村　夏樹</t>
  </si>
  <si>
    <t>ヤマムラ　ナツキ</t>
  </si>
  <si>
    <t>緒方　唯翔</t>
  </si>
  <si>
    <t>オガタ　ユウト</t>
  </si>
  <si>
    <t>星田　徹次朗</t>
  </si>
  <si>
    <t>ホシダ　テツジロウ</t>
  </si>
  <si>
    <t>甲斐　逸平</t>
  </si>
  <si>
    <t>カイ　イッペイ</t>
  </si>
  <si>
    <t>仲道　悠雅</t>
  </si>
  <si>
    <t>ナカミチ　ユウガ</t>
  </si>
  <si>
    <t>森　悠馬</t>
  </si>
  <si>
    <t>モリ　ユウマ</t>
  </si>
  <si>
    <t>渡邊　剛生</t>
  </si>
  <si>
    <t>ワタナベ　ゴウキ</t>
  </si>
  <si>
    <t>上野　颯太</t>
  </si>
  <si>
    <t>ウエノ　リュウタ</t>
  </si>
  <si>
    <t>矢野　聖真</t>
  </si>
  <si>
    <t>ヤノ　キヨマサ</t>
  </si>
  <si>
    <t>吉水　康介</t>
  </si>
  <si>
    <t>ヨシミズ　コウスケ</t>
  </si>
  <si>
    <t>衛藤　充希</t>
  </si>
  <si>
    <t>エトウ　ミツキ</t>
  </si>
  <si>
    <t>山田　汐菜</t>
  </si>
  <si>
    <t>ヤマダ　セナ</t>
  </si>
  <si>
    <t>小野　央士郎</t>
  </si>
  <si>
    <t>谷口　海斗</t>
  </si>
  <si>
    <t>タニグチ　カイト</t>
  </si>
  <si>
    <t>佐藤　歩</t>
  </si>
  <si>
    <t>志賀　琉人</t>
  </si>
  <si>
    <t>シガ　リヒト</t>
  </si>
  <si>
    <t>赤星　龍樹</t>
  </si>
  <si>
    <t>アカボシ　リュウキ</t>
  </si>
  <si>
    <t>後藤　喜一</t>
  </si>
  <si>
    <t>ゴトウ　キイチ</t>
  </si>
  <si>
    <t>田中　琉生</t>
  </si>
  <si>
    <t>丸山　綾仁</t>
  </si>
  <si>
    <t>マルヤマ　アヤト</t>
  </si>
  <si>
    <t>大井　裕翔</t>
  </si>
  <si>
    <t>オオイ　ヒロト</t>
  </si>
  <si>
    <t>立川　大翔</t>
  </si>
  <si>
    <t>タツカワ　ヒロト</t>
  </si>
  <si>
    <t>大塚　悠貴</t>
  </si>
  <si>
    <t>廣瀬　大海</t>
  </si>
  <si>
    <t>ヒロセ　タイガ</t>
  </si>
  <si>
    <t>林　蒼太</t>
  </si>
  <si>
    <t>ハヤシ　ソウタ</t>
  </si>
  <si>
    <t>久保田　陽翔</t>
  </si>
  <si>
    <t>クボタ　ハルト</t>
  </si>
  <si>
    <t>糸永　貫太</t>
  </si>
  <si>
    <t>イトナガ　カンタ</t>
  </si>
  <si>
    <t>伊藤　流生</t>
  </si>
  <si>
    <t>井上　仁翔</t>
  </si>
  <si>
    <t>イノウエ　ニト</t>
  </si>
  <si>
    <t>高橋　由</t>
  </si>
  <si>
    <t>タカハシ　ユイ</t>
  </si>
  <si>
    <t>甲斐　文陽</t>
  </si>
  <si>
    <t>カイ　フミヤ</t>
  </si>
  <si>
    <t>池辺　湊登</t>
  </si>
  <si>
    <t>イケベ　ミナト</t>
  </si>
  <si>
    <t>後藤　煌晴</t>
  </si>
  <si>
    <t>近藤　楓馬</t>
  </si>
  <si>
    <t>コンドウ　フウマ</t>
  </si>
  <si>
    <t>吉光　蒼太</t>
  </si>
  <si>
    <t>ヨシミツ　ソウタ</t>
  </si>
  <si>
    <t>近藤　杏醐</t>
  </si>
  <si>
    <t>コンドウ　キョウゴ</t>
  </si>
  <si>
    <t>棚村　勇瑠</t>
  </si>
  <si>
    <t>タナムラ　タケル</t>
  </si>
  <si>
    <t>七蔵司　翼</t>
  </si>
  <si>
    <t>ナナゾウシ　ツバサ</t>
  </si>
  <si>
    <t>宮嵜　泰一</t>
  </si>
  <si>
    <t>ミヤザキ　タイチ</t>
  </si>
  <si>
    <t>佐藤　航琉</t>
  </si>
  <si>
    <t>サトウ　ワタル</t>
  </si>
  <si>
    <t>宮本　蒼央</t>
  </si>
  <si>
    <t>ミヤモト　アオ</t>
  </si>
  <si>
    <t>坊向　実明</t>
  </si>
  <si>
    <t>ボウムキ　サネアキ</t>
  </si>
  <si>
    <t>蒲原　彰人</t>
  </si>
  <si>
    <t>カマハラ　アキト</t>
  </si>
  <si>
    <t>生駒　幸大</t>
  </si>
  <si>
    <t>イコマ　コウダイ</t>
  </si>
  <si>
    <t>野村　祐弘</t>
  </si>
  <si>
    <t>ノムラ　タスク</t>
  </si>
  <si>
    <t>齋藤　大遙</t>
  </si>
  <si>
    <t>サイトウ　ハル</t>
  </si>
  <si>
    <t>森島　圭都</t>
  </si>
  <si>
    <t>モリシマ　ケイト</t>
  </si>
  <si>
    <t>太田　寿希</t>
  </si>
  <si>
    <t>オオタ　ジュノ</t>
  </si>
  <si>
    <t>秋山　湊</t>
  </si>
  <si>
    <t>アキヤマ　ミナト</t>
  </si>
  <si>
    <t>伊達　絵利華</t>
  </si>
  <si>
    <t>ダテ　エリカ</t>
  </si>
  <si>
    <t>関　湊人</t>
  </si>
  <si>
    <t>セキ　ミナト</t>
  </si>
  <si>
    <t>阿部　湊真</t>
  </si>
  <si>
    <t>生駒　大輝</t>
  </si>
  <si>
    <t>イコマ　ダイヤ</t>
  </si>
  <si>
    <t>廣瀬　亘</t>
  </si>
  <si>
    <t>ヒロセ　コウ</t>
  </si>
  <si>
    <t>矢野　新大</t>
  </si>
  <si>
    <t>ヤノ　アラタ</t>
  </si>
  <si>
    <t>円本　桜瀬</t>
  </si>
  <si>
    <t>エンモト　オウセ</t>
  </si>
  <si>
    <t>岩田　光琉</t>
  </si>
  <si>
    <t>イワタ　ヒカル</t>
  </si>
  <si>
    <t>榮森　琥太郎</t>
  </si>
  <si>
    <t>エイモリ　コタロウ</t>
  </si>
  <si>
    <t>安藤　仁李</t>
  </si>
  <si>
    <t>アンドウ　ジンリ</t>
  </si>
  <si>
    <t>安達　拓実</t>
  </si>
  <si>
    <t>岩田　将輝</t>
  </si>
  <si>
    <t>イワタ　マサキ</t>
  </si>
  <si>
    <t>新名　健一朗</t>
  </si>
  <si>
    <t>ニイナ　ケンイチロウ</t>
  </si>
  <si>
    <t>内田　篤斗</t>
  </si>
  <si>
    <t>ウチダ　アツト</t>
  </si>
  <si>
    <t>松木　大晟</t>
  </si>
  <si>
    <t>マツキ　タイセイ</t>
  </si>
  <si>
    <t>西野　太脩</t>
  </si>
  <si>
    <t>ニシノ　タイスケ</t>
  </si>
  <si>
    <t>野村　湊大</t>
  </si>
  <si>
    <t>ノムラ　ソウタ</t>
  </si>
  <si>
    <t>乙津　雅人</t>
  </si>
  <si>
    <t>オトズ　マサト</t>
  </si>
  <si>
    <t>足立　慶矢</t>
  </si>
  <si>
    <t>アダチ　ケイヤ</t>
  </si>
  <si>
    <t>瓜生　悠之助</t>
  </si>
  <si>
    <t>ウリュウ　ユウノスケ</t>
  </si>
  <si>
    <t>野田　逞真</t>
  </si>
  <si>
    <t>遠藤　征生</t>
  </si>
  <si>
    <t>エンドウ　マサキ</t>
  </si>
  <si>
    <t>鹿嶋　大成</t>
  </si>
  <si>
    <t>カシマ　ヒロナリ</t>
  </si>
  <si>
    <t>岩永　桔平</t>
  </si>
  <si>
    <t>イワナガ　キッペイ</t>
  </si>
  <si>
    <t>坂口　翔望</t>
  </si>
  <si>
    <t>サカグチ　カイト</t>
  </si>
  <si>
    <t>後藤　晴登</t>
  </si>
  <si>
    <t>岩永　泰生</t>
  </si>
  <si>
    <t>イワナガ　タイセイ</t>
  </si>
  <si>
    <t>濱岡　聖也</t>
  </si>
  <si>
    <t>ハマオカ　セイヤ</t>
  </si>
  <si>
    <t>小野　敬士朗</t>
  </si>
  <si>
    <t>オノ　ケイシロウ</t>
  </si>
  <si>
    <t>桑原　颯志</t>
  </si>
  <si>
    <t>クワバラ　ソウシ</t>
  </si>
  <si>
    <t>木下　陽生</t>
  </si>
  <si>
    <t>沓掛　陽真</t>
  </si>
  <si>
    <t>クツカケ　ハルマ</t>
  </si>
  <si>
    <t>阿部　颯斗</t>
  </si>
  <si>
    <t>アベ　ハヤト</t>
  </si>
  <si>
    <t>田中　悠聖</t>
  </si>
  <si>
    <t>タナカ　ユウセイ</t>
  </si>
  <si>
    <t>中島　斗理</t>
  </si>
  <si>
    <t>ナカシマ　トウリ</t>
  </si>
  <si>
    <t>吉原　誠吾</t>
  </si>
  <si>
    <t>ヨシハラ　セイゴ</t>
  </si>
  <si>
    <t>渡邉　彰太</t>
  </si>
  <si>
    <t>金高　光輝</t>
  </si>
  <si>
    <t>カネタカ　コウキ</t>
  </si>
  <si>
    <t>伊東　蒼斗</t>
  </si>
  <si>
    <t>イトウ　アイト</t>
  </si>
  <si>
    <t>隈田原　湧真</t>
  </si>
  <si>
    <t>クマタバラ　ユウマ</t>
  </si>
  <si>
    <t>吉田　愛咲</t>
  </si>
  <si>
    <t>ヨシダ　レサ</t>
  </si>
  <si>
    <t>溜池　直</t>
  </si>
  <si>
    <t>タメイケ　ナオ</t>
  </si>
  <si>
    <t>麻生　泰志</t>
  </si>
  <si>
    <t>アソウ　タイシ</t>
  </si>
  <si>
    <t>宇留嶋　陸</t>
  </si>
  <si>
    <t>ウルシマ　リク</t>
  </si>
  <si>
    <t>村松　瑛太</t>
  </si>
  <si>
    <t>ムラマツ　エイタ</t>
  </si>
  <si>
    <t>牧　奏汰</t>
  </si>
  <si>
    <t>マキ　カナタ</t>
  </si>
  <si>
    <t>井上　和志</t>
  </si>
  <si>
    <t>イノウエ　カズシ</t>
  </si>
  <si>
    <t>井上　志温</t>
  </si>
  <si>
    <t>イノウエ　シオン</t>
  </si>
  <si>
    <t>川口　和空</t>
  </si>
  <si>
    <t>カワグチ　ワク</t>
  </si>
  <si>
    <t>河邉　冬伍</t>
  </si>
  <si>
    <t>中西　眞翔</t>
  </si>
  <si>
    <t>ナカニシ　マナト</t>
  </si>
  <si>
    <t>阿南　沙耶斗</t>
  </si>
  <si>
    <t>アナミ　サヤト</t>
  </si>
  <si>
    <t>高浪　遼馬</t>
  </si>
  <si>
    <t>ハラダ　コウヤ</t>
  </si>
  <si>
    <t>林　力翔</t>
  </si>
  <si>
    <t>ハヤシ　リキト</t>
  </si>
  <si>
    <t>秋吉　琉衣</t>
  </si>
  <si>
    <t>アキヨシ　ルイ</t>
  </si>
  <si>
    <t>松木　滉成</t>
  </si>
  <si>
    <t>マツキ　コウセイ</t>
  </si>
  <si>
    <t>糟谷　倫太朗</t>
  </si>
  <si>
    <t>カスタニ　リンタロウ</t>
  </si>
  <si>
    <t>江尻　大和</t>
  </si>
  <si>
    <t>エジリ　ヤマト</t>
  </si>
  <si>
    <t>岩田　優生</t>
  </si>
  <si>
    <t>イワタ　ユウセイ</t>
  </si>
  <si>
    <t>野田　豊太郎</t>
  </si>
  <si>
    <t>ノダ　トヨタロウ</t>
  </si>
  <si>
    <t>岡田　悠助</t>
  </si>
  <si>
    <t>オカダ　ユウスケ</t>
  </si>
  <si>
    <t>岩下　悠輝</t>
  </si>
  <si>
    <t>イワシタ　ユウキ</t>
  </si>
  <si>
    <t>野田　宗嗣</t>
  </si>
  <si>
    <t>ノダ　ソウシ</t>
  </si>
  <si>
    <t>釜元　琥輝</t>
  </si>
  <si>
    <t>カマモト　コウキ</t>
  </si>
  <si>
    <t>阿部　康介</t>
  </si>
  <si>
    <t>アベ　コウスケ</t>
  </si>
  <si>
    <t>松本　優治</t>
  </si>
  <si>
    <t>マツモト　マサハル</t>
  </si>
  <si>
    <t>脇口　遥</t>
  </si>
  <si>
    <t>ワキグチ　ハルカ</t>
  </si>
  <si>
    <t>中野　春仁</t>
  </si>
  <si>
    <t>ナカノ　ハルヒト</t>
  </si>
  <si>
    <t>首藤　由成</t>
  </si>
  <si>
    <t>シュトウ　ユウセイ</t>
  </si>
  <si>
    <t>山口　市路</t>
  </si>
  <si>
    <t>ヤマグチ　イチロ</t>
  </si>
  <si>
    <t>上田　湊真</t>
  </si>
  <si>
    <t>ウエダ　ソウマ</t>
  </si>
  <si>
    <t>江口　彪人</t>
  </si>
  <si>
    <t>エグチ　アヤト</t>
  </si>
  <si>
    <t>佐藤　彩斗</t>
  </si>
  <si>
    <t>村上　亜留斗</t>
  </si>
  <si>
    <t>ムラカミ　アルト</t>
  </si>
  <si>
    <t>安部　諒人</t>
  </si>
  <si>
    <t>アベ　アキト</t>
  </si>
  <si>
    <t>渡部　翔瑠</t>
  </si>
  <si>
    <t>ワタナベ　カケル</t>
  </si>
  <si>
    <t>上田　悠葵</t>
  </si>
  <si>
    <t>ウエダ　ユウキ</t>
  </si>
  <si>
    <t>衞藤　健太</t>
  </si>
  <si>
    <t>エトウ　ケンタ</t>
  </si>
  <si>
    <t>渡部　日奈太</t>
  </si>
  <si>
    <t>ワタナベ　ヒナタ</t>
  </si>
  <si>
    <t>江口　暁人</t>
  </si>
  <si>
    <t>エグチ　アキト</t>
  </si>
  <si>
    <t>貞包　奏翔</t>
  </si>
  <si>
    <t>サダカネ　カナト</t>
  </si>
  <si>
    <t>了戒　煌空</t>
  </si>
  <si>
    <t>リョウカイ　キラ</t>
  </si>
  <si>
    <t>宮脇　貴大</t>
  </si>
  <si>
    <t>ミヤワキ　タカヒロ</t>
  </si>
  <si>
    <t>片野　翔太</t>
  </si>
  <si>
    <t>カタノ　ショウタ</t>
  </si>
  <si>
    <t>梶原　颯太</t>
  </si>
  <si>
    <t>カジハラ　ソウタ</t>
  </si>
  <si>
    <t>清末　拓暉</t>
  </si>
  <si>
    <t>キヨスエ　ヒロキ</t>
  </si>
  <si>
    <t>川尻　陽弥</t>
  </si>
  <si>
    <t>カワジリ　ハルヤ</t>
  </si>
  <si>
    <t>安東　優一朗</t>
  </si>
  <si>
    <t>アンドウ　ユウイチロウ</t>
  </si>
  <si>
    <t>野尻　蒼葉</t>
  </si>
  <si>
    <t>ノジリ　アオバ</t>
  </si>
  <si>
    <t>三宮　碧之助</t>
  </si>
  <si>
    <t>サンミヤ　アオノスケ</t>
  </si>
  <si>
    <t>尾下　颯</t>
  </si>
  <si>
    <t>オシタ　ハヤテ</t>
  </si>
  <si>
    <t>江戸　暁十</t>
  </si>
  <si>
    <t>エド　アキト</t>
  </si>
  <si>
    <t>柳井　祐人</t>
  </si>
  <si>
    <t>ヤナイ　ユウト</t>
  </si>
  <si>
    <t>宮脇　雅大</t>
  </si>
  <si>
    <t>ミヤワキ　マサヒロ</t>
  </si>
  <si>
    <t>松尾　唯真</t>
  </si>
  <si>
    <t>マツオ　イシン</t>
  </si>
  <si>
    <t>麻生　陽斗</t>
  </si>
  <si>
    <t>アソウ　アキト</t>
  </si>
  <si>
    <t>藤澤　優翔</t>
  </si>
  <si>
    <t>フジサワ　ユウト</t>
  </si>
  <si>
    <t>桑原　結香</t>
  </si>
  <si>
    <t>クワバラ　ユイカ</t>
  </si>
  <si>
    <t>宮永　和歩</t>
  </si>
  <si>
    <t>ミヤナガ　ノア</t>
  </si>
  <si>
    <t>小野　蒼友</t>
  </si>
  <si>
    <t>オノ　ソウスケ</t>
  </si>
  <si>
    <t>串間　彰斗</t>
  </si>
  <si>
    <t>クシマ　アキト</t>
  </si>
  <si>
    <t>大塚　杏</t>
  </si>
  <si>
    <t>オオツカ　アン</t>
  </si>
  <si>
    <t>川邉　優里菜</t>
  </si>
  <si>
    <t>カワベ　ユリナ</t>
  </si>
  <si>
    <t>牧　輝真</t>
  </si>
  <si>
    <t>マキ　テルマ</t>
  </si>
  <si>
    <t>実崎　優太郎</t>
  </si>
  <si>
    <t>ジツザキ　ユウタロウ</t>
  </si>
  <si>
    <t>平田　架</t>
  </si>
  <si>
    <t>ヒラタ　カケル</t>
  </si>
  <si>
    <t>冨本　悠生</t>
  </si>
  <si>
    <t>トミモト　ハルキ</t>
  </si>
  <si>
    <t>後藤　海璃</t>
  </si>
  <si>
    <t>首藤　蓮</t>
  </si>
  <si>
    <t>シュトウ　レン</t>
  </si>
  <si>
    <t>中山　朔太郎</t>
  </si>
  <si>
    <t>ナカヤマ　サクタロウ</t>
  </si>
  <si>
    <t>加藤　碧</t>
  </si>
  <si>
    <t>カトウ　アオ</t>
  </si>
  <si>
    <t>敷嶋　心歌</t>
  </si>
  <si>
    <t>シキシマ　ホノカ</t>
  </si>
  <si>
    <t>原田　莉子</t>
  </si>
  <si>
    <t>ハラダ　リコ</t>
  </si>
  <si>
    <t>石崎　萌花</t>
  </si>
  <si>
    <t>イシザキ　モカ</t>
  </si>
  <si>
    <t>菊地　七海</t>
  </si>
  <si>
    <t>キクチ　ナナミ</t>
  </si>
  <si>
    <t>小野　一珈</t>
  </si>
  <si>
    <t>オノ　イチカ</t>
  </si>
  <si>
    <t>荒田　晴</t>
  </si>
  <si>
    <t>アラタ　ハル</t>
  </si>
  <si>
    <t>油布　隆之介</t>
  </si>
  <si>
    <t>ユフ　リュウノスケ</t>
  </si>
  <si>
    <t>石崎　徹真</t>
  </si>
  <si>
    <t>イシザキ　テッシン</t>
  </si>
  <si>
    <t>山崎　瞳璃</t>
  </si>
  <si>
    <t>ヤマサキ　トウリ</t>
  </si>
  <si>
    <t>工藤　颯馬</t>
  </si>
  <si>
    <t>クドウ　ソウマ</t>
  </si>
  <si>
    <t>髙橋　凰介</t>
  </si>
  <si>
    <t>長尾　凜和</t>
  </si>
  <si>
    <t>ナガオ　リント</t>
  </si>
  <si>
    <t>斜木　稜介</t>
  </si>
  <si>
    <t>ナナメキ　リョウスケ</t>
  </si>
  <si>
    <t>馬場　蒼汰</t>
  </si>
  <si>
    <t>ババ　ソウタ</t>
  </si>
  <si>
    <t>後藤　薫</t>
  </si>
  <si>
    <t>ゴトウ　カオル</t>
  </si>
  <si>
    <t>肌野　昇輝</t>
  </si>
  <si>
    <t>ハダノ　ショウキ</t>
  </si>
  <si>
    <t>加藤　柊</t>
  </si>
  <si>
    <t>カトウ　シュウ</t>
  </si>
  <si>
    <t>手島　壮佑</t>
  </si>
  <si>
    <t>テシマ　ソウスケ</t>
  </si>
  <si>
    <t>片山　陽向</t>
  </si>
  <si>
    <t>カタヤマ　ヒナタ</t>
  </si>
  <si>
    <t>嶌田　祐汰朗</t>
  </si>
  <si>
    <t>シマダ　ユウタロウ</t>
  </si>
  <si>
    <t>木元　悠惺</t>
  </si>
  <si>
    <t>キモト　ユウセイ</t>
  </si>
  <si>
    <t>首藤　湊</t>
  </si>
  <si>
    <t>シュトウ　ミナト</t>
  </si>
  <si>
    <t>藤澤　栞太</t>
  </si>
  <si>
    <t>フジサワ　カンタ</t>
  </si>
  <si>
    <t>日出ＳＳＳ</t>
  </si>
  <si>
    <t>山崎　遼太郎</t>
  </si>
  <si>
    <t>ヤマサキ　リョウタロウ</t>
  </si>
  <si>
    <t>秋吉　結菜</t>
  </si>
  <si>
    <t>アキヨシ　ユイナ</t>
  </si>
  <si>
    <t>伊藤　美結</t>
  </si>
  <si>
    <t>イトウ　ミユ</t>
  </si>
  <si>
    <t>河野　海誓</t>
  </si>
  <si>
    <t>コウノ　カイセイ</t>
  </si>
  <si>
    <t>河野　蓮生</t>
  </si>
  <si>
    <t>コウノ　レイ</t>
  </si>
  <si>
    <t>竹野　航輔</t>
  </si>
  <si>
    <t>タケノ　コウスケ</t>
  </si>
  <si>
    <t>岩坂　惇平</t>
  </si>
  <si>
    <t>イワサカ　ジュンペイ</t>
  </si>
  <si>
    <t>岡田　考太</t>
  </si>
  <si>
    <t>オカダ　コウタ</t>
  </si>
  <si>
    <t>藤原　匠吾</t>
  </si>
  <si>
    <t>フジワラ　ショウゴ</t>
  </si>
  <si>
    <t>上野　新太</t>
  </si>
  <si>
    <t>ウエノ　アラタ</t>
  </si>
  <si>
    <t>佐藤　青芭</t>
  </si>
  <si>
    <t>サトウ　アオバ</t>
  </si>
  <si>
    <t>伊藤　吏玖</t>
  </si>
  <si>
    <t>イトウ　リク</t>
  </si>
  <si>
    <t>本田　侑</t>
  </si>
  <si>
    <t>ホンダ　タスク</t>
  </si>
  <si>
    <t>日出ＳＳＳ　ＮＥＸＴ</t>
  </si>
  <si>
    <t>村上　白翔</t>
  </si>
  <si>
    <t>ムラカミ　ハクト</t>
  </si>
  <si>
    <t>宮本　璃子</t>
  </si>
  <si>
    <t>ミヤモト　リコ</t>
  </si>
  <si>
    <t>平塚　琉輝</t>
  </si>
  <si>
    <t>ヒラツカ　リュウキ</t>
  </si>
  <si>
    <t>佐藤　彩花</t>
  </si>
  <si>
    <t>サトウ　イロハ</t>
  </si>
  <si>
    <t>元川　隼翔</t>
  </si>
  <si>
    <t>モトカワ　ハヤト</t>
  </si>
  <si>
    <t>中野　一惺</t>
  </si>
  <si>
    <t>ナカノ　イッセイ</t>
  </si>
  <si>
    <t>小迫　賢昊</t>
  </si>
  <si>
    <t>コザコ　ケンゴウ</t>
  </si>
  <si>
    <t>梁田　和正</t>
  </si>
  <si>
    <t>ヤナダ　カズマサ</t>
  </si>
  <si>
    <t>井又　匠</t>
  </si>
  <si>
    <t>イマタ　タクミ</t>
  </si>
  <si>
    <t>萱嶋　天翔</t>
  </si>
  <si>
    <t>カヤシマ　ソラ</t>
  </si>
  <si>
    <t>大賀　朝日</t>
  </si>
  <si>
    <t>オオガ　アサヒ</t>
  </si>
  <si>
    <t>秋吉　朔太朗</t>
  </si>
  <si>
    <t>アキヨシ　サクタロウ</t>
  </si>
  <si>
    <t>二宮　優</t>
  </si>
  <si>
    <t>ニノミヤ　ユウ</t>
  </si>
  <si>
    <t>諸富　蓮成</t>
  </si>
  <si>
    <t>モロトミ　レンセイ</t>
  </si>
  <si>
    <t>田口　颯泰</t>
  </si>
  <si>
    <t>タグチ　ソウタ</t>
  </si>
  <si>
    <t>幸　碧唯</t>
  </si>
  <si>
    <t>ユキ　アオイ</t>
  </si>
  <si>
    <t>嶋田　将希</t>
  </si>
  <si>
    <t>シマダ　マサキ</t>
  </si>
  <si>
    <t>山田　大輝</t>
  </si>
  <si>
    <t>ヤマダ　ダイキ</t>
  </si>
  <si>
    <t>兵頭　羚王</t>
  </si>
  <si>
    <t>ヒョウドウ　レオ</t>
  </si>
  <si>
    <t>南　和樹</t>
  </si>
  <si>
    <t>富久　翔馬</t>
  </si>
  <si>
    <t>トミヒサ　ショウマ</t>
  </si>
  <si>
    <t>橋迫　楓河</t>
  </si>
  <si>
    <t>ハシザコ　フウガ</t>
  </si>
  <si>
    <t>ハシザコ　タイガ</t>
  </si>
  <si>
    <t>小森　悠生</t>
  </si>
  <si>
    <t>コモリ　ユウキ</t>
  </si>
  <si>
    <t>増井　蒼介</t>
  </si>
  <si>
    <t>マスイ　ソウスケ</t>
  </si>
  <si>
    <t>後藤　直元</t>
  </si>
  <si>
    <t>ゴトウ　ナオモト</t>
  </si>
  <si>
    <t>岩本　恵治</t>
  </si>
  <si>
    <t>イワモト　ケイジ</t>
  </si>
  <si>
    <t>竹本　唯希</t>
  </si>
  <si>
    <t>タケモト　イブキ</t>
  </si>
  <si>
    <t>五十川　葵海</t>
  </si>
  <si>
    <t>イソガワ　アオイ</t>
  </si>
  <si>
    <t>孫田　匠翔</t>
  </si>
  <si>
    <t>マゴタ　タクト</t>
  </si>
  <si>
    <t>田中　陵太</t>
  </si>
  <si>
    <t>タナカ　リョウタ</t>
  </si>
  <si>
    <t>山本　怜旺</t>
  </si>
  <si>
    <t>松尾　翔斗</t>
  </si>
  <si>
    <t>マツオ　ショウト</t>
  </si>
  <si>
    <t>柴田　柏介</t>
  </si>
  <si>
    <t>シバタ　ハクスケ</t>
  </si>
  <si>
    <t>柚須　涼太</t>
  </si>
  <si>
    <t>ユス　リョウタ</t>
  </si>
  <si>
    <t>行平　健晟</t>
  </si>
  <si>
    <t>ユキヒラ　ケンセイ</t>
  </si>
  <si>
    <t>安藤　巧馬</t>
  </si>
  <si>
    <t>アンドウ　タクマ</t>
  </si>
  <si>
    <t>花北　旭輝</t>
  </si>
  <si>
    <t>ハナキタ　アサヒ</t>
  </si>
  <si>
    <t>大野　理玖</t>
  </si>
  <si>
    <t>オオノ　リク</t>
  </si>
  <si>
    <t>本田　稀有</t>
  </si>
  <si>
    <t>ホンダ　レアル</t>
  </si>
  <si>
    <t>中畑　翔哉</t>
  </si>
  <si>
    <t>ナカハタ　ショウヤ</t>
  </si>
  <si>
    <t>日名子　蒼大</t>
  </si>
  <si>
    <t>ヒナゴ　ソウタ</t>
  </si>
  <si>
    <t>野田　雅</t>
  </si>
  <si>
    <t>ノダ　ミヤビ</t>
  </si>
  <si>
    <t>市原　姫奈</t>
  </si>
  <si>
    <t>イチハラ　ヒナ</t>
  </si>
  <si>
    <t>平岡　充望</t>
  </si>
  <si>
    <t>ヒラオカ　ミツル</t>
  </si>
  <si>
    <t>永野　結翔</t>
  </si>
  <si>
    <t>ナガノ　ユイト</t>
  </si>
  <si>
    <t>岡　湊翔</t>
  </si>
  <si>
    <t>オカ　ミナト</t>
  </si>
  <si>
    <t>溝部　あやか</t>
  </si>
  <si>
    <t>ミゾベ　アヤカ</t>
  </si>
  <si>
    <t>櫻井　仁</t>
  </si>
  <si>
    <t>サクライ　ジン</t>
  </si>
  <si>
    <t>植木　風樹</t>
  </si>
  <si>
    <t>ウエキ　フウキ</t>
  </si>
  <si>
    <t>櫻井　旬</t>
  </si>
  <si>
    <t>サクライ　シュン</t>
  </si>
  <si>
    <t>伊藤　愛勇</t>
  </si>
  <si>
    <t>イトウ　アオ</t>
  </si>
  <si>
    <t>大西　陽向</t>
  </si>
  <si>
    <t>オオニシ　ヒナタ</t>
  </si>
  <si>
    <t>永松　知康</t>
  </si>
  <si>
    <t>ナガマツ　トモヤス</t>
  </si>
  <si>
    <t>昆　桜空</t>
  </si>
  <si>
    <t>コン　オウスケ</t>
  </si>
  <si>
    <t>阿南　慧大</t>
  </si>
  <si>
    <t>アナン　ケイタ</t>
  </si>
  <si>
    <t>山田　智波</t>
  </si>
  <si>
    <t>ヤマダ　チナミ</t>
  </si>
  <si>
    <t>門田　淳希</t>
  </si>
  <si>
    <t>カドタ　アツキ</t>
  </si>
  <si>
    <t>菊池　奏汰</t>
  </si>
  <si>
    <t>キクチ　カナタ</t>
  </si>
  <si>
    <t>大野　航大</t>
  </si>
  <si>
    <t>オオノ　コウダイ</t>
  </si>
  <si>
    <t>佐藤　陽太</t>
  </si>
  <si>
    <t>サトウ　ヨウタ</t>
  </si>
  <si>
    <t>羽田野　壮</t>
  </si>
  <si>
    <t>ハダノ　ソウ</t>
  </si>
  <si>
    <t>重石　悠斗</t>
  </si>
  <si>
    <t>シゲイシ　ユウト</t>
  </si>
  <si>
    <t>本田　悠</t>
  </si>
  <si>
    <t>ホンダ　ハル</t>
  </si>
  <si>
    <t>佐藤　創太</t>
  </si>
  <si>
    <t>サトウ　ソウタ</t>
  </si>
  <si>
    <t>佐藤　泰生</t>
  </si>
  <si>
    <t>サトウ　タイセイ</t>
  </si>
  <si>
    <t>福田　雅</t>
  </si>
  <si>
    <t>フクダ　ミヤビ</t>
  </si>
  <si>
    <t>佐藤　悠生</t>
  </si>
  <si>
    <t>上野　晃斗</t>
  </si>
  <si>
    <t>ウエノ　アキト</t>
  </si>
  <si>
    <t>酒井　心大朗</t>
  </si>
  <si>
    <t>サカイ　コタロウ</t>
  </si>
  <si>
    <t>小笠原　伊織</t>
  </si>
  <si>
    <t>オガサワラ　イオリ</t>
  </si>
  <si>
    <t>田中　凌大</t>
  </si>
  <si>
    <t>高田　想佑</t>
  </si>
  <si>
    <t>タカダ　ソウスケ</t>
  </si>
  <si>
    <t>佐藤　吟汰</t>
  </si>
  <si>
    <t>サトウ　ギンタ</t>
  </si>
  <si>
    <t>後藤　悠大</t>
  </si>
  <si>
    <t>明石　諒</t>
  </si>
  <si>
    <t>アカシ　リョウ</t>
  </si>
  <si>
    <t>三宅　晴也</t>
  </si>
  <si>
    <t>ミヤケ　セイヤ</t>
  </si>
  <si>
    <t>首藤　琥珀</t>
  </si>
  <si>
    <t>シュトウ　コハク</t>
  </si>
  <si>
    <t>川畑　岳</t>
  </si>
  <si>
    <t>カワバタ　ガク</t>
  </si>
  <si>
    <t>橋山　駿</t>
  </si>
  <si>
    <t>ハシヤマ　シュン</t>
  </si>
  <si>
    <t>椎原　隆太</t>
  </si>
  <si>
    <t>シイハラ　リュウタ</t>
  </si>
  <si>
    <t>田村　優依</t>
  </si>
  <si>
    <t>タムラ　ウイ</t>
  </si>
  <si>
    <t>上田　大耀</t>
  </si>
  <si>
    <t>東　千隼</t>
  </si>
  <si>
    <t>ヒガシ　チハヤ</t>
  </si>
  <si>
    <t>岩﨑　一翔</t>
  </si>
  <si>
    <t>イワサキ　カズト</t>
  </si>
  <si>
    <t>東　朔也</t>
  </si>
  <si>
    <t>ヒガシ　サクヤ</t>
  </si>
  <si>
    <t>薬師寺　王輝</t>
  </si>
  <si>
    <t>ヤクシジ　オウラ</t>
  </si>
  <si>
    <t>高峯　茜太郎</t>
  </si>
  <si>
    <t>タカミネ　センタロウ</t>
  </si>
  <si>
    <t>佐藤　颯太</t>
  </si>
  <si>
    <t>石田　健</t>
  </si>
  <si>
    <t>イシダ　タケル</t>
  </si>
  <si>
    <t>仲摩　晴渡</t>
  </si>
  <si>
    <t>ナカマ　ハルト</t>
  </si>
  <si>
    <t>眞井　賢志郎</t>
  </si>
  <si>
    <t>マイ　ケンシロウ</t>
  </si>
  <si>
    <t>渡邊　真統</t>
  </si>
  <si>
    <t>山崎　翔</t>
  </si>
  <si>
    <t>ヤマサキ　ソラ</t>
  </si>
  <si>
    <t>岩波　克己</t>
  </si>
  <si>
    <t>イワナミ　カツキ</t>
  </si>
  <si>
    <t>山崎　碧</t>
  </si>
  <si>
    <t>ヤマザキ　アオ</t>
  </si>
  <si>
    <t>河野　和真</t>
  </si>
  <si>
    <t>コウノ　カズマ</t>
  </si>
  <si>
    <t>小野　柊弥</t>
  </si>
  <si>
    <t>オノ　シュウヤ</t>
  </si>
  <si>
    <t>三房　真麻</t>
  </si>
  <si>
    <t>ミフサ　マオ</t>
  </si>
  <si>
    <t>内藤　千瑛</t>
  </si>
  <si>
    <t>ナイトウ　チアキ</t>
  </si>
  <si>
    <t>古澤　健人</t>
  </si>
  <si>
    <t>フルサワ　ケント</t>
  </si>
  <si>
    <t>古澤　篤人</t>
  </si>
  <si>
    <t>フルサワ　アツト</t>
  </si>
  <si>
    <t>長野　奏汰</t>
  </si>
  <si>
    <t>ナガノ　カナタ</t>
  </si>
  <si>
    <t>安部　遥</t>
  </si>
  <si>
    <t>アベ　ハル</t>
  </si>
  <si>
    <t>橋本　大心</t>
  </si>
  <si>
    <t>ハシモト　ヒロト</t>
  </si>
  <si>
    <t>原　魁理</t>
  </si>
  <si>
    <t>ハラ　カイリ</t>
  </si>
  <si>
    <t>髙野　瑞基</t>
  </si>
  <si>
    <t>タカノ　ミズキ</t>
  </si>
  <si>
    <t>河野　冬馬</t>
  </si>
  <si>
    <t>吉良　遥翔</t>
  </si>
  <si>
    <t>キラ　ハルト</t>
  </si>
  <si>
    <t>荻野　公汰</t>
  </si>
  <si>
    <t>オギノ　コウタ</t>
  </si>
  <si>
    <t>眞庭　壮</t>
  </si>
  <si>
    <t>マニワ　ソウ</t>
  </si>
  <si>
    <t>長野　聖生</t>
  </si>
  <si>
    <t>ナガノ　サトル</t>
  </si>
  <si>
    <t>大戸　涼雅</t>
  </si>
  <si>
    <t>ネギ　リョウガ</t>
  </si>
  <si>
    <t>佐藤　桜雅</t>
  </si>
  <si>
    <t>サトウ　オウガ</t>
  </si>
  <si>
    <t>新納　琉偉</t>
  </si>
  <si>
    <t>ニイノ　レイ</t>
  </si>
  <si>
    <t>後藤　聖弥</t>
  </si>
  <si>
    <t>ゴトウ　セイヤ</t>
  </si>
  <si>
    <t>廣瀬　爽志</t>
  </si>
  <si>
    <t>ヒロセ　ソウシ</t>
  </si>
  <si>
    <t>廣瀬　玲志</t>
  </si>
  <si>
    <t>ヒロセ　レイジ</t>
  </si>
  <si>
    <t>甲斐　慈大</t>
  </si>
  <si>
    <t>カイ　イツキ</t>
  </si>
  <si>
    <t>黒田　彪牙</t>
  </si>
  <si>
    <t>クロダ　ヒュウガ</t>
  </si>
  <si>
    <t>西川　幸多</t>
  </si>
  <si>
    <t>ニシカワ　コウタ</t>
  </si>
  <si>
    <t>椎葉　蒼生</t>
  </si>
  <si>
    <t>シイバ　アオイ</t>
  </si>
  <si>
    <t>園田　海?</t>
  </si>
  <si>
    <t>ソノダ　カイラ</t>
  </si>
  <si>
    <t>和哥山　隼</t>
  </si>
  <si>
    <t>ワカヤマ　シュン</t>
  </si>
  <si>
    <t>長岡　明飛</t>
  </si>
  <si>
    <t>ナガオカ　ハルト</t>
  </si>
  <si>
    <t>福田　大耀</t>
  </si>
  <si>
    <t>フクダ　タイヨウ</t>
  </si>
  <si>
    <t>仁部屋　太希</t>
  </si>
  <si>
    <t>ニブヤ　タイキ</t>
  </si>
  <si>
    <t>藤原　悠乃</t>
  </si>
  <si>
    <t>フジワラ　ユノ</t>
  </si>
  <si>
    <t>松原　明希</t>
  </si>
  <si>
    <t>マツバラ　アキ</t>
  </si>
  <si>
    <t>清原　響希</t>
  </si>
  <si>
    <t>キヨハラ　ヒビキ</t>
  </si>
  <si>
    <t>平島　遥翔</t>
  </si>
  <si>
    <t>ヒラシマ　ハルト</t>
  </si>
  <si>
    <t>井植　星翔</t>
  </si>
  <si>
    <t>イノウエ　セイト</t>
  </si>
  <si>
    <t>森本　悠斗</t>
  </si>
  <si>
    <t>モリモト　ユウト</t>
  </si>
  <si>
    <t>平島　優叶</t>
  </si>
  <si>
    <t>ヒラシマ　ユウト</t>
  </si>
  <si>
    <t>嶋田　裕人</t>
  </si>
  <si>
    <t>シマダ　ヒロト</t>
  </si>
  <si>
    <t>清原　将希</t>
  </si>
  <si>
    <t>キヨハラ　ショウキ</t>
  </si>
  <si>
    <t>櫻井　謙心</t>
  </si>
  <si>
    <t>サクライ　ケンシン</t>
  </si>
  <si>
    <t>穴見　優翔</t>
  </si>
  <si>
    <t>アナミ　ユアト</t>
  </si>
  <si>
    <t>中島　汰宥</t>
  </si>
  <si>
    <t>ナカシマ　タイスケ</t>
  </si>
  <si>
    <t>廣松　揺士郎</t>
  </si>
  <si>
    <t>ヒロマツ　ヨウジロウ</t>
  </si>
  <si>
    <t>青山　拓馬</t>
  </si>
  <si>
    <t>アオヤマ　タクマ</t>
  </si>
  <si>
    <t>里見　悠太</t>
  </si>
  <si>
    <t>サトミ　ユウタ</t>
  </si>
  <si>
    <t>久我　琉人</t>
  </si>
  <si>
    <t>クガ　リュウト</t>
  </si>
  <si>
    <t>中崎　悠大</t>
  </si>
  <si>
    <t>ナカザキ　ユウダイ</t>
  </si>
  <si>
    <t>松田　悠</t>
  </si>
  <si>
    <t>マツダ　ユウ</t>
  </si>
  <si>
    <t>井口　蒼士</t>
  </si>
  <si>
    <t>イノクチ　ソウシ</t>
  </si>
  <si>
    <t>後藤　瑛琉馬</t>
  </si>
  <si>
    <t>ゴトウ　エルマ</t>
  </si>
  <si>
    <t>原田　透利</t>
  </si>
  <si>
    <t>ハラダ　トオリ</t>
  </si>
  <si>
    <t>矢野　翔介</t>
  </si>
  <si>
    <t>ヤノ　ショウスケ</t>
  </si>
  <si>
    <t>高宮　凌駕</t>
  </si>
  <si>
    <t>タカミヤ　リョウガ</t>
  </si>
  <si>
    <t>石田　結晟</t>
  </si>
  <si>
    <t>イシダ　ユウセイ</t>
  </si>
  <si>
    <t>諸富　巧真</t>
  </si>
  <si>
    <t>モロトミ　タクマ</t>
  </si>
  <si>
    <t>黒川　舜梁</t>
  </si>
  <si>
    <t>クロガワ　シュハリ</t>
  </si>
  <si>
    <t>後藤　悠真</t>
  </si>
  <si>
    <t>ゴトウ　ユウマ</t>
  </si>
  <si>
    <t>横尾　陸人</t>
  </si>
  <si>
    <t>ヨコオ　リクト</t>
  </si>
  <si>
    <t>松尾　一輝</t>
  </si>
  <si>
    <t>マツオ　イッキ</t>
  </si>
  <si>
    <t>黒木　仁輔</t>
  </si>
  <si>
    <t>クロキ　ジンスケ</t>
  </si>
  <si>
    <t>齊藤　蓮太朗</t>
  </si>
  <si>
    <t>サイトウ　レンタロウ</t>
  </si>
  <si>
    <t>山本　葵</t>
  </si>
  <si>
    <t>ヤマモト　アオイ</t>
  </si>
  <si>
    <t>木元　星杏</t>
  </si>
  <si>
    <t>キモト　セアン</t>
  </si>
  <si>
    <t>松岡　陽奈</t>
  </si>
  <si>
    <t>マツオカ　ヒナ</t>
  </si>
  <si>
    <t>末永　葵空</t>
  </si>
  <si>
    <t>スエナガ　アオト</t>
  </si>
  <si>
    <t>山﨑　勇人</t>
  </si>
  <si>
    <t>ヤマサキ　ハヤト</t>
  </si>
  <si>
    <t>林　巧太</t>
  </si>
  <si>
    <t>山﨑　湊太</t>
  </si>
  <si>
    <t>ヤマサキ　ソウタ</t>
  </si>
  <si>
    <t>池永　紬人</t>
  </si>
  <si>
    <t>イケナガ　ユウト</t>
  </si>
  <si>
    <t>細木　大聖</t>
  </si>
  <si>
    <t>ホソギ　タイセイ</t>
  </si>
  <si>
    <t>前田　蓮斗</t>
  </si>
  <si>
    <t>マエダ　レント</t>
  </si>
  <si>
    <t>手嶋　菜々美</t>
  </si>
  <si>
    <t>テシマ　ナナミ</t>
  </si>
  <si>
    <t>後藤　拓翔</t>
  </si>
  <si>
    <t>江藤　浩介</t>
  </si>
  <si>
    <t>岩城　旭飛</t>
  </si>
  <si>
    <t>イワキ　アサヒ</t>
  </si>
  <si>
    <t>松本　悠吏</t>
  </si>
  <si>
    <t>濵﨑　翼</t>
  </si>
  <si>
    <t>ハマサキ　タスク</t>
  </si>
  <si>
    <t>大久保　柊</t>
  </si>
  <si>
    <t>オオクボ　シュウ</t>
  </si>
  <si>
    <t>乙津　聡介</t>
  </si>
  <si>
    <t>オトヅ　ソウスケ</t>
  </si>
  <si>
    <t>甲斐　湊人</t>
  </si>
  <si>
    <t>手嶋　哲義</t>
  </si>
  <si>
    <t>テシマ　サトヨシ</t>
  </si>
  <si>
    <t>溝邉　輝真</t>
  </si>
  <si>
    <t>ミゾベ　テルマ</t>
  </si>
  <si>
    <t>宮本　弦</t>
  </si>
  <si>
    <t>ミヤモト　ゲン</t>
  </si>
  <si>
    <t>三崎　登太</t>
  </si>
  <si>
    <t>ミサキ　トウタ</t>
  </si>
  <si>
    <t>志村　碧</t>
  </si>
  <si>
    <t>シムラ　アオイ</t>
  </si>
  <si>
    <t>得丸　大翔</t>
  </si>
  <si>
    <t>トクマル　ヒロト</t>
  </si>
  <si>
    <t>齊藤　諒太朗</t>
  </si>
  <si>
    <t>サイトウ　リョウタロウ</t>
  </si>
  <si>
    <t>麻生　瑛心</t>
  </si>
  <si>
    <t>アソウ　エイシン</t>
  </si>
  <si>
    <t>田﨑　礼翔</t>
  </si>
  <si>
    <t>タサキ　ライト</t>
  </si>
  <si>
    <t>佐藤　新汰</t>
  </si>
  <si>
    <t>サトウ　アラタ</t>
  </si>
  <si>
    <t>三又　瑛</t>
  </si>
  <si>
    <t>ミマタ　テル</t>
  </si>
  <si>
    <t>清松　出</t>
  </si>
  <si>
    <t>キヨマツ　イヅル</t>
  </si>
  <si>
    <t>神田　煌汰朗</t>
  </si>
  <si>
    <t>カンダ　コタロウ</t>
  </si>
  <si>
    <t>赤嶺　爽真</t>
  </si>
  <si>
    <t>アカミネ　ソウマ</t>
  </si>
  <si>
    <t>下村　匠真</t>
  </si>
  <si>
    <t>シモムラ　タクマ</t>
  </si>
  <si>
    <t>長野　晴仁</t>
  </si>
  <si>
    <t>ナガノ　ハルヒト</t>
  </si>
  <si>
    <t>首藤　真乃愛</t>
  </si>
  <si>
    <t>シュトウ　マノア</t>
  </si>
  <si>
    <t>馬場　海斗</t>
  </si>
  <si>
    <t>ババ　カイト</t>
  </si>
  <si>
    <t>油布　瑛斗</t>
  </si>
  <si>
    <t>ユフ　エイト</t>
  </si>
  <si>
    <t>野仲　翔空</t>
  </si>
  <si>
    <t>ノナカ　トア</t>
  </si>
  <si>
    <t>坂本　蓮太</t>
  </si>
  <si>
    <t>サカモト　レンタ</t>
  </si>
  <si>
    <t>濵島　佑斗</t>
  </si>
  <si>
    <t>ハマシマ　ユウト</t>
  </si>
  <si>
    <t>角谷　樹希</t>
  </si>
  <si>
    <t>カクヤ　イツキ</t>
  </si>
  <si>
    <t>水江　友寿</t>
  </si>
  <si>
    <t>ミズエ　トモヒサ</t>
  </si>
  <si>
    <t>姫野　滉己</t>
  </si>
  <si>
    <t>ヒメノ　コウキ</t>
  </si>
  <si>
    <t>後藤　成朋</t>
  </si>
  <si>
    <t>ゴトウ　ナオ</t>
  </si>
  <si>
    <t>衞藤　心</t>
  </si>
  <si>
    <t>簑原　忠彦</t>
  </si>
  <si>
    <t>ミノハラ　タダヒコ</t>
  </si>
  <si>
    <t>廣田　瑛人</t>
  </si>
  <si>
    <t>ヒロタ　アキト</t>
  </si>
  <si>
    <t>小野　昂季</t>
  </si>
  <si>
    <t>三浦　岳也</t>
  </si>
  <si>
    <t>ミウラ　タケナリ</t>
  </si>
  <si>
    <t>加藤　羽琉</t>
  </si>
  <si>
    <t>カトウ　ハル</t>
  </si>
  <si>
    <t>椎山　陽仁</t>
  </si>
  <si>
    <t>シイヤマ　ハルト</t>
  </si>
  <si>
    <t>岩田　逞生</t>
  </si>
  <si>
    <t>イワタ　タクミ</t>
  </si>
  <si>
    <t>安部　拓真</t>
  </si>
  <si>
    <t>アベ　タクマ</t>
  </si>
  <si>
    <t>村中　陽翔</t>
  </si>
  <si>
    <t>ムラナカ　ハルト</t>
  </si>
  <si>
    <t>後藤　羽空</t>
  </si>
  <si>
    <t>ゴトウ　ワク</t>
  </si>
  <si>
    <t>合沢　拓海</t>
  </si>
  <si>
    <t>アイザワ　タクミ</t>
  </si>
  <si>
    <t>岩﨑　愛斗</t>
  </si>
  <si>
    <t>イワサキ　マナト</t>
  </si>
  <si>
    <t>高橋　愛衣斗</t>
  </si>
  <si>
    <t>タカハシ　アイト</t>
  </si>
  <si>
    <t>古賀　晴也</t>
  </si>
  <si>
    <t>コガ　ハルヤ</t>
  </si>
  <si>
    <t>足立　晴</t>
  </si>
  <si>
    <t>アダチ　ハル</t>
  </si>
  <si>
    <t>鈴木　叶我</t>
  </si>
  <si>
    <t>スズキ　トウガ</t>
  </si>
  <si>
    <t>山本　波音</t>
  </si>
  <si>
    <t>ヤマモト　ナオト</t>
  </si>
  <si>
    <t>安藤　成都</t>
  </si>
  <si>
    <t>アンドウ　ナリト</t>
  </si>
  <si>
    <t>神崎　海斗</t>
  </si>
  <si>
    <t>カンザキ　カイト</t>
  </si>
  <si>
    <t>下瀬　琥珀</t>
  </si>
  <si>
    <t>シモセ　コハク</t>
  </si>
  <si>
    <t>矢田　てん介</t>
  </si>
  <si>
    <t>ヤダ　テンスケ</t>
  </si>
  <si>
    <t>首藤　淳志</t>
  </si>
  <si>
    <t>シュトウ　アツシ</t>
  </si>
  <si>
    <t>古野　優汰</t>
  </si>
  <si>
    <t>フルノ　ユウタ</t>
  </si>
  <si>
    <t>古賀　充稀</t>
  </si>
  <si>
    <t>コガ　ミツキ</t>
  </si>
  <si>
    <t>村松　玲央</t>
  </si>
  <si>
    <t>ムラマツ　レオ</t>
  </si>
  <si>
    <t>姫野　平祐</t>
  </si>
  <si>
    <t>ヒメノ　ヘイスケ</t>
  </si>
  <si>
    <t>生野　悠河</t>
  </si>
  <si>
    <t>ショウノ　ユウガ</t>
  </si>
  <si>
    <t>幸　仁</t>
  </si>
  <si>
    <t>ユキ　ジン</t>
  </si>
  <si>
    <t>関藤　一夏</t>
  </si>
  <si>
    <t>セキトウ　ハジメ</t>
  </si>
  <si>
    <t>内田　朱馬</t>
  </si>
  <si>
    <t>ウチダ　シュウマ</t>
  </si>
  <si>
    <t>高橋　恵太朗</t>
  </si>
  <si>
    <t>タカハシ　ケイタロウ</t>
  </si>
  <si>
    <t>髙橋　蒼汰</t>
  </si>
  <si>
    <t>藤原　壮希</t>
  </si>
  <si>
    <t>フジワラ　ソウマ</t>
  </si>
  <si>
    <t>井ノ口　遥稀</t>
  </si>
  <si>
    <t>イノグチ　ハルキ</t>
  </si>
  <si>
    <t>脇　優虎</t>
  </si>
  <si>
    <t>ワキ　ユウト</t>
  </si>
  <si>
    <t>清水　絃太郎</t>
  </si>
  <si>
    <t>シミズ　ゲンタロウ</t>
  </si>
  <si>
    <t>森　貫太朗</t>
  </si>
  <si>
    <t>モリ　カンタロウ</t>
  </si>
  <si>
    <t>佐藤　一颯</t>
  </si>
  <si>
    <t>サトウ　イブキ</t>
  </si>
  <si>
    <t>中野　百貴</t>
  </si>
  <si>
    <t>ナカノ　モモキ</t>
  </si>
  <si>
    <t>矢野　彰吾</t>
  </si>
  <si>
    <t>ヤノ　ショウゴ</t>
  </si>
  <si>
    <t>東川　結人</t>
  </si>
  <si>
    <t>ヒガシカワ　ユイト</t>
  </si>
  <si>
    <t>山田　耀心</t>
  </si>
  <si>
    <t>ヤマダ　ヨウシン</t>
  </si>
  <si>
    <t>船島　謙真</t>
  </si>
  <si>
    <t>フナシマ　ケンシン</t>
  </si>
  <si>
    <t>五十川　杏奈</t>
  </si>
  <si>
    <t>イカガワ　アンナ</t>
  </si>
  <si>
    <t>岩下　碧生</t>
  </si>
  <si>
    <t>イワシタ　アオイ</t>
  </si>
  <si>
    <t>新名　純也</t>
  </si>
  <si>
    <t>ニイナ　ジュンヤ</t>
  </si>
  <si>
    <t>藤目　海斗</t>
  </si>
  <si>
    <t>フジメ　カイト</t>
  </si>
  <si>
    <t>橘　巧工</t>
  </si>
  <si>
    <t>タチバナ　タク</t>
  </si>
  <si>
    <t>田口　壱翔</t>
  </si>
  <si>
    <t>タグチ　イチト</t>
  </si>
  <si>
    <t>平松　蓮祐</t>
  </si>
  <si>
    <t>ヒラマツ　レンスケ</t>
  </si>
  <si>
    <t>平川　瞬</t>
  </si>
  <si>
    <t>ヒラカワ　シュン</t>
  </si>
  <si>
    <t>板井　颯太</t>
  </si>
  <si>
    <t>イタイ　ソウタ</t>
  </si>
  <si>
    <t>白井　湊士</t>
  </si>
  <si>
    <t>シライ　ミナト</t>
  </si>
  <si>
    <t>師藤　史弥</t>
  </si>
  <si>
    <t>シトウ　フミヤ</t>
  </si>
  <si>
    <t>大塚　康太</t>
  </si>
  <si>
    <t>オオツカ　コウタ</t>
  </si>
  <si>
    <t>友岡　煌晴</t>
  </si>
  <si>
    <t>トモオカ　コオセイ</t>
  </si>
  <si>
    <t>城井　琢杜</t>
  </si>
  <si>
    <t>キイ　タクト</t>
  </si>
  <si>
    <t>通戸　丈助</t>
  </si>
  <si>
    <t>トオリド　ジョウスケ</t>
  </si>
  <si>
    <t>上塚　多喜</t>
  </si>
  <si>
    <t>ウエツカ　タキ</t>
  </si>
  <si>
    <t>佐藤　慶士郎</t>
  </si>
  <si>
    <t>サトウ　ケイシロウ</t>
  </si>
  <si>
    <t>加木　心絆</t>
  </si>
  <si>
    <t>カキ　シンバ</t>
  </si>
  <si>
    <t>佐々木　颯斗</t>
  </si>
  <si>
    <t>ササキ　ハヤト</t>
  </si>
  <si>
    <t>渋谷　一晟</t>
  </si>
  <si>
    <t>シブヤ　イッセイ</t>
  </si>
  <si>
    <t>田上　琉偉</t>
  </si>
  <si>
    <t>タノウエ　ルイ</t>
  </si>
  <si>
    <t>実本　慶翔</t>
  </si>
  <si>
    <t>ジツモト　ケイト</t>
  </si>
  <si>
    <t>植木　聡介</t>
  </si>
  <si>
    <t>ウエキ　ソウスケ</t>
  </si>
  <si>
    <t>萱島　陽斗</t>
  </si>
  <si>
    <t>カヤシマ　ハルト</t>
  </si>
  <si>
    <t>渡辺　和志</t>
  </si>
  <si>
    <t>ワタナベ　カズシ</t>
  </si>
  <si>
    <t>三浦　桜介</t>
  </si>
  <si>
    <t>ミウラ　オウスケ</t>
  </si>
  <si>
    <t>神崎　兜心</t>
  </si>
  <si>
    <t>カンザキ　トウシン</t>
  </si>
  <si>
    <t>小池　真生</t>
  </si>
  <si>
    <t>コイケ　マコナリ</t>
  </si>
  <si>
    <t>江島　健太</t>
  </si>
  <si>
    <t>エシマ　ケンタ</t>
  </si>
  <si>
    <t>大石　晃太</t>
  </si>
  <si>
    <t>オオイシ　コウタ</t>
  </si>
  <si>
    <t>甲斐　琥冴</t>
  </si>
  <si>
    <t>カイ　コウガ</t>
  </si>
  <si>
    <t>平川　巧</t>
  </si>
  <si>
    <t>ヒラカワ　タクミ</t>
  </si>
  <si>
    <t>三浦　陽介</t>
  </si>
  <si>
    <t>ミウラ　ヨウスケ</t>
  </si>
  <si>
    <t>仲村　優成</t>
  </si>
  <si>
    <t>ナカムラ　ユウセイ</t>
  </si>
  <si>
    <t>児玉　梛生</t>
  </si>
  <si>
    <t>コダマ　ナギ</t>
  </si>
  <si>
    <t>髙松　航輔</t>
  </si>
  <si>
    <t>タカマツ　コウスケ</t>
  </si>
  <si>
    <t>御手洗　翼</t>
  </si>
  <si>
    <t>ミタライ　ツバサ</t>
  </si>
  <si>
    <t>安部　菜央</t>
  </si>
  <si>
    <t>アンベ　ナオ</t>
  </si>
  <si>
    <t>坂元　柊哉</t>
  </si>
  <si>
    <t>サカモト　シュウヤ</t>
  </si>
  <si>
    <t>畠山　遥瑠</t>
  </si>
  <si>
    <t>ハタケヤマ　ハル</t>
  </si>
  <si>
    <t>藤井　朔太郎</t>
  </si>
  <si>
    <t>フジイ　サクタロウ</t>
  </si>
  <si>
    <t>杉田　夢逢</t>
  </si>
  <si>
    <t>スギタ　ムア</t>
  </si>
  <si>
    <t>大本　玲生</t>
  </si>
  <si>
    <t>オオモト　レン</t>
  </si>
  <si>
    <t>村上　大翔</t>
  </si>
  <si>
    <t>ムラカミ　ダイト</t>
  </si>
  <si>
    <t>川野　謙弥</t>
  </si>
  <si>
    <t>カワノ　ケンヤ</t>
  </si>
  <si>
    <t>東　昊ノ輔</t>
  </si>
  <si>
    <t>ヒガシ　コウノスケ</t>
  </si>
  <si>
    <t>甲斐　凰聖</t>
  </si>
  <si>
    <t>カイ　オウセイ</t>
  </si>
  <si>
    <t>亀井　凌真</t>
  </si>
  <si>
    <t>カメイ　リョウマ</t>
  </si>
  <si>
    <t>平山　凪</t>
  </si>
  <si>
    <t>ヒラヤマ　ナギ</t>
  </si>
  <si>
    <t>竹村　倫太朗</t>
  </si>
  <si>
    <t>タケムラ　リンタロウ</t>
  </si>
  <si>
    <t>柳井　ひなた</t>
  </si>
  <si>
    <t>ヤナイ　ヒナタ</t>
  </si>
  <si>
    <t>藤原　陽大</t>
  </si>
  <si>
    <t>フジワラ　ハルト</t>
  </si>
  <si>
    <t>矢野　碧人</t>
  </si>
  <si>
    <t>ヤノ　アオト</t>
  </si>
  <si>
    <t>荻野　太陽</t>
  </si>
  <si>
    <t>オギノ　タイヨウ</t>
  </si>
  <si>
    <t>浅野　直雅</t>
  </si>
  <si>
    <t>アサノ　ナオマサ</t>
  </si>
  <si>
    <t>フカタ　リツ</t>
  </si>
  <si>
    <t>首藤　瑛太</t>
  </si>
  <si>
    <t>シュトウ　エイタ</t>
  </si>
  <si>
    <t>波津久　悠真</t>
  </si>
  <si>
    <t>ハヅク　ユウマ</t>
  </si>
  <si>
    <t>森田　朔久</t>
  </si>
  <si>
    <t>モリタ　サク</t>
  </si>
  <si>
    <t>後藤　瑛斗</t>
  </si>
  <si>
    <t>ゴトウ　エイト</t>
  </si>
  <si>
    <t>三木　帆乃花</t>
  </si>
  <si>
    <t>ミキ　ホノカ</t>
  </si>
  <si>
    <t>河野　陽空</t>
  </si>
  <si>
    <t>カワノ　ハルク</t>
  </si>
  <si>
    <t>吉田　一翔</t>
  </si>
  <si>
    <t>ヨシダ　カズト</t>
  </si>
  <si>
    <t>佐伯　遙琉</t>
  </si>
  <si>
    <t>サイキ　ハル</t>
  </si>
  <si>
    <t>御幡　悠希</t>
  </si>
  <si>
    <t>ミハタ　ユウキ</t>
  </si>
  <si>
    <t>田口　朔久</t>
  </si>
  <si>
    <t>タグチ　サク</t>
  </si>
  <si>
    <t>永竿　碧大</t>
  </si>
  <si>
    <t>ナガサオ　アイト</t>
  </si>
  <si>
    <t>岩本　一希</t>
  </si>
  <si>
    <t>イワモト　イツキ</t>
  </si>
  <si>
    <t>矢野　悠希</t>
  </si>
  <si>
    <t>ヤノ　ユウキ</t>
  </si>
  <si>
    <t>中野　悠人</t>
  </si>
  <si>
    <t>ナカノ　ヒサト</t>
  </si>
  <si>
    <t>鶴原　智太</t>
  </si>
  <si>
    <t>ツルハラ　チヒロ</t>
  </si>
  <si>
    <t>吉田　明日夢</t>
  </si>
  <si>
    <t>ヨシダ　アスム</t>
  </si>
  <si>
    <t>ゴトウ　カナト</t>
  </si>
  <si>
    <t>近藤　陽平</t>
  </si>
  <si>
    <t>コンドウ　ヨウヘイ</t>
  </si>
  <si>
    <t>佐藤　悠翔</t>
  </si>
  <si>
    <t>サトウ　ハルマ</t>
  </si>
  <si>
    <t>藤野　悠馬</t>
  </si>
  <si>
    <t>フジノ　ユウマ</t>
  </si>
  <si>
    <t>定行　郁李</t>
  </si>
  <si>
    <t>サダユキ　イクリ</t>
  </si>
  <si>
    <t>相良　誠遥</t>
  </si>
  <si>
    <t>サガラ　セイヨウ</t>
  </si>
  <si>
    <t>冨田　優紀人</t>
  </si>
  <si>
    <t>トミタ　ユキト</t>
  </si>
  <si>
    <t>下高　慧士</t>
  </si>
  <si>
    <t>シモタカ　ケイト</t>
  </si>
  <si>
    <t>橋本　凌芽</t>
  </si>
  <si>
    <t>ハシモト　リョウガ</t>
  </si>
  <si>
    <t>谷川　海音</t>
  </si>
  <si>
    <t>タニガワ　カイ</t>
  </si>
  <si>
    <t>渡抜　颯馬</t>
  </si>
  <si>
    <t>ワタヌキ　ソウマ</t>
  </si>
  <si>
    <t>山本　湊翔</t>
  </si>
  <si>
    <t>ヤマモト　ミナト</t>
  </si>
  <si>
    <t>大分トリニータタートルズキング</t>
  </si>
  <si>
    <t>中山　翔元</t>
  </si>
  <si>
    <t>ナカヤマ　ショウゲン</t>
  </si>
  <si>
    <t>長岡　煌真</t>
  </si>
  <si>
    <t>ナガオカ　コウマ</t>
  </si>
  <si>
    <t>衞藤　航平</t>
  </si>
  <si>
    <t>エトウ　コウヘイ</t>
  </si>
  <si>
    <t>富田　海音</t>
  </si>
  <si>
    <t>トミタ　カイト</t>
  </si>
  <si>
    <t>吉川　禄</t>
  </si>
  <si>
    <t>ヨシカワ　ロク</t>
  </si>
  <si>
    <t>山﨑　琴音</t>
  </si>
  <si>
    <t>ヤマサキ　コトネ</t>
  </si>
  <si>
    <t>小出　海翔</t>
  </si>
  <si>
    <t>コイデ　カイト</t>
  </si>
  <si>
    <t>古田　豹</t>
  </si>
  <si>
    <t>フルタ　ヒョウ</t>
  </si>
  <si>
    <t>鉄崎　有真</t>
  </si>
  <si>
    <t>テツサキ　ユウマ</t>
  </si>
  <si>
    <t>岩屋　虹希</t>
  </si>
  <si>
    <t>イワヤ　コウキ</t>
  </si>
  <si>
    <t>白石　祐羅</t>
  </si>
  <si>
    <t>シライシ　ユラ</t>
  </si>
  <si>
    <t>仲野　稜矢</t>
  </si>
  <si>
    <t>ナカノ　リョウヤ</t>
  </si>
  <si>
    <t>麻生　奏多</t>
  </si>
  <si>
    <t>アソウ　カナタ</t>
  </si>
  <si>
    <t>鶴崎ＳＳＳ</t>
  </si>
  <si>
    <t>岡本　友哉</t>
  </si>
  <si>
    <t>オカモト　トモヤ</t>
  </si>
  <si>
    <t>後藤　将太</t>
  </si>
  <si>
    <t>ゴトウ　ショウタ</t>
  </si>
  <si>
    <t>武原　侑真</t>
  </si>
  <si>
    <t>タケハラ　ユウマ</t>
  </si>
  <si>
    <t>山﨑　旦</t>
  </si>
  <si>
    <t>ヤマサキ　タン</t>
  </si>
  <si>
    <t>竹永　絆人</t>
  </si>
  <si>
    <t>タケナガ　ハント</t>
  </si>
  <si>
    <t>幸　彩加</t>
  </si>
  <si>
    <t>ユキ　アヤカ</t>
  </si>
  <si>
    <t>阿部　結太朗</t>
  </si>
  <si>
    <t>アベ　ユイタロウ</t>
  </si>
  <si>
    <t>久枝　隼人</t>
  </si>
  <si>
    <t>ヒサエダ　ハヤト</t>
  </si>
  <si>
    <t>阿部　太陽</t>
  </si>
  <si>
    <t>アベ　タイヨウ</t>
  </si>
  <si>
    <t>山村　太我</t>
  </si>
  <si>
    <t>ヤマムラ　タイガ</t>
  </si>
  <si>
    <t>鮫島　諒成</t>
  </si>
  <si>
    <t>サメジマ　リョウセイ</t>
  </si>
  <si>
    <t>姫野　雅楽</t>
  </si>
  <si>
    <t>ヒメノ　ウタ</t>
  </si>
  <si>
    <t>真藤　煌</t>
  </si>
  <si>
    <t>マトウ　ヒカル</t>
  </si>
  <si>
    <t>加藤　葉</t>
  </si>
  <si>
    <t>カトウ　ヨウ</t>
  </si>
  <si>
    <t>中山　翔</t>
  </si>
  <si>
    <t>ナカヤマ　カケル</t>
  </si>
  <si>
    <t>橋本　侑樹</t>
  </si>
  <si>
    <t>ハシモト　ユウキ</t>
  </si>
  <si>
    <t>小宮　陽翔</t>
  </si>
  <si>
    <t>コミヤ　ヒナト</t>
  </si>
  <si>
    <t>宇土　碧波</t>
  </si>
  <si>
    <t>ウト　アオバ</t>
  </si>
  <si>
    <t>志賀　大巳</t>
  </si>
  <si>
    <t>シガ　ヒロミ</t>
  </si>
  <si>
    <t>井上　伍貴</t>
  </si>
  <si>
    <t>イノウエ　イツキ</t>
  </si>
  <si>
    <t>園田　愛喜</t>
  </si>
  <si>
    <t>ソノダ　アキ</t>
  </si>
  <si>
    <t>乙女　心結</t>
  </si>
  <si>
    <t>オトメ　ココロ</t>
  </si>
  <si>
    <t>原田　浄生</t>
  </si>
  <si>
    <t>ハラダ　ジョウ</t>
  </si>
  <si>
    <t>木村　琉偉</t>
  </si>
  <si>
    <t>キムラ　ルイ</t>
  </si>
  <si>
    <t>松井　響大</t>
  </si>
  <si>
    <t>マツイ　キョウタ</t>
  </si>
  <si>
    <t>識名　十二朗</t>
  </si>
  <si>
    <t>シキナ　トウジロウ</t>
  </si>
  <si>
    <t>河野　壮汰</t>
  </si>
  <si>
    <t>コウノ　ソウタ</t>
  </si>
  <si>
    <t>大園　友葵</t>
  </si>
  <si>
    <t>オオゾノ　トモキ</t>
  </si>
  <si>
    <t>河野　賢心</t>
  </si>
  <si>
    <t>コウノ　ケンシン</t>
  </si>
  <si>
    <t>内木　綱人</t>
  </si>
  <si>
    <t>ナイキ　ツナト</t>
  </si>
  <si>
    <t>首藤　織人</t>
  </si>
  <si>
    <t>シュトウ　オリト</t>
  </si>
  <si>
    <t>渡邉　陽太</t>
  </si>
  <si>
    <t>寺司　京太郎</t>
  </si>
  <si>
    <t>テラジ　キョウタロウ</t>
  </si>
  <si>
    <t>松川　斗真</t>
  </si>
  <si>
    <t>マツカワ　トウマ</t>
  </si>
  <si>
    <t>長田　想大</t>
  </si>
  <si>
    <t>ナガタ　ソウタ</t>
  </si>
  <si>
    <t>今川　正清</t>
  </si>
  <si>
    <t>イマガワ　マサキヨ</t>
  </si>
  <si>
    <t>糸長　賢斗</t>
  </si>
  <si>
    <t>イトナガ　ケント</t>
  </si>
  <si>
    <t>清水　奏良</t>
  </si>
  <si>
    <t>シミズ　ソラ</t>
  </si>
  <si>
    <t>高藤　羽瑠</t>
  </si>
  <si>
    <t>タカフジ　ハル</t>
  </si>
  <si>
    <t>丸尾　蓮</t>
  </si>
  <si>
    <t>マルオ　レン</t>
  </si>
  <si>
    <t>長田　啓吾</t>
  </si>
  <si>
    <t>ナガタ　ケイゴ</t>
  </si>
  <si>
    <t>藤原　聡真</t>
  </si>
  <si>
    <t>石見　湊湟</t>
  </si>
  <si>
    <t>イシミ　シオン</t>
  </si>
  <si>
    <t>安倍　巴</t>
  </si>
  <si>
    <t>アベ　トモエ</t>
  </si>
  <si>
    <t>熊埜御堂　蓮翔</t>
  </si>
  <si>
    <t>クマノミドウ　レント</t>
  </si>
  <si>
    <t>大野　光槻</t>
  </si>
  <si>
    <t>オオノ　ミツキ</t>
  </si>
  <si>
    <t>岩男　樹愛</t>
  </si>
  <si>
    <t>イワオ　ジュア</t>
  </si>
  <si>
    <t>有吉　蒼汰</t>
  </si>
  <si>
    <t>アリヨシ　ソウタ</t>
  </si>
  <si>
    <t>関　湊士</t>
  </si>
  <si>
    <t>セキ　ソウシ</t>
  </si>
  <si>
    <t>梶原　夏</t>
  </si>
  <si>
    <t>カジワラ　ナツ</t>
  </si>
  <si>
    <t>井上　朔太郎</t>
  </si>
  <si>
    <t>イノウエ　サクタロウ</t>
  </si>
  <si>
    <t>藤本　勇人</t>
  </si>
  <si>
    <t>フジモト　ハヤト</t>
  </si>
  <si>
    <t>山本　歩</t>
  </si>
  <si>
    <t>ヤマモト　アユム</t>
  </si>
  <si>
    <t>佐藤　一叶</t>
  </si>
  <si>
    <t>サトウ　イチト</t>
  </si>
  <si>
    <t>藤川　大和</t>
  </si>
  <si>
    <t>フジカワ　ヤマト</t>
  </si>
  <si>
    <t>佐藤　仁哉</t>
  </si>
  <si>
    <t>サトウ　ジンヤ</t>
  </si>
  <si>
    <t>矢野　斗麻</t>
  </si>
  <si>
    <t>ヤノ　トウマ</t>
  </si>
  <si>
    <t>石井　琥二郎</t>
  </si>
  <si>
    <t>イシイ　コジロウ</t>
  </si>
  <si>
    <t>山本　蓮</t>
  </si>
  <si>
    <t>ヤマモト　レン</t>
  </si>
  <si>
    <t>中村　心和</t>
  </si>
  <si>
    <t>ナカムラ　シンカ</t>
  </si>
  <si>
    <t>加藤　壮</t>
  </si>
  <si>
    <t>カトウ　ソウ</t>
  </si>
  <si>
    <t>吉弘　侑史</t>
  </si>
  <si>
    <t>ヨシヒロ　ユウシ</t>
  </si>
  <si>
    <t>佐藤　晴太</t>
  </si>
  <si>
    <t>サトウ　ハルタ</t>
  </si>
  <si>
    <t>河野　晃誠</t>
  </si>
  <si>
    <t>百武　和真</t>
  </si>
  <si>
    <t>ヒャクタケ　カズマ</t>
  </si>
  <si>
    <t>井上　笑里</t>
  </si>
  <si>
    <t>イノウエ　エミリ</t>
  </si>
  <si>
    <t>山本　悠流</t>
  </si>
  <si>
    <t>ヤマモト　ハル</t>
  </si>
  <si>
    <t>伊藤　暉狼</t>
  </si>
  <si>
    <t>イトウ　フェイラン</t>
  </si>
  <si>
    <t>吉田　聖己</t>
  </si>
  <si>
    <t>新納　りり葉</t>
  </si>
  <si>
    <t>ニイノ　リリハ</t>
  </si>
  <si>
    <t>井上　奏音</t>
  </si>
  <si>
    <t>イノウエ　タクト</t>
  </si>
  <si>
    <t>吉田　脩斗</t>
  </si>
  <si>
    <t>ヨシダ　シュウト</t>
  </si>
  <si>
    <t>河野　煌大</t>
  </si>
  <si>
    <t>カワノ　コウダイ</t>
  </si>
  <si>
    <t>佳元　懸汰</t>
  </si>
  <si>
    <t>ヨシモト　ケンタ</t>
  </si>
  <si>
    <t>渡邉　羽</t>
  </si>
  <si>
    <t>ワタナベ　ハク</t>
  </si>
  <si>
    <t>中野　稀</t>
  </si>
  <si>
    <t>ナカノ　レア</t>
  </si>
  <si>
    <t>池辺　光凱</t>
  </si>
  <si>
    <t>イケベ　コウガ</t>
  </si>
  <si>
    <t>菅　泰輔</t>
  </si>
  <si>
    <t>カン　タイスケ</t>
  </si>
  <si>
    <t>秦　竹宏</t>
  </si>
  <si>
    <t>シン　タケヒロ</t>
  </si>
  <si>
    <t>若林　煌明</t>
  </si>
  <si>
    <t>ワカバヤシ　コウメイ</t>
  </si>
  <si>
    <t>恵藤　太陽</t>
  </si>
  <si>
    <t>エトウ　タイヨウ</t>
  </si>
  <si>
    <t>西田　虎太朗</t>
  </si>
  <si>
    <t>ニシダ　コタロウ</t>
  </si>
  <si>
    <t>二宮　裕輝</t>
  </si>
  <si>
    <t>ニノミヤ　ユウキ</t>
  </si>
  <si>
    <t>襖田　瑛人</t>
  </si>
  <si>
    <t>フスマダ　エイト</t>
  </si>
  <si>
    <t>白石　樹</t>
  </si>
  <si>
    <t>シライシ　イツキ</t>
  </si>
  <si>
    <t>松川　叶翔</t>
  </si>
  <si>
    <t>マツカワ　カナト</t>
  </si>
  <si>
    <t>安波　桜次郎</t>
  </si>
  <si>
    <t>ヤスナミ　オウジロウ</t>
  </si>
  <si>
    <t>亀田　陽人</t>
  </si>
  <si>
    <t>カメダ　ハルト</t>
  </si>
  <si>
    <t>木付　柊斗</t>
  </si>
  <si>
    <t>キヅキ　シュウト</t>
  </si>
  <si>
    <t>椙山　瑛斗</t>
  </si>
  <si>
    <t>スギヤマ　エイト</t>
  </si>
  <si>
    <t>藤原　颯太</t>
  </si>
  <si>
    <t>本多　耕麓</t>
  </si>
  <si>
    <t>ホンダ　コウロク</t>
  </si>
  <si>
    <t>稲垣　樹紀</t>
  </si>
  <si>
    <t>イナガキ　イツキ</t>
  </si>
  <si>
    <t>岡村　湧久</t>
  </si>
  <si>
    <t>オカムラ　ワク</t>
  </si>
  <si>
    <t>安達　真生弥</t>
  </si>
  <si>
    <t>アダチ　マオヤ</t>
  </si>
  <si>
    <t>出口　夏</t>
  </si>
  <si>
    <t>デグチ　ナツ</t>
  </si>
  <si>
    <t>伊藤　駿汰</t>
  </si>
  <si>
    <t>阿部　勇</t>
  </si>
  <si>
    <t>アベ　イサミ</t>
  </si>
  <si>
    <t>スマイススポーツＵ１２</t>
  </si>
  <si>
    <t>川端　陸夢</t>
  </si>
  <si>
    <t>カワバタ　リム</t>
  </si>
  <si>
    <t>櫻井　琥次郎</t>
  </si>
  <si>
    <t>サクライ　コジロウ</t>
  </si>
  <si>
    <t>河野　稜祐</t>
  </si>
  <si>
    <t>カワノ　リョウスケ</t>
  </si>
  <si>
    <t>後藤　楓空</t>
  </si>
  <si>
    <t>ゴトウ　フウア</t>
  </si>
  <si>
    <t>渡邉　亮司</t>
  </si>
  <si>
    <t>ワタナベ　リョウジ</t>
  </si>
  <si>
    <t>土谷　一普</t>
  </si>
  <si>
    <t>ツチヤ　イッシン</t>
  </si>
  <si>
    <t>永野　央頼</t>
  </si>
  <si>
    <t>ナガノ　オウラ</t>
  </si>
  <si>
    <t>高井　斗蒼</t>
  </si>
  <si>
    <t>タカイ　トア</t>
  </si>
  <si>
    <t>首藤　絢心</t>
  </si>
  <si>
    <t>シュトウ　ケンシン</t>
  </si>
  <si>
    <t>阿部　史弥</t>
  </si>
  <si>
    <t>アベ　フミヤ</t>
  </si>
  <si>
    <t>寺田　駿也</t>
  </si>
  <si>
    <t>テラダ　シュンヤ</t>
  </si>
  <si>
    <t>岡本　楓己</t>
  </si>
  <si>
    <t>オカモト　フウキ</t>
  </si>
  <si>
    <t>伊藤　文乃</t>
  </si>
  <si>
    <t>イトウ　アヤノ</t>
  </si>
  <si>
    <t>那賀　奏音</t>
  </si>
  <si>
    <t>ナカ　カノン</t>
  </si>
  <si>
    <t>スマイススポーツＵ１２Ｂ</t>
  </si>
  <si>
    <t>兒玉　昊士</t>
  </si>
  <si>
    <t>コダマ　ヒロト</t>
  </si>
  <si>
    <t>佐藤　陽彩</t>
  </si>
  <si>
    <t>サトウ　ヒイロ</t>
  </si>
  <si>
    <t>谷口　叶真</t>
  </si>
  <si>
    <t>タニグチ　トウマ</t>
  </si>
  <si>
    <t>下郡　圭眞</t>
  </si>
  <si>
    <t>シモゴオリ　ケイマ</t>
  </si>
  <si>
    <t>遠藤　陽希</t>
  </si>
  <si>
    <t>エンドウ　ハルキ</t>
  </si>
  <si>
    <t>手嶋　佑蒼</t>
  </si>
  <si>
    <t>テシマ　ユアト</t>
  </si>
  <si>
    <t>辛島　ほなみ</t>
  </si>
  <si>
    <t>カラシマ　ホナミ</t>
  </si>
  <si>
    <t>足立　智治</t>
  </si>
  <si>
    <t>アダチ　トシハル</t>
  </si>
  <si>
    <t>秦　涼太</t>
  </si>
  <si>
    <t>シン　リョウタ</t>
  </si>
  <si>
    <t>髙橋　崇史郎</t>
  </si>
  <si>
    <t>タカハシ　ソウシロウ</t>
  </si>
  <si>
    <t>西村　陸翔</t>
  </si>
  <si>
    <t>ニシムラ　リクト</t>
  </si>
  <si>
    <t>寺田　悠也</t>
  </si>
  <si>
    <t>テラダ　ユウヤ</t>
  </si>
  <si>
    <t>矢野　雅宗</t>
  </si>
  <si>
    <t>ヤノ　マサムネ</t>
  </si>
  <si>
    <t>田川　凛都</t>
  </si>
  <si>
    <t>タガワ　リト</t>
  </si>
  <si>
    <t>姫野　雅功</t>
  </si>
  <si>
    <t>ヒメノ　ガク</t>
  </si>
  <si>
    <t>首藤　敬人</t>
  </si>
  <si>
    <t>シュトウ　タカヒト</t>
  </si>
  <si>
    <t>稲月　庵</t>
  </si>
  <si>
    <t>イナヅキ　イオリ</t>
  </si>
  <si>
    <t>竹本　虎駆</t>
  </si>
  <si>
    <t>タケモト　タイガ</t>
  </si>
  <si>
    <t>元永　匠音</t>
  </si>
  <si>
    <t>モトナガ　タクト</t>
  </si>
  <si>
    <t>田辺　大也</t>
  </si>
  <si>
    <t>タナベ　ダイヤ</t>
  </si>
  <si>
    <t>熊谷　琉星</t>
  </si>
  <si>
    <t>クマガイ　ルイト</t>
  </si>
  <si>
    <t>兵頭　琥太郎</t>
  </si>
  <si>
    <t>ヒョウドウ　コタロウ</t>
  </si>
  <si>
    <t>垂水　大地</t>
  </si>
  <si>
    <t>タルミ　ダイチ</t>
  </si>
  <si>
    <t>畑中　凛人</t>
  </si>
  <si>
    <t>ハタナカ　リト</t>
  </si>
  <si>
    <t>岡﨑　心洸</t>
  </si>
  <si>
    <t>オカザキ　ミヒロ</t>
  </si>
  <si>
    <t>廣崎　一眞</t>
  </si>
  <si>
    <t>ヒロサキ　イッシン</t>
  </si>
  <si>
    <t>内野　晴貴</t>
  </si>
  <si>
    <t>ウチノ　ハルキ</t>
  </si>
  <si>
    <t>辰島　陽人</t>
  </si>
  <si>
    <t>タツシマ　ハルト</t>
  </si>
  <si>
    <t>竹本　龍空飛</t>
  </si>
  <si>
    <t>タケモト　リクト</t>
  </si>
  <si>
    <t>衞藤　巧</t>
  </si>
  <si>
    <t>エトウ　タクミ</t>
  </si>
  <si>
    <t>大山　諒治</t>
  </si>
  <si>
    <t>オオヤマ　リョウジ</t>
  </si>
  <si>
    <t>西本　凰太</t>
  </si>
  <si>
    <t>ニシモト　オウタ</t>
  </si>
  <si>
    <t>島田　陽翔</t>
  </si>
  <si>
    <t>原　旭陽</t>
  </si>
  <si>
    <t>ハラ　アサヒ</t>
  </si>
  <si>
    <t>森　裕翠</t>
  </si>
  <si>
    <t>モリ　ヒロアキ</t>
  </si>
  <si>
    <t>酒盛　睦皐己</t>
  </si>
  <si>
    <t>サカモリ　ムサシ</t>
  </si>
  <si>
    <t>内丸　駿太朗</t>
  </si>
  <si>
    <t>ウチマル　シュンタロウ</t>
  </si>
  <si>
    <t>壇　葵</t>
  </si>
  <si>
    <t>ダン　アオイ</t>
  </si>
  <si>
    <t>成重　星那</t>
  </si>
  <si>
    <t>ナリシゲ　セイナ</t>
  </si>
  <si>
    <t>田中　瞬矢</t>
  </si>
  <si>
    <t>タナカ　シュンヤ</t>
  </si>
  <si>
    <t>後藤　愛斗</t>
  </si>
  <si>
    <t>ゴトウ　マナト</t>
  </si>
  <si>
    <t>東　紅成</t>
  </si>
  <si>
    <t>ヒガシ　コウナ</t>
  </si>
  <si>
    <t>東　秦也</t>
  </si>
  <si>
    <t>ヒガシ　ダイヤ</t>
  </si>
  <si>
    <t>原　大和</t>
  </si>
  <si>
    <t>ハラ　ヤマト</t>
  </si>
  <si>
    <t>朝光　陽愛</t>
  </si>
  <si>
    <t>アサミツ　ハルア</t>
  </si>
  <si>
    <t>松高　昊飛</t>
  </si>
  <si>
    <t>マツタカ　ヒロト</t>
  </si>
  <si>
    <t>島田　旺汰</t>
  </si>
  <si>
    <t>シマダ　オウタ</t>
  </si>
  <si>
    <t>師岡　麻陽</t>
  </si>
  <si>
    <t>モロオカ　アサヒ</t>
  </si>
  <si>
    <t>豊田　真梛</t>
  </si>
  <si>
    <t>トヨダ　マナキ</t>
  </si>
  <si>
    <t>岩﨑　劉成</t>
  </si>
  <si>
    <t>イワサキ　リュウシン</t>
  </si>
  <si>
    <t>原　颯也</t>
  </si>
  <si>
    <t>ハラ　ソウヤ</t>
  </si>
  <si>
    <t>園田　愛梨</t>
  </si>
  <si>
    <t>ソノダ　アイリ</t>
  </si>
  <si>
    <t>中村　明日奏</t>
  </si>
  <si>
    <t>ナカムラ　アスト</t>
  </si>
  <si>
    <t>立花　歩己</t>
  </si>
  <si>
    <t>タチバナ　アユキ</t>
  </si>
  <si>
    <t>山田　凌馳</t>
  </si>
  <si>
    <t>ヤマダ　リョウジ</t>
  </si>
  <si>
    <t>松成　愛海</t>
  </si>
  <si>
    <t>マツナリ　アイカ</t>
  </si>
  <si>
    <t>上田　悠生</t>
  </si>
  <si>
    <t>ウエダ　ユウセイ</t>
  </si>
  <si>
    <t>河津　琉生</t>
  </si>
  <si>
    <t>カワヅ　ルイ</t>
  </si>
  <si>
    <t>大北　恵</t>
  </si>
  <si>
    <t>オオキタ　メグミ</t>
  </si>
  <si>
    <t>末廣　史菜</t>
  </si>
  <si>
    <t>スエヒロ　アヤナ</t>
  </si>
  <si>
    <t>旙山　優夏</t>
  </si>
  <si>
    <t>ハタヤマ　ユウカ</t>
  </si>
  <si>
    <t>仲山　暖人</t>
  </si>
  <si>
    <t>ナカヤマ　ハルト</t>
  </si>
  <si>
    <t>稲積　比呂斗</t>
  </si>
  <si>
    <t>イナヅミ　ヒロト</t>
  </si>
  <si>
    <t>山中　龍士</t>
  </si>
  <si>
    <t>ヤマナカ　タツジ</t>
  </si>
  <si>
    <t>髙倉　琉優</t>
  </si>
  <si>
    <t>タカクラ　リュウショウ</t>
  </si>
  <si>
    <t>四辻　輝大</t>
  </si>
  <si>
    <t>ヨツジ　コウキ</t>
  </si>
  <si>
    <t>小畑　陽愛</t>
  </si>
  <si>
    <t>オバタ　ヒヨリ</t>
  </si>
  <si>
    <t>藤石　隼輔</t>
  </si>
  <si>
    <t>フジイシ　シュンスケ</t>
  </si>
  <si>
    <t>松本　章汰</t>
  </si>
  <si>
    <t>マツモト　ショウタ</t>
  </si>
  <si>
    <t>寺川　大翔</t>
  </si>
  <si>
    <t>テラカワ　タイト</t>
  </si>
  <si>
    <t>井上　虹</t>
  </si>
  <si>
    <t>イノウエ　ヒカリ</t>
  </si>
  <si>
    <t>三笘　福門</t>
  </si>
  <si>
    <t>ミトマ　フクト</t>
  </si>
  <si>
    <t>髙倉　桜之介</t>
  </si>
  <si>
    <t>タカクラ　オウノスケ</t>
  </si>
  <si>
    <t>中原　大耀</t>
  </si>
  <si>
    <t>ナカハラ　タイヨウ</t>
  </si>
  <si>
    <t>坂本　英澄</t>
  </si>
  <si>
    <t>サカモト　エイト</t>
  </si>
  <si>
    <t>猪原　アレン</t>
  </si>
  <si>
    <t>イハラ　アレン</t>
  </si>
  <si>
    <t>穴井　真碧</t>
  </si>
  <si>
    <t>アナイ　マオ</t>
  </si>
  <si>
    <t>渡邉　愛莉香</t>
  </si>
  <si>
    <t>ワタナベ　エリカ</t>
  </si>
  <si>
    <t>穴井　莉心</t>
  </si>
  <si>
    <t>アナイ　リコ</t>
  </si>
  <si>
    <t>安養寺　天馬</t>
  </si>
  <si>
    <t>アンヨウジ　テンマ</t>
  </si>
  <si>
    <t>大分セントラルＦＣ</t>
  </si>
  <si>
    <t>荒金　煌也</t>
  </si>
  <si>
    <t>アラカネ　コウヤ</t>
  </si>
  <si>
    <t>宮本　大夢</t>
  </si>
  <si>
    <t>ミヤモト　ヒロム</t>
  </si>
  <si>
    <t>松木　創平</t>
  </si>
  <si>
    <t>マツキ　ソウヘイ</t>
  </si>
  <si>
    <t>齋藤　晄</t>
  </si>
  <si>
    <t>サイトウ　アキ</t>
  </si>
  <si>
    <t>広瀬　蒼空</t>
  </si>
  <si>
    <t>ヒロセ　ソラ</t>
  </si>
  <si>
    <t>秋月　創太</t>
  </si>
  <si>
    <t>アキヅキ　ソウタ</t>
  </si>
  <si>
    <t>髙野　瑛規</t>
  </si>
  <si>
    <t>タカノ　エイキ</t>
  </si>
  <si>
    <t>吉良　櫂伸</t>
  </si>
  <si>
    <t>キラ　カイシン</t>
  </si>
  <si>
    <t>池田　理巧</t>
  </si>
  <si>
    <t>イケダ　リク</t>
  </si>
  <si>
    <t>松木　清志郎</t>
  </si>
  <si>
    <t>マツキ　キヨシロウ</t>
  </si>
  <si>
    <t>髙田　篤人</t>
  </si>
  <si>
    <t>タカダ　アツト</t>
  </si>
  <si>
    <t>高橋　瑛斗</t>
  </si>
  <si>
    <t>古畑　道</t>
  </si>
  <si>
    <t>フルハタ　ワタル</t>
  </si>
  <si>
    <t>徳丸　拓磨</t>
  </si>
  <si>
    <t>トクマル　タクマ</t>
  </si>
  <si>
    <t>柴田　修維</t>
  </si>
  <si>
    <t>シバタ　シュイ</t>
  </si>
  <si>
    <t>橋本　蕾武</t>
  </si>
  <si>
    <t>ハシモト　ラブ</t>
  </si>
  <si>
    <t>大星　来騎</t>
  </si>
  <si>
    <t>オオボシ　ライキ</t>
  </si>
  <si>
    <t>橋本　宏太郎</t>
  </si>
  <si>
    <t>ハシモト　コウタロウ</t>
  </si>
  <si>
    <t>石掛　実央</t>
  </si>
  <si>
    <t>イシカケ　ミオ</t>
  </si>
  <si>
    <t>古藤　勇守</t>
  </si>
  <si>
    <t>コトウ　ユウマ</t>
  </si>
  <si>
    <t>麻生　朔玖</t>
  </si>
  <si>
    <t>アソウ　サク</t>
  </si>
  <si>
    <t>西村　蒼馬</t>
  </si>
  <si>
    <t>ニシムラ　ソウマ</t>
  </si>
  <si>
    <t>中原　樹生</t>
  </si>
  <si>
    <t>ナカハラ　イツキ</t>
  </si>
  <si>
    <t>ＮＦＣ・ＯＩＴＡ　Ｕ１２</t>
  </si>
  <si>
    <t>財津　佑成</t>
  </si>
  <si>
    <t>ザイツ　ユウセイ</t>
  </si>
  <si>
    <t>麻生　雅斗</t>
  </si>
  <si>
    <t>アソウ　マサト</t>
  </si>
  <si>
    <t>菅田　凌平</t>
  </si>
  <si>
    <t>スガタ　リョウヘイ</t>
  </si>
  <si>
    <t>首藤　凛成</t>
  </si>
  <si>
    <t>シュトウ　リンセイ</t>
  </si>
  <si>
    <t>松永　陽羽</t>
  </si>
  <si>
    <t>マツナガ　ヨウ</t>
  </si>
  <si>
    <t>松永　珠羽</t>
  </si>
  <si>
    <t>マツナガ　シュウ</t>
  </si>
  <si>
    <t>安藤　晴</t>
  </si>
  <si>
    <t>アンドウ　ハル</t>
  </si>
  <si>
    <t>武生　翔空</t>
  </si>
  <si>
    <t>タケオ　トア</t>
  </si>
  <si>
    <t>渡辺　大悟</t>
  </si>
  <si>
    <t>ワタナベ　ダイゴ</t>
  </si>
  <si>
    <t>河野　弘季</t>
  </si>
  <si>
    <t>コウノ　ヒロキ</t>
  </si>
  <si>
    <t>ＮＦＣ・ＯＩＴＡ　Ｕ１２Ｂ</t>
  </si>
  <si>
    <t>井上　陽登</t>
  </si>
  <si>
    <t>麻川　琉海</t>
  </si>
  <si>
    <t>アサカワ　ルカ</t>
  </si>
  <si>
    <t>西田　櫂斗</t>
  </si>
  <si>
    <t>ニシダ　カイト</t>
  </si>
  <si>
    <t>林　凛空</t>
  </si>
  <si>
    <t>大久保　颯人</t>
  </si>
  <si>
    <t>オオクボ　ハヤト</t>
  </si>
  <si>
    <t>阿部　常信</t>
  </si>
  <si>
    <t>アベ　ジョウシン</t>
  </si>
  <si>
    <t>渡辺　煌琥</t>
  </si>
  <si>
    <t>ワタナベ　オウガ</t>
  </si>
  <si>
    <t>山﨑　翔</t>
  </si>
  <si>
    <t>ヤマサキ　ショウ</t>
  </si>
  <si>
    <t>濱口　晴真</t>
  </si>
  <si>
    <t>ハマグチ　ハルマ</t>
  </si>
  <si>
    <t>遠藤　大和</t>
  </si>
  <si>
    <t>エンドウ　ヤマト</t>
  </si>
  <si>
    <t>矢野　陸翔</t>
  </si>
  <si>
    <t>ヤノ　リクト</t>
  </si>
  <si>
    <t>大久保　翔生</t>
  </si>
  <si>
    <t>オオクボ　ショウキ</t>
  </si>
  <si>
    <t>田嶋　奏明</t>
  </si>
  <si>
    <t>タシマ　カナメ</t>
  </si>
  <si>
    <t>髙橋　保仁</t>
  </si>
  <si>
    <t>タカハシ　ヤスヒト</t>
  </si>
  <si>
    <t>濱口　太陽</t>
  </si>
  <si>
    <t>ハマグチ　ヒナタ</t>
  </si>
  <si>
    <t>西田　遼斗</t>
  </si>
  <si>
    <t>ニシダ　ハルト</t>
  </si>
  <si>
    <t>R005170641</t>
  </si>
  <si>
    <t>小林　剛</t>
  </si>
  <si>
    <t>コバヤシ　ゴウ</t>
  </si>
  <si>
    <t>R010850848</t>
  </si>
  <si>
    <t>赤峯　和紀</t>
  </si>
  <si>
    <t>アカミネ　カズキ</t>
  </si>
  <si>
    <t>R010870312</t>
  </si>
  <si>
    <t>安部　涼介</t>
  </si>
  <si>
    <t>アベ　リョウスケ</t>
  </si>
  <si>
    <t>R010789999</t>
  </si>
  <si>
    <t>安藤　大生</t>
  </si>
  <si>
    <t>アンドウ　タイセイ</t>
  </si>
  <si>
    <t>R010802212</t>
  </si>
  <si>
    <t>R010816968</t>
  </si>
  <si>
    <t>泉谷　友都</t>
  </si>
  <si>
    <t>イズミタニ　ユウト</t>
  </si>
  <si>
    <t>上村　洋孝</t>
  </si>
  <si>
    <t>ウエムラ　ヒロタカ</t>
  </si>
  <si>
    <t>大久保　大暉</t>
  </si>
  <si>
    <t>オオクボ　ダイキ</t>
  </si>
  <si>
    <t>R010870310</t>
  </si>
  <si>
    <t>大原　颯斗</t>
  </si>
  <si>
    <t>オオハラ　ハヤト</t>
  </si>
  <si>
    <t>R010870308</t>
  </si>
  <si>
    <t>小林　周平</t>
  </si>
  <si>
    <t>コバヤシ　シュウヘイ</t>
  </si>
  <si>
    <t>R010640404</t>
  </si>
  <si>
    <t>佐々木　陽生</t>
  </si>
  <si>
    <t>ササキ　ハルキ</t>
  </si>
  <si>
    <t>R010789032</t>
  </si>
  <si>
    <t>重松　佑哉</t>
  </si>
  <si>
    <t>シゲマツ　ユウヤ</t>
  </si>
  <si>
    <t>R002762140</t>
  </si>
  <si>
    <t>篠田　一義</t>
  </si>
  <si>
    <t>シノダ　モトキ</t>
  </si>
  <si>
    <t>R010776377</t>
  </si>
  <si>
    <t>田原　智明</t>
  </si>
  <si>
    <t>タハラ　トモアキ</t>
  </si>
  <si>
    <t>R010181309</t>
  </si>
  <si>
    <t>團塚　結芽</t>
  </si>
  <si>
    <t>ダンヅカ　ユメ</t>
  </si>
  <si>
    <t>R010816962</t>
  </si>
  <si>
    <t>中村　太偉悟</t>
  </si>
  <si>
    <t>ナカムラ　ダイゴ</t>
  </si>
  <si>
    <t>R010776350</t>
  </si>
  <si>
    <t>永迫　泰斗</t>
  </si>
  <si>
    <t>ナガサコ　タイト</t>
  </si>
  <si>
    <t>狹間　照央</t>
  </si>
  <si>
    <t>R010789036</t>
  </si>
  <si>
    <t>長谷部　浩</t>
  </si>
  <si>
    <t>ハセベ　ヒロシ</t>
  </si>
  <si>
    <t>R005216183</t>
  </si>
  <si>
    <t>廣田　大河</t>
  </si>
  <si>
    <t>ヒロタ　タイガ</t>
  </si>
  <si>
    <t>R010789012</t>
  </si>
  <si>
    <t>藤原　尚平</t>
  </si>
  <si>
    <t>R010870311</t>
  </si>
  <si>
    <t>藤原　大和</t>
  </si>
  <si>
    <t>フジワラ　ヤマト</t>
  </si>
  <si>
    <t>R010816969</t>
  </si>
  <si>
    <t>松下　真大</t>
  </si>
  <si>
    <t>マツシタ　マサヒロ</t>
  </si>
  <si>
    <t>R010587433</t>
  </si>
  <si>
    <t>松村　和哉</t>
  </si>
  <si>
    <t>マツムラ　カズヤ</t>
  </si>
  <si>
    <t>R010870309</t>
  </si>
  <si>
    <t>松本　晃太朗</t>
  </si>
  <si>
    <t>マツモト　コウタロウ</t>
  </si>
  <si>
    <t>R010776374</t>
  </si>
  <si>
    <t>松本　鉄昌</t>
  </si>
  <si>
    <t>マツモト　テッショウ</t>
  </si>
  <si>
    <t>R010285187</t>
  </si>
  <si>
    <t>森本　珠寿</t>
  </si>
  <si>
    <t>モリモト　スズ</t>
  </si>
  <si>
    <t>R010776398</t>
  </si>
  <si>
    <t>安野　利来</t>
  </si>
  <si>
    <t>ヤスノ　リク</t>
  </si>
  <si>
    <t>R010390475</t>
  </si>
  <si>
    <t>山本　健吾</t>
  </si>
  <si>
    <t>ヤマモト　ケンゴ</t>
  </si>
  <si>
    <t>R010789013</t>
  </si>
  <si>
    <t>山本　貴司</t>
  </si>
  <si>
    <t>R010802631</t>
  </si>
  <si>
    <t>横田　翔也</t>
  </si>
  <si>
    <t>ヨコタ　ショウヤ</t>
  </si>
  <si>
    <t>R010865015</t>
  </si>
  <si>
    <t>R010866420</t>
  </si>
  <si>
    <t>R010809893</t>
  </si>
  <si>
    <t>R010767669</t>
  </si>
  <si>
    <t>青山　恭輔</t>
  </si>
  <si>
    <t>アオヤマ　キョウスケ</t>
  </si>
  <si>
    <t>R010817729</t>
  </si>
  <si>
    <t>R010866353</t>
  </si>
  <si>
    <t>赤木　学人</t>
  </si>
  <si>
    <t>アカギ　ガクト</t>
  </si>
  <si>
    <t>R010896976</t>
  </si>
  <si>
    <t>赤星　宗明</t>
  </si>
  <si>
    <t>アカホシ　ムネアキ</t>
  </si>
  <si>
    <t>R010774552</t>
  </si>
  <si>
    <t>赤峰　宗佑</t>
  </si>
  <si>
    <t>アカミネ　ソウスケ</t>
  </si>
  <si>
    <t>R010864997</t>
  </si>
  <si>
    <t>R010789996</t>
  </si>
  <si>
    <t>秋廣　涼介</t>
  </si>
  <si>
    <t>アキヒロ　リョウスケ</t>
  </si>
  <si>
    <t>R010866431</t>
  </si>
  <si>
    <t>秋元　智早</t>
  </si>
  <si>
    <t>アキモト　チハヤ</t>
  </si>
  <si>
    <t>R010866407</t>
  </si>
  <si>
    <t>秋山　将司</t>
  </si>
  <si>
    <t>アキヤマ　マサシ</t>
  </si>
  <si>
    <t>R010866400</t>
  </si>
  <si>
    <t>R010768399</t>
  </si>
  <si>
    <t>秋吉　愛斗</t>
  </si>
  <si>
    <t>R010871734</t>
  </si>
  <si>
    <t>R010865012</t>
  </si>
  <si>
    <t>R010871707</t>
  </si>
  <si>
    <t>R010869233</t>
  </si>
  <si>
    <t>R010817707</t>
  </si>
  <si>
    <t>R010775192</t>
  </si>
  <si>
    <t>麻生　凱斗</t>
  </si>
  <si>
    <t>アソウ　カイト</t>
  </si>
  <si>
    <t>R010871728</t>
  </si>
  <si>
    <t>R010776379</t>
  </si>
  <si>
    <t>麻生　隼佑</t>
  </si>
  <si>
    <t>アソウ　シュンスケ</t>
  </si>
  <si>
    <t>R010757861</t>
  </si>
  <si>
    <t>麻生　蓮</t>
  </si>
  <si>
    <t>アソウ　レン</t>
  </si>
  <si>
    <t>R010817712</t>
  </si>
  <si>
    <t>R010851373</t>
  </si>
  <si>
    <t>渥美　ののか</t>
  </si>
  <si>
    <t>アツミ　ノノカ</t>
  </si>
  <si>
    <t>R010783049</t>
  </si>
  <si>
    <t>穴見　恒輝</t>
  </si>
  <si>
    <t>アナミ　コウキ</t>
  </si>
  <si>
    <t>R010783055</t>
  </si>
  <si>
    <t>阿南　徠已</t>
  </si>
  <si>
    <t>アナミ　ライ</t>
  </si>
  <si>
    <t>R010871716</t>
  </si>
  <si>
    <t>R010882626</t>
  </si>
  <si>
    <t>阿南　公基</t>
  </si>
  <si>
    <t>アナン　ナオキ</t>
  </si>
  <si>
    <t>R010888230</t>
  </si>
  <si>
    <t>阿南　幸翔</t>
  </si>
  <si>
    <t>アナン　ユキト</t>
  </si>
  <si>
    <t>R010871706</t>
  </si>
  <si>
    <t>R010757876</t>
  </si>
  <si>
    <t>安部　煌生</t>
  </si>
  <si>
    <t>アベ　コウキ</t>
  </si>
  <si>
    <t>R010866409</t>
  </si>
  <si>
    <t>阿部　周史</t>
  </si>
  <si>
    <t>アベ　シュウジ</t>
  </si>
  <si>
    <t>R010789037</t>
  </si>
  <si>
    <t>安部　太智</t>
  </si>
  <si>
    <t>アベ　タイチ</t>
  </si>
  <si>
    <t>R010896990</t>
  </si>
  <si>
    <t>R010866392</t>
  </si>
  <si>
    <t>阿部　翔空</t>
  </si>
  <si>
    <t>アベ　トウア</t>
  </si>
  <si>
    <t>R010896992</t>
  </si>
  <si>
    <t>阿部　那紀</t>
  </si>
  <si>
    <t>アベ　トモキ</t>
  </si>
  <si>
    <t>R010783051</t>
  </si>
  <si>
    <t>阿部　希空</t>
  </si>
  <si>
    <t>アベ　ノア</t>
  </si>
  <si>
    <t>R010774524</t>
  </si>
  <si>
    <t>阿部　瑞己</t>
  </si>
  <si>
    <t>R010817733</t>
  </si>
  <si>
    <t>R010286144</t>
  </si>
  <si>
    <t>阿部　悠聖</t>
  </si>
  <si>
    <t>R010790025</t>
  </si>
  <si>
    <t>安部　稜司</t>
  </si>
  <si>
    <t>アベ　リョウジ</t>
  </si>
  <si>
    <t>R010781553</t>
  </si>
  <si>
    <t>新井　瑛人</t>
  </si>
  <si>
    <t>アライ　エイト</t>
  </si>
  <si>
    <t>R010774547</t>
  </si>
  <si>
    <t>荒井　応生</t>
  </si>
  <si>
    <t>アライ　オウセイ</t>
  </si>
  <si>
    <t>R010790016</t>
  </si>
  <si>
    <t>荒木　仁</t>
  </si>
  <si>
    <t>アラキ　ヒトシ</t>
  </si>
  <si>
    <t>R010790030</t>
  </si>
  <si>
    <t>荒巻　龍一</t>
  </si>
  <si>
    <t>アラマキ　リュウイチ</t>
  </si>
  <si>
    <t>R010783058</t>
  </si>
  <si>
    <t>有田　悠真</t>
  </si>
  <si>
    <t>アリタ　ユウマ</t>
  </si>
  <si>
    <t>R010827360</t>
  </si>
  <si>
    <t>R010866340</t>
  </si>
  <si>
    <t>R010865011</t>
  </si>
  <si>
    <t>R010896995</t>
  </si>
  <si>
    <t>安東　壮大</t>
  </si>
  <si>
    <t>アンドウ　ソウダイ</t>
  </si>
  <si>
    <t>R010817694</t>
  </si>
  <si>
    <t>安藤　大智</t>
  </si>
  <si>
    <t>アンドウ　ダイチ</t>
  </si>
  <si>
    <t>R010781552</t>
  </si>
  <si>
    <t>安藤　晴葵</t>
  </si>
  <si>
    <t>アンドウ　ハルキ</t>
  </si>
  <si>
    <t>R010866408</t>
  </si>
  <si>
    <t>安藤　広祥</t>
  </si>
  <si>
    <t>アンドウ　ヒロヨシ</t>
  </si>
  <si>
    <t>R010865019</t>
  </si>
  <si>
    <t>R010802660</t>
  </si>
  <si>
    <t>碇山　結大</t>
  </si>
  <si>
    <t>イカリヤマ　ユウタ</t>
  </si>
  <si>
    <t>R010882634</t>
  </si>
  <si>
    <t>R010766128</t>
  </si>
  <si>
    <t>生口　彩人</t>
  </si>
  <si>
    <t>イグチ　アヤト</t>
  </si>
  <si>
    <t>R010896972</t>
  </si>
  <si>
    <t>池井　庵</t>
  </si>
  <si>
    <t>イケイ　イオリ</t>
  </si>
  <si>
    <t>R010879994</t>
  </si>
  <si>
    <t>池内　琢哉</t>
  </si>
  <si>
    <t>イケウチ　タクヤ</t>
  </si>
  <si>
    <t>R010817678</t>
  </si>
  <si>
    <t>池田　和也</t>
  </si>
  <si>
    <t>イケダ　カズヤ</t>
  </si>
  <si>
    <t>R010866429</t>
  </si>
  <si>
    <t>池田　亘輝</t>
  </si>
  <si>
    <t>イケダ　コウキ</t>
  </si>
  <si>
    <t>R010817689</t>
  </si>
  <si>
    <t>R010802634</t>
  </si>
  <si>
    <t>池田　隼人</t>
  </si>
  <si>
    <t>イケダ　ハヤト</t>
  </si>
  <si>
    <t>R010865017</t>
  </si>
  <si>
    <t>R010871718</t>
  </si>
  <si>
    <t>R010871724</t>
  </si>
  <si>
    <t>R010790014</t>
  </si>
  <si>
    <t>池邉　翔馬</t>
  </si>
  <si>
    <t>イケベ　ショウマ</t>
  </si>
  <si>
    <t>R010851104</t>
  </si>
  <si>
    <t>池辺　大悟</t>
  </si>
  <si>
    <t>イケベ　ダイゴ</t>
  </si>
  <si>
    <t>R010776351</t>
  </si>
  <si>
    <t>諌山　永遠</t>
  </si>
  <si>
    <t>イサヤマ　トワ</t>
  </si>
  <si>
    <t>R010775762</t>
  </si>
  <si>
    <t>石井　信治朗</t>
  </si>
  <si>
    <t>イシイ　シンジロウ</t>
  </si>
  <si>
    <t>R010776389</t>
  </si>
  <si>
    <t>石掛　徹</t>
  </si>
  <si>
    <t>イシカケ　トオル</t>
  </si>
  <si>
    <t>R010775770</t>
  </si>
  <si>
    <t>石倉　結仁</t>
  </si>
  <si>
    <t>イシクラ　ユイト</t>
  </si>
  <si>
    <t>R010851368</t>
  </si>
  <si>
    <t>石田　香麦</t>
  </si>
  <si>
    <t>イシダ　コムギ</t>
  </si>
  <si>
    <t>R010767678</t>
  </si>
  <si>
    <t>石田　大和</t>
  </si>
  <si>
    <t>イシダ　ヤマト</t>
  </si>
  <si>
    <t>R010817691</t>
  </si>
  <si>
    <t>R010851362</t>
  </si>
  <si>
    <t>石原　奏音</t>
  </si>
  <si>
    <t>イシハラ　カノン</t>
  </si>
  <si>
    <t>R010817728</t>
  </si>
  <si>
    <t>石原　翔</t>
  </si>
  <si>
    <t>イシハラ　ショウ</t>
  </si>
  <si>
    <t>R010757871</t>
  </si>
  <si>
    <t>石橋　千尋</t>
  </si>
  <si>
    <t>イシバシ　チヒロ</t>
  </si>
  <si>
    <t>R010817680</t>
  </si>
  <si>
    <t>石本　麟</t>
  </si>
  <si>
    <t>イシモト　リン</t>
  </si>
  <si>
    <t>R010866346</t>
  </si>
  <si>
    <t>R010776338</t>
  </si>
  <si>
    <t>板井　高志</t>
  </si>
  <si>
    <t>イタイ　タカシ</t>
  </si>
  <si>
    <t>R010882630</t>
  </si>
  <si>
    <t>板井　尋斗</t>
  </si>
  <si>
    <t>イタイ　ヒロト</t>
  </si>
  <si>
    <t>R010879989</t>
  </si>
  <si>
    <t>板谷　直紀</t>
  </si>
  <si>
    <t>イタダニ　ナオキ</t>
  </si>
  <si>
    <t>R010789035</t>
  </si>
  <si>
    <t>市田　将剛</t>
  </si>
  <si>
    <t>イチダ　ショウゴウ</t>
  </si>
  <si>
    <t>R010767682</t>
  </si>
  <si>
    <t>市野　琉太</t>
  </si>
  <si>
    <t>イチノ　リュウタ</t>
  </si>
  <si>
    <t>R010776346</t>
  </si>
  <si>
    <t>一万田　剛志</t>
  </si>
  <si>
    <t>イチマンダ　タカシ</t>
  </si>
  <si>
    <t>R010775773</t>
  </si>
  <si>
    <t>井手　湊太</t>
  </si>
  <si>
    <t>イデ　ソウタ</t>
  </si>
  <si>
    <t>R010768419</t>
  </si>
  <si>
    <t>井手　悠稀</t>
  </si>
  <si>
    <t>イデ　ユウマ</t>
  </si>
  <si>
    <t>R010790036</t>
  </si>
  <si>
    <t>R010812546</t>
  </si>
  <si>
    <t>R010896988</t>
  </si>
  <si>
    <t>伊藤　竜希</t>
  </si>
  <si>
    <t>イトウ　タツキ</t>
  </si>
  <si>
    <t>R010817732</t>
  </si>
  <si>
    <t>R010866405</t>
  </si>
  <si>
    <t>伊藤　秀大</t>
  </si>
  <si>
    <t>イトウ　ヒデヒロ</t>
  </si>
  <si>
    <t>R010767661</t>
  </si>
  <si>
    <t>伊東　凌</t>
  </si>
  <si>
    <t>イトウ　リョウ</t>
  </si>
  <si>
    <t>R010757879</t>
  </si>
  <si>
    <t>糸長　比呂志</t>
  </si>
  <si>
    <t>イトナガ　ヒロシ</t>
  </si>
  <si>
    <t>R010767687</t>
  </si>
  <si>
    <t>糸永　良久</t>
  </si>
  <si>
    <t>イトナガ　ヨシヒサ</t>
  </si>
  <si>
    <t>R010780309</t>
  </si>
  <si>
    <t>稲生　ひより</t>
  </si>
  <si>
    <t>イナオ　ヒヨリ</t>
  </si>
  <si>
    <t>R010781526</t>
  </si>
  <si>
    <t>稲熊　海成</t>
  </si>
  <si>
    <t>イナグマ　カイセイ</t>
  </si>
  <si>
    <t>R010839455</t>
  </si>
  <si>
    <t>R010851188</t>
  </si>
  <si>
    <t>R010783054</t>
  </si>
  <si>
    <t>井野　景太</t>
  </si>
  <si>
    <t>イノ　ケイタ</t>
  </si>
  <si>
    <t>R010809910</t>
  </si>
  <si>
    <t>R010866356</t>
  </si>
  <si>
    <t>井上　功平</t>
  </si>
  <si>
    <t>イノウエ　コウヘイ</t>
  </si>
  <si>
    <t>R010839447</t>
  </si>
  <si>
    <t>井上　直之</t>
  </si>
  <si>
    <t>イノウエ　ナオユキ</t>
  </si>
  <si>
    <t>R010877121</t>
  </si>
  <si>
    <t>井上　皓登</t>
  </si>
  <si>
    <t>イノウエ　ヒロト</t>
  </si>
  <si>
    <t>R010827344</t>
  </si>
  <si>
    <t>井上　雄大</t>
  </si>
  <si>
    <t>イノウエ　ユウダイ</t>
  </si>
  <si>
    <t>R010871720</t>
  </si>
  <si>
    <t>R010851189</t>
  </si>
  <si>
    <t>今石　旺甫</t>
  </si>
  <si>
    <t>イマイシ　オウスケ</t>
  </si>
  <si>
    <t>R010866422</t>
  </si>
  <si>
    <t>今津　翔真</t>
  </si>
  <si>
    <t>イマヅ　ショウマ</t>
  </si>
  <si>
    <t>R010774520</t>
  </si>
  <si>
    <t>今村　瑛太</t>
  </si>
  <si>
    <t>イマムラ　エイタ</t>
  </si>
  <si>
    <t>R010776395</t>
  </si>
  <si>
    <t>岩尾　康佑</t>
  </si>
  <si>
    <t>R010781535</t>
  </si>
  <si>
    <t>岩尾　淳矢</t>
  </si>
  <si>
    <t>イワオ　ジュンヤ</t>
  </si>
  <si>
    <t>R010817685</t>
  </si>
  <si>
    <t>岩崎　惺大</t>
  </si>
  <si>
    <t>R010869217</t>
  </si>
  <si>
    <t>岩崎　冬輝</t>
  </si>
  <si>
    <t>イワサキ　トウキ</t>
  </si>
  <si>
    <t>R010866434</t>
  </si>
  <si>
    <t>岩﨑　大翔</t>
  </si>
  <si>
    <t>イワサキ　ヒロト</t>
  </si>
  <si>
    <t>R010780316</t>
  </si>
  <si>
    <t>岩崎　結子</t>
  </si>
  <si>
    <t>イワサキ　ユウコ</t>
  </si>
  <si>
    <t>R010879998</t>
  </si>
  <si>
    <t>岩下　春樹</t>
  </si>
  <si>
    <t>イワシタ　ハルキ</t>
  </si>
  <si>
    <t>R010776361</t>
  </si>
  <si>
    <t>岩田　和真</t>
  </si>
  <si>
    <t>イワタ　カズマ</t>
  </si>
  <si>
    <t>R010882645</t>
  </si>
  <si>
    <t>岩田　信佑</t>
  </si>
  <si>
    <t>イワタ　シンスケ</t>
  </si>
  <si>
    <t>R010812550</t>
  </si>
  <si>
    <t>岩永　明日翔</t>
  </si>
  <si>
    <t>イワナガ　アスカ</t>
  </si>
  <si>
    <t>R010776370</t>
  </si>
  <si>
    <t>岩永　琥太郎</t>
  </si>
  <si>
    <t>イワナガ　コタロウ</t>
  </si>
  <si>
    <t>R010871730</t>
  </si>
  <si>
    <t>R010768413</t>
  </si>
  <si>
    <t>岩渕　大洋</t>
  </si>
  <si>
    <t>イワブチ　タイヨウ</t>
  </si>
  <si>
    <t>R010864998</t>
  </si>
  <si>
    <t>R010757865</t>
  </si>
  <si>
    <t>岩本　昭仁</t>
  </si>
  <si>
    <t>イワモト　アキヒト</t>
  </si>
  <si>
    <t>R010789038</t>
  </si>
  <si>
    <t>岩本　太志</t>
  </si>
  <si>
    <t>イワモト　タイシ</t>
  </si>
  <si>
    <t>R010800935</t>
  </si>
  <si>
    <t>印山　法音</t>
  </si>
  <si>
    <t>インザン　ノリト</t>
  </si>
  <si>
    <t>R010871722</t>
  </si>
  <si>
    <t>ウエキ　キョウスケ</t>
  </si>
  <si>
    <t>R010802636</t>
  </si>
  <si>
    <t>上條　恵大</t>
  </si>
  <si>
    <t>ウエジョウ　ケイタ</t>
  </si>
  <si>
    <t>R010866416</t>
  </si>
  <si>
    <t>R010809894</t>
  </si>
  <si>
    <t>R010869228</t>
  </si>
  <si>
    <t>上田　彗斗</t>
  </si>
  <si>
    <t>ウエダ　ケイト</t>
  </si>
  <si>
    <t>R010766121</t>
  </si>
  <si>
    <t>上田　孝騎</t>
  </si>
  <si>
    <t>ウエダ　コウキ</t>
  </si>
  <si>
    <t>R010789024</t>
  </si>
  <si>
    <t>R010781543</t>
  </si>
  <si>
    <t>上田　倫太郎</t>
  </si>
  <si>
    <t>ウエダ　リンタロウ</t>
  </si>
  <si>
    <t>R010864983</t>
  </si>
  <si>
    <t>R010802626</t>
  </si>
  <si>
    <t>上野　瑛太</t>
  </si>
  <si>
    <t>ウエノ　エイタ</t>
  </si>
  <si>
    <t>R010767670</t>
  </si>
  <si>
    <t>上野　煌太</t>
  </si>
  <si>
    <t>ウエノ　オウタ</t>
  </si>
  <si>
    <t>R010866424</t>
  </si>
  <si>
    <t>R010827341</t>
  </si>
  <si>
    <t>上野　尊光</t>
  </si>
  <si>
    <t>ウエノ　タカミツ</t>
  </si>
  <si>
    <t>R010774540</t>
  </si>
  <si>
    <t>上野　壮琉</t>
  </si>
  <si>
    <t>ウエノ　タケル</t>
  </si>
  <si>
    <t>R010776349</t>
  </si>
  <si>
    <t>上野　哲典</t>
  </si>
  <si>
    <t>ウエノ　テツノリ</t>
  </si>
  <si>
    <t>R010776356</t>
  </si>
  <si>
    <t>上村　真弘</t>
  </si>
  <si>
    <t>ウエムラ　マサヒロ</t>
  </si>
  <si>
    <t>R010882664</t>
  </si>
  <si>
    <t>植山　勝貴</t>
  </si>
  <si>
    <t>ウエヤマ　カツキ</t>
  </si>
  <si>
    <t>R010775188</t>
  </si>
  <si>
    <t>臼杵　奏珀</t>
  </si>
  <si>
    <t>ウスキ　ソウハク</t>
  </si>
  <si>
    <t>R010757883</t>
  </si>
  <si>
    <t>内田　翔貴</t>
  </si>
  <si>
    <t>ウチダ　ショウキ</t>
  </si>
  <si>
    <t>R010865035</t>
  </si>
  <si>
    <t>R010865037</t>
  </si>
  <si>
    <t>R010827352</t>
  </si>
  <si>
    <t>宇都宮　幸樹</t>
  </si>
  <si>
    <t>ウツノミヤ　コウキ</t>
  </si>
  <si>
    <t>R010817724</t>
  </si>
  <si>
    <t>宇都宮　大輔</t>
  </si>
  <si>
    <t>ウツノミヤ　ダイスケ</t>
  </si>
  <si>
    <t>R010817687</t>
  </si>
  <si>
    <t>R010768400</t>
  </si>
  <si>
    <t>卯花　孔二</t>
  </si>
  <si>
    <t>ウノハナ　コウジ</t>
  </si>
  <si>
    <t>R010781530</t>
  </si>
  <si>
    <t>馬出　蒼士</t>
  </si>
  <si>
    <t>ウマデ　ソウシ</t>
  </si>
  <si>
    <t>R010865010</t>
  </si>
  <si>
    <t>R010879999</t>
  </si>
  <si>
    <t>梅村　匠人</t>
  </si>
  <si>
    <t>ウメムラ　ショウト</t>
  </si>
  <si>
    <t>R010896985</t>
  </si>
  <si>
    <t>梅本　琉成</t>
  </si>
  <si>
    <t>ウメモト　リュウセイ</t>
  </si>
  <si>
    <t>R010766010</t>
  </si>
  <si>
    <t>江上　結奈</t>
  </si>
  <si>
    <t>エガミ　ユイナ</t>
  </si>
  <si>
    <t>R010839463</t>
  </si>
  <si>
    <t>R010864989</t>
  </si>
  <si>
    <t>R010871712</t>
  </si>
  <si>
    <t>R010790032</t>
  </si>
  <si>
    <t>衞藤　寿々乃</t>
  </si>
  <si>
    <t>エトウ　スズノ</t>
  </si>
  <si>
    <t>R010809868</t>
  </si>
  <si>
    <t>R010882638</t>
  </si>
  <si>
    <t>江藤　直希</t>
  </si>
  <si>
    <t>エトウ　ナオキ</t>
  </si>
  <si>
    <t>R010757892</t>
  </si>
  <si>
    <t>衛藤　颯</t>
  </si>
  <si>
    <t>エトウ　ハヤテ</t>
  </si>
  <si>
    <t>R010817700</t>
  </si>
  <si>
    <t>R010851194</t>
  </si>
  <si>
    <t>江藤　侑也</t>
  </si>
  <si>
    <t>エトウ　ユウヤ</t>
  </si>
  <si>
    <t>R010855694</t>
  </si>
  <si>
    <t>R010882639</t>
  </si>
  <si>
    <t>江原　陽南</t>
  </si>
  <si>
    <t>エハラ　ヒナタ</t>
  </si>
  <si>
    <t>R010766116</t>
  </si>
  <si>
    <t>戎野　堆牙</t>
  </si>
  <si>
    <t>エビスノ　タイガ</t>
  </si>
  <si>
    <t>R010766119</t>
  </si>
  <si>
    <t>大石　楓太</t>
  </si>
  <si>
    <t>オオイシ　フウタ</t>
  </si>
  <si>
    <t>R010896965</t>
  </si>
  <si>
    <t>大石　悠真</t>
  </si>
  <si>
    <t>オオイシ　ユウマ</t>
  </si>
  <si>
    <t>R010865033</t>
  </si>
  <si>
    <t>R010757887</t>
  </si>
  <si>
    <t>大久保　賢吾</t>
  </si>
  <si>
    <t>オオクボ　ケンゴ</t>
  </si>
  <si>
    <t>R010766127</t>
  </si>
  <si>
    <t>大久保　翔太朗</t>
  </si>
  <si>
    <t>オオクボ　ショウタロウ</t>
  </si>
  <si>
    <t>R010866337</t>
  </si>
  <si>
    <t>R010776386</t>
  </si>
  <si>
    <t>R010866418</t>
  </si>
  <si>
    <t>R010827332</t>
  </si>
  <si>
    <t>太田　悠斗</t>
  </si>
  <si>
    <t>R010776371</t>
  </si>
  <si>
    <t>大津　瑞斗</t>
  </si>
  <si>
    <t>オオツ　ミズト</t>
  </si>
  <si>
    <t>R010817696</t>
  </si>
  <si>
    <t>R010812541</t>
  </si>
  <si>
    <t>R010851106</t>
  </si>
  <si>
    <t>大津留　慧彬</t>
  </si>
  <si>
    <t>オオツル　サトアキ</t>
  </si>
  <si>
    <t>R010866433</t>
  </si>
  <si>
    <t>大鶴　泰雅</t>
  </si>
  <si>
    <t>オオツル　タイガ</t>
  </si>
  <si>
    <t>R010865038</t>
  </si>
  <si>
    <t>R010765294</t>
  </si>
  <si>
    <t>大原　悠貴</t>
  </si>
  <si>
    <t>オオハラ　ユウキ</t>
  </si>
  <si>
    <t>R010781554</t>
  </si>
  <si>
    <t>大原　瑠斗</t>
  </si>
  <si>
    <t>オオハラ　リュウト</t>
  </si>
  <si>
    <t>R010864975</t>
  </si>
  <si>
    <t>大平　英</t>
  </si>
  <si>
    <t>オオヒラ　スグル</t>
  </si>
  <si>
    <t>R010776348</t>
  </si>
  <si>
    <t>大峯　翼</t>
  </si>
  <si>
    <t>オオミネ　ツバサ</t>
  </si>
  <si>
    <t>R010866403</t>
  </si>
  <si>
    <t>岡崎　碧</t>
  </si>
  <si>
    <t>オカザキ　アオイ</t>
  </si>
  <si>
    <t>R010851206</t>
  </si>
  <si>
    <t>岡﨑　暁広</t>
  </si>
  <si>
    <t>オカザキ　アキヒロ</t>
  </si>
  <si>
    <t>R010851214</t>
  </si>
  <si>
    <t>岡田　愛志</t>
  </si>
  <si>
    <t>オカダ　アイシ</t>
  </si>
  <si>
    <t>R010896999</t>
  </si>
  <si>
    <t>岡田　瑛斗</t>
  </si>
  <si>
    <t>オカダ　エイト</t>
  </si>
  <si>
    <t>R010817692</t>
  </si>
  <si>
    <t>R010870852</t>
  </si>
  <si>
    <t>R010812552</t>
  </si>
  <si>
    <t>岡松　洸希</t>
  </si>
  <si>
    <t>オカマツ　コウキ</t>
  </si>
  <si>
    <t>R010851370</t>
  </si>
  <si>
    <t>岡本　純菜</t>
  </si>
  <si>
    <t>オカモト　ジュナ</t>
  </si>
  <si>
    <t>R010776343</t>
  </si>
  <si>
    <t>緒方　惇人</t>
  </si>
  <si>
    <t>オガタ　アツト</t>
  </si>
  <si>
    <t>R010776376</t>
  </si>
  <si>
    <t>緒方　亮介</t>
  </si>
  <si>
    <t>オガタ　リョウスケ</t>
  </si>
  <si>
    <t>R010839469</t>
  </si>
  <si>
    <t>R010896993</t>
  </si>
  <si>
    <t>奥田　優志</t>
  </si>
  <si>
    <t>オクダ　ユウシ</t>
  </si>
  <si>
    <t>R010865040</t>
  </si>
  <si>
    <t>R010851364</t>
  </si>
  <si>
    <t>奥村　澪愛</t>
  </si>
  <si>
    <t>オクムラ　レア</t>
  </si>
  <si>
    <t>R010783063</t>
  </si>
  <si>
    <t>小倉　遙隼</t>
  </si>
  <si>
    <t>オグラ　ハルト</t>
  </si>
  <si>
    <t>R010789039</t>
  </si>
  <si>
    <t>尾﨑　亘</t>
  </si>
  <si>
    <t>R010781531</t>
  </si>
  <si>
    <t>小澤　卓実</t>
  </si>
  <si>
    <t>オザワ　タクミ</t>
  </si>
  <si>
    <t>R010790007</t>
  </si>
  <si>
    <t>鴛海　巧也</t>
  </si>
  <si>
    <t>オシウミ　タクヤ</t>
  </si>
  <si>
    <t>R010757882</t>
  </si>
  <si>
    <t>小田　蒼汰</t>
  </si>
  <si>
    <t>オダ　ソウタ</t>
  </si>
  <si>
    <t>R010790043</t>
  </si>
  <si>
    <t>小田原　誠</t>
  </si>
  <si>
    <t>オダワラ　マコト</t>
  </si>
  <si>
    <t>R010866344</t>
  </si>
  <si>
    <t>小野　一明</t>
  </si>
  <si>
    <t>オノ　カズアキ</t>
  </si>
  <si>
    <t>R010865007</t>
  </si>
  <si>
    <t>R010757867</t>
  </si>
  <si>
    <t>小野　崇記</t>
  </si>
  <si>
    <t>オノ　タカノリ</t>
  </si>
  <si>
    <t>R010869230</t>
  </si>
  <si>
    <t>R010780314</t>
  </si>
  <si>
    <t>小野　夏希</t>
  </si>
  <si>
    <t>オノ　ナツキ</t>
  </si>
  <si>
    <t>R010774543</t>
  </si>
  <si>
    <t>小野　颯人</t>
  </si>
  <si>
    <t>オノ　ハヤト</t>
  </si>
  <si>
    <t>R010802645</t>
  </si>
  <si>
    <t>小野　駿斗</t>
  </si>
  <si>
    <t>R010869224</t>
  </si>
  <si>
    <t>R010757878</t>
  </si>
  <si>
    <t>小野　了雅</t>
  </si>
  <si>
    <t>オノ　リョウガ</t>
  </si>
  <si>
    <t>R010877122</t>
  </si>
  <si>
    <t>小野沢　颯人</t>
  </si>
  <si>
    <t>オノザワ　ハヤト</t>
  </si>
  <si>
    <t>R010895954</t>
  </si>
  <si>
    <t>小原　優斗</t>
  </si>
  <si>
    <t>オハラ　ユウト</t>
  </si>
  <si>
    <t>R010864985</t>
  </si>
  <si>
    <t>R010869244</t>
  </si>
  <si>
    <t>小畑　楓叶</t>
  </si>
  <si>
    <t>オバタ　フウカイ</t>
  </si>
  <si>
    <t>R010871708</t>
  </si>
  <si>
    <t>R010790012</t>
  </si>
  <si>
    <t>小袋　敦矢</t>
  </si>
  <si>
    <t>オブクロ　アツヤ</t>
  </si>
  <si>
    <t>R010839457</t>
  </si>
  <si>
    <t>小村　朔太郎</t>
  </si>
  <si>
    <t>オムラ　サクタロウ</t>
  </si>
  <si>
    <t>R010781546</t>
  </si>
  <si>
    <t>尾本　泰雅</t>
  </si>
  <si>
    <t>オモト　タイガ</t>
  </si>
  <si>
    <t>R010789020</t>
  </si>
  <si>
    <t>尾本　翔</t>
  </si>
  <si>
    <t>オモト　ツバサ</t>
  </si>
  <si>
    <t>R010757884</t>
  </si>
  <si>
    <t>甲斐　勇人</t>
  </si>
  <si>
    <t>カイ　ハヤト</t>
  </si>
  <si>
    <t>R010882661</t>
  </si>
  <si>
    <t>甲斐　陽翔</t>
  </si>
  <si>
    <t>カイ　ヒナト</t>
  </si>
  <si>
    <t>R010864982</t>
  </si>
  <si>
    <t>甲斐　睦人</t>
  </si>
  <si>
    <t>R010864995</t>
  </si>
  <si>
    <t>甲斐　凜太郎</t>
  </si>
  <si>
    <t>R010882632</t>
  </si>
  <si>
    <t>賀来　雄二</t>
  </si>
  <si>
    <t>カク　ユウジ</t>
  </si>
  <si>
    <t>R010817717</t>
  </si>
  <si>
    <t>R010866436</t>
  </si>
  <si>
    <t>角藤　翼</t>
  </si>
  <si>
    <t>カクトウ　ツバサ</t>
  </si>
  <si>
    <t>R010809897</t>
  </si>
  <si>
    <t>R010890158</t>
  </si>
  <si>
    <t>R010870859</t>
  </si>
  <si>
    <t>R010866419</t>
  </si>
  <si>
    <t>風戸　陵太</t>
  </si>
  <si>
    <t>カザト　リョウタ</t>
  </si>
  <si>
    <t>R010809864</t>
  </si>
  <si>
    <t>加島　兼大</t>
  </si>
  <si>
    <t>カシマ　ケンタ</t>
  </si>
  <si>
    <t>R010776392</t>
  </si>
  <si>
    <t>梶原　明空</t>
  </si>
  <si>
    <t>カジワラ　アス</t>
  </si>
  <si>
    <t>R010775765</t>
  </si>
  <si>
    <t>梶原　健</t>
  </si>
  <si>
    <t>カジワラ　ケン</t>
  </si>
  <si>
    <t>R010839454</t>
  </si>
  <si>
    <t>梶原　侑眞</t>
  </si>
  <si>
    <t>カジワラ　ユウシン</t>
  </si>
  <si>
    <t>R010809871</t>
  </si>
  <si>
    <t>R010882647</t>
  </si>
  <si>
    <t>片山　晴斗</t>
  </si>
  <si>
    <t>カタヤマ　ハルト</t>
  </si>
  <si>
    <t>R010882637</t>
  </si>
  <si>
    <t>R010757874</t>
  </si>
  <si>
    <t>葛城　佑真</t>
  </si>
  <si>
    <t>カツラギ　ユウマ</t>
  </si>
  <si>
    <t>R010839467</t>
  </si>
  <si>
    <t>加藤　愛琉</t>
  </si>
  <si>
    <t>カトウ　アイル</t>
  </si>
  <si>
    <t>R010851105</t>
  </si>
  <si>
    <t>加藤　和弥</t>
  </si>
  <si>
    <t>カトウ　カズヤ</t>
  </si>
  <si>
    <t>R010855688</t>
  </si>
  <si>
    <t>R010766006</t>
  </si>
  <si>
    <t>加藤　樹里愛</t>
  </si>
  <si>
    <t>カトウ　ジュリア</t>
  </si>
  <si>
    <t>R010850853</t>
  </si>
  <si>
    <t>加藤　誠一郎</t>
  </si>
  <si>
    <t>カトウ　セイイチロウ</t>
  </si>
  <si>
    <t>R010866338</t>
  </si>
  <si>
    <t>加藤　龍</t>
  </si>
  <si>
    <t>カトウ　リョウ</t>
  </si>
  <si>
    <t>R010757889</t>
  </si>
  <si>
    <t>金崎　瑞樹</t>
  </si>
  <si>
    <t>カナザキ　ミズキ</t>
  </si>
  <si>
    <t>R010809920</t>
  </si>
  <si>
    <t>R010775197</t>
  </si>
  <si>
    <t>金田　敦暉</t>
  </si>
  <si>
    <t>カネダ　アツキ</t>
  </si>
  <si>
    <t>R010774550</t>
  </si>
  <si>
    <t>兼田　毅竜</t>
  </si>
  <si>
    <t>カネダ　キリュウ</t>
  </si>
  <si>
    <t>R010851193</t>
  </si>
  <si>
    <t>R010851191</t>
  </si>
  <si>
    <t>R010869222</t>
  </si>
  <si>
    <t>神野　隼羽</t>
  </si>
  <si>
    <t>カミノ　トワ</t>
  </si>
  <si>
    <t>R010817702</t>
  </si>
  <si>
    <t>R010774535</t>
  </si>
  <si>
    <t>亀野　佑輝</t>
  </si>
  <si>
    <t>カメノ　ユウキ</t>
  </si>
  <si>
    <t>R010776363</t>
  </si>
  <si>
    <t>亀山　泰雅</t>
  </si>
  <si>
    <t>カメヤマ　タイガ</t>
  </si>
  <si>
    <t>R010897000</t>
  </si>
  <si>
    <t>嘉茂　奏太</t>
  </si>
  <si>
    <t>カモ　ソウタ</t>
  </si>
  <si>
    <t>R010871709</t>
  </si>
  <si>
    <t>萓嶋　颯太</t>
  </si>
  <si>
    <t>R010882653</t>
  </si>
  <si>
    <t>R010870848</t>
  </si>
  <si>
    <t>R010817726</t>
  </si>
  <si>
    <t>R010877119</t>
  </si>
  <si>
    <t>川﨑　寛介</t>
  </si>
  <si>
    <t>カワサキ　カンスケ</t>
  </si>
  <si>
    <t>R010789017</t>
  </si>
  <si>
    <t>川﨑　聡子</t>
  </si>
  <si>
    <t>カワサキ　サトコ</t>
  </si>
  <si>
    <t>R010812555</t>
  </si>
  <si>
    <t>河津　瞬</t>
  </si>
  <si>
    <t>カワヅ　シュン</t>
  </si>
  <si>
    <t>R010882641</t>
  </si>
  <si>
    <t>河津　隼也</t>
  </si>
  <si>
    <t>カワヅ　シュンヤ</t>
  </si>
  <si>
    <t>R010812561</t>
  </si>
  <si>
    <t>R010827372</t>
  </si>
  <si>
    <t>R010839452</t>
  </si>
  <si>
    <t>R010865028</t>
  </si>
  <si>
    <t>R010809919</t>
  </si>
  <si>
    <t>R010869219</t>
  </si>
  <si>
    <t>川野　晃汰</t>
  </si>
  <si>
    <t>カワノ　コウタ</t>
  </si>
  <si>
    <t>R010817725</t>
  </si>
  <si>
    <t>R010776397</t>
  </si>
  <si>
    <t>河野　駿</t>
  </si>
  <si>
    <t>カワノ　シュン</t>
  </si>
  <si>
    <t>R010882642</t>
  </si>
  <si>
    <t>川野　駿</t>
  </si>
  <si>
    <t>R010817672</t>
  </si>
  <si>
    <t>R010809921</t>
  </si>
  <si>
    <t>R010757857</t>
  </si>
  <si>
    <t>河野　蒼良</t>
  </si>
  <si>
    <t>R010871732</t>
  </si>
  <si>
    <t>R010865025</t>
  </si>
  <si>
    <t>R010776333</t>
  </si>
  <si>
    <t>川野　均</t>
  </si>
  <si>
    <t>R010866432</t>
  </si>
  <si>
    <t>R010865004</t>
  </si>
  <si>
    <t>R010882631</t>
  </si>
  <si>
    <t>河野　祐大</t>
  </si>
  <si>
    <t>カワノ　ユウタ</t>
  </si>
  <si>
    <t>R010869234</t>
  </si>
  <si>
    <t>R010757855</t>
  </si>
  <si>
    <t>R010757852</t>
  </si>
  <si>
    <t>河野　凜</t>
  </si>
  <si>
    <t>カワノ　リン</t>
  </si>
  <si>
    <t>R010839451</t>
  </si>
  <si>
    <t>R010774542</t>
  </si>
  <si>
    <t>川端　翼惺</t>
  </si>
  <si>
    <t>カワバタ　エルト</t>
  </si>
  <si>
    <t>R010790021</t>
  </si>
  <si>
    <t>川端　大輝</t>
  </si>
  <si>
    <t>カワバタ　タイキ</t>
  </si>
  <si>
    <t>R010768410</t>
  </si>
  <si>
    <t>川端　大稀</t>
  </si>
  <si>
    <t>カワバタ　ダイキ</t>
  </si>
  <si>
    <t>R010869216</t>
  </si>
  <si>
    <t>R010817711</t>
  </si>
  <si>
    <t>川邉　蒼大</t>
  </si>
  <si>
    <t>R010851196</t>
  </si>
  <si>
    <t>R010768402</t>
  </si>
  <si>
    <t>閑　蒼斗</t>
  </si>
  <si>
    <t>カン　アオト</t>
  </si>
  <si>
    <t>R010896986</t>
  </si>
  <si>
    <t>神田　創成</t>
  </si>
  <si>
    <t>カンダ　ソウセイ</t>
  </si>
  <si>
    <t>R010776378</t>
  </si>
  <si>
    <t>蒲池　教証</t>
  </si>
  <si>
    <t>ガマチ　キョウショウ</t>
  </si>
  <si>
    <t>R010774523</t>
  </si>
  <si>
    <t>菊池　爽真</t>
  </si>
  <si>
    <t>キクチ　ソウマ</t>
  </si>
  <si>
    <t>R010827364</t>
  </si>
  <si>
    <t>岸野　颯太</t>
  </si>
  <si>
    <t>キシノ　ソウタ</t>
  </si>
  <si>
    <t>R010789031</t>
  </si>
  <si>
    <t>木城　玲音</t>
  </si>
  <si>
    <t>キシロ　レオ</t>
  </si>
  <si>
    <t>R010774555</t>
  </si>
  <si>
    <t>北原　幸侑</t>
  </si>
  <si>
    <t>キタハラ　コウスケ</t>
  </si>
  <si>
    <t>R010877120</t>
  </si>
  <si>
    <t>北林　凛成</t>
  </si>
  <si>
    <t>キタバヤシ　リンセイ</t>
  </si>
  <si>
    <t>R010768421</t>
  </si>
  <si>
    <t>北村　優</t>
  </si>
  <si>
    <t>キタムラ　ヒロ</t>
  </si>
  <si>
    <t>R010817674</t>
  </si>
  <si>
    <t>木田　圭亮</t>
  </si>
  <si>
    <t>キダ　ケイスケ</t>
  </si>
  <si>
    <t>R010768418</t>
  </si>
  <si>
    <t>木津　悠日</t>
  </si>
  <si>
    <t>キヅ　ユウヒ</t>
  </si>
  <si>
    <t>R010546305</t>
  </si>
  <si>
    <t>木下　敬介</t>
  </si>
  <si>
    <t>キノシタ　ケイスケ</t>
  </si>
  <si>
    <t>R010812551</t>
  </si>
  <si>
    <t>木下　琥太郎</t>
  </si>
  <si>
    <t>キノシタ　コタロウ</t>
  </si>
  <si>
    <t>R010802646</t>
  </si>
  <si>
    <t>木下　颯</t>
  </si>
  <si>
    <t>キノシタ　ソウ</t>
  </si>
  <si>
    <t>R010809886</t>
  </si>
  <si>
    <t>R010789041</t>
  </si>
  <si>
    <t>木原　悠聖</t>
  </si>
  <si>
    <t>キハラ　ユウセイ</t>
  </si>
  <si>
    <t>R010882659</t>
  </si>
  <si>
    <t>岐部　陸翔</t>
  </si>
  <si>
    <t>キベ　リクト</t>
  </si>
  <si>
    <t>R010817688</t>
  </si>
  <si>
    <t>R010896977</t>
  </si>
  <si>
    <t>木本　蒼翔</t>
  </si>
  <si>
    <t>キモト　アオト</t>
  </si>
  <si>
    <t>R010864977</t>
  </si>
  <si>
    <t>R010871725</t>
  </si>
  <si>
    <t>木元　駿</t>
  </si>
  <si>
    <t>キモト　シュン</t>
  </si>
  <si>
    <t>R010800926</t>
  </si>
  <si>
    <t>木元　湧大</t>
  </si>
  <si>
    <t>キモト　ユウダイ</t>
  </si>
  <si>
    <t>R010882657</t>
  </si>
  <si>
    <t>清田　晴太郎</t>
  </si>
  <si>
    <t>キヨタ　セイタロウ</t>
  </si>
  <si>
    <t>R010768406</t>
  </si>
  <si>
    <t>清永　愛哉</t>
  </si>
  <si>
    <t>キヨナガ　ヨシヤ</t>
  </si>
  <si>
    <t>R010790003</t>
  </si>
  <si>
    <t>清原　昇馬</t>
  </si>
  <si>
    <t>キヨハラ　ショウマ</t>
  </si>
  <si>
    <t>R010809913</t>
  </si>
  <si>
    <t>R010871713</t>
  </si>
  <si>
    <t>R010790020</t>
  </si>
  <si>
    <t>清源　遥冬</t>
  </si>
  <si>
    <t>キヨモト　ハルト</t>
  </si>
  <si>
    <t>R010869231</t>
  </si>
  <si>
    <t>吉良　瑛翔</t>
  </si>
  <si>
    <t>キラ　エイト</t>
  </si>
  <si>
    <t>R010790035</t>
  </si>
  <si>
    <t>R010773917</t>
  </si>
  <si>
    <t>九鬼丸　直哉</t>
  </si>
  <si>
    <t>クキマル　ナオヤ</t>
  </si>
  <si>
    <t>R010809882</t>
  </si>
  <si>
    <t>R010817719</t>
  </si>
  <si>
    <t>R010850855</t>
  </si>
  <si>
    <t>久家　侑奈</t>
  </si>
  <si>
    <t>クゲ　ユウナ</t>
  </si>
  <si>
    <t>R010812547</t>
  </si>
  <si>
    <t>R010809888</t>
  </si>
  <si>
    <t>R010877116</t>
  </si>
  <si>
    <t>工藤　豪汰</t>
  </si>
  <si>
    <t>クドウ　ゴウタ</t>
  </si>
  <si>
    <t>R010817684</t>
  </si>
  <si>
    <t>R010766126</t>
  </si>
  <si>
    <t>工藤　陽稀</t>
  </si>
  <si>
    <t>クドウ　ハルキ</t>
  </si>
  <si>
    <t>R010809914</t>
  </si>
  <si>
    <t>R010865018</t>
  </si>
  <si>
    <t>R010865009</t>
  </si>
  <si>
    <t>工藤　龍希</t>
  </si>
  <si>
    <t>クドウ　リュウキ</t>
  </si>
  <si>
    <t>R010774541</t>
  </si>
  <si>
    <t>久保田　龍太朗</t>
  </si>
  <si>
    <t>クボタ　リュウタロウ</t>
  </si>
  <si>
    <t>R010817671</t>
  </si>
  <si>
    <t>久保田　航</t>
  </si>
  <si>
    <t>クボタ　ワタル</t>
  </si>
  <si>
    <t>R010896959</t>
  </si>
  <si>
    <t>熊谷　昂暉</t>
  </si>
  <si>
    <t>クマガイ　コウキ</t>
  </si>
  <si>
    <t>R010778434</t>
  </si>
  <si>
    <t>熊谷　志保</t>
  </si>
  <si>
    <t>クマガイ　シホ</t>
  </si>
  <si>
    <t>R010790029</t>
  </si>
  <si>
    <t>熊本　剛</t>
  </si>
  <si>
    <t>クマモト　ツヨシ</t>
  </si>
  <si>
    <t>R010879986</t>
  </si>
  <si>
    <t>倉原　一輝</t>
  </si>
  <si>
    <t>クラハラ　カズキ</t>
  </si>
  <si>
    <t>R010827369</t>
  </si>
  <si>
    <t>倉見　颯</t>
  </si>
  <si>
    <t>クラミ　ソウ</t>
  </si>
  <si>
    <t>R010766009</t>
  </si>
  <si>
    <t>栗本　真帆</t>
  </si>
  <si>
    <t>クリモト　マホ</t>
  </si>
  <si>
    <t>R010809901</t>
  </si>
  <si>
    <t>R010809879</t>
  </si>
  <si>
    <t>R010896996</t>
  </si>
  <si>
    <t>黒木　秀彰</t>
  </si>
  <si>
    <t>クロギ　ヒデアキ</t>
  </si>
  <si>
    <t>R010851211</t>
  </si>
  <si>
    <t>黒土　挨吾</t>
  </si>
  <si>
    <t>クロツチ　アイゴ</t>
  </si>
  <si>
    <t>R010870857</t>
  </si>
  <si>
    <t>R010855693</t>
  </si>
  <si>
    <t>桑野　ゆりな</t>
  </si>
  <si>
    <t>R010817709</t>
  </si>
  <si>
    <t>R010600911</t>
  </si>
  <si>
    <t>桑原　優人</t>
  </si>
  <si>
    <t>クワバラ　ユウト</t>
  </si>
  <si>
    <t>R010790037</t>
  </si>
  <si>
    <t>小石　宗太郎</t>
  </si>
  <si>
    <t>コイシ　ソウタロウ</t>
  </si>
  <si>
    <t>R010879984</t>
  </si>
  <si>
    <t>神毛　幾也</t>
  </si>
  <si>
    <t>コウゲ　イクヤ</t>
  </si>
  <si>
    <t>R010781525</t>
  </si>
  <si>
    <t>江田　聖流</t>
  </si>
  <si>
    <t>コウダ　セナ</t>
  </si>
  <si>
    <t>R010768420</t>
  </si>
  <si>
    <t>江田　博太朗</t>
  </si>
  <si>
    <t>コウダ　ヒロタロウ</t>
  </si>
  <si>
    <t>R010817734</t>
  </si>
  <si>
    <t>河野　寛貴</t>
  </si>
  <si>
    <t>R010774526</t>
  </si>
  <si>
    <t>河野　悠</t>
  </si>
  <si>
    <t>R010877113</t>
  </si>
  <si>
    <t>R010869229</t>
  </si>
  <si>
    <t>R010802635</t>
  </si>
  <si>
    <t>古閑　駿介</t>
  </si>
  <si>
    <t>コガ　シュンスケ</t>
  </si>
  <si>
    <t>R010865016</t>
  </si>
  <si>
    <t>R010864981</t>
  </si>
  <si>
    <t>児島　一颯</t>
  </si>
  <si>
    <t>R010817666</t>
  </si>
  <si>
    <t>小嶋　将</t>
  </si>
  <si>
    <t>コジマ　ショウ</t>
  </si>
  <si>
    <t>R010866348</t>
  </si>
  <si>
    <t>R010866426</t>
  </si>
  <si>
    <t>R010809916</t>
  </si>
  <si>
    <t>R010827335</t>
  </si>
  <si>
    <t>R010864978</t>
  </si>
  <si>
    <t>R010802651</t>
  </si>
  <si>
    <t>児玉　優飛</t>
  </si>
  <si>
    <t>コダマ　ユウヒ</t>
  </si>
  <si>
    <t>R010871703</t>
  </si>
  <si>
    <t>児玉　留己也</t>
  </si>
  <si>
    <t>コダマ　ルミヤ</t>
  </si>
  <si>
    <t>R010869232</t>
  </si>
  <si>
    <t>小手川　耀</t>
  </si>
  <si>
    <t>コテガワ　ヨウ</t>
  </si>
  <si>
    <t>R010809899</t>
  </si>
  <si>
    <t>R010809867</t>
  </si>
  <si>
    <t>R010789022</t>
  </si>
  <si>
    <t>小林　隆嗣</t>
  </si>
  <si>
    <t>コバヤシ　タカシ</t>
  </si>
  <si>
    <t>R010869226</t>
  </si>
  <si>
    <t>R010839460</t>
  </si>
  <si>
    <t>R010871726</t>
  </si>
  <si>
    <t>R010812544</t>
  </si>
  <si>
    <t>R010812559</t>
  </si>
  <si>
    <t>R010871711</t>
  </si>
  <si>
    <t>R010775772</t>
  </si>
  <si>
    <t>小山　響生</t>
  </si>
  <si>
    <t>コヤマ　ヒビキ</t>
  </si>
  <si>
    <t>R010766118</t>
  </si>
  <si>
    <t>小山　誠人</t>
  </si>
  <si>
    <t>コヤマ　マコト</t>
  </si>
  <si>
    <t>R010879992</t>
  </si>
  <si>
    <t>小山　洋一郎</t>
  </si>
  <si>
    <t>コヤマ　ヨウイチロウ</t>
  </si>
  <si>
    <t>R010869225</t>
  </si>
  <si>
    <t>近藤　大翔</t>
  </si>
  <si>
    <t>コンドウ　ヒロト</t>
  </si>
  <si>
    <t>R010768416</t>
  </si>
  <si>
    <t>合原　輝翔</t>
  </si>
  <si>
    <t>ゴウバル　ケント</t>
  </si>
  <si>
    <t>R010839461</t>
  </si>
  <si>
    <t>R010766113</t>
  </si>
  <si>
    <t>ゴトウ　アオト</t>
  </si>
  <si>
    <t>R010757858</t>
  </si>
  <si>
    <t>後藤　快瑠</t>
  </si>
  <si>
    <t>ゴトウ　カイル</t>
  </si>
  <si>
    <t>R010866351</t>
  </si>
  <si>
    <t>R010809869</t>
  </si>
  <si>
    <t>R010896994</t>
  </si>
  <si>
    <t>後藤　笙</t>
  </si>
  <si>
    <t>ゴトウ　ショウ</t>
  </si>
  <si>
    <t>R010790045</t>
  </si>
  <si>
    <t>後藤　純</t>
  </si>
  <si>
    <t>ゴトウ　ジュン</t>
  </si>
  <si>
    <t>R010776362</t>
  </si>
  <si>
    <t>後藤　丈平</t>
  </si>
  <si>
    <t>ゴトウ　ジョウヘイ</t>
  </si>
  <si>
    <t>R010809883</t>
  </si>
  <si>
    <t>後藤　直大</t>
  </si>
  <si>
    <t>R010767662</t>
  </si>
  <si>
    <t>R010888233</t>
  </si>
  <si>
    <t>後藤　大和</t>
  </si>
  <si>
    <t>ゴトウ　ヤマト</t>
  </si>
  <si>
    <t>R010864993</t>
  </si>
  <si>
    <t>後藤　勇輝</t>
  </si>
  <si>
    <t>ゴトウ　ユウキ</t>
  </si>
  <si>
    <t>R010817727</t>
  </si>
  <si>
    <t>R010851197</t>
  </si>
  <si>
    <t>後藤　蓮汰</t>
  </si>
  <si>
    <t>ゴトウ　レンタ</t>
  </si>
  <si>
    <t>R010809870</t>
  </si>
  <si>
    <t>齋藤　暖太</t>
  </si>
  <si>
    <t>R010781534</t>
  </si>
  <si>
    <t>西耒　琥界</t>
  </si>
  <si>
    <t>サイライ　コウガ</t>
  </si>
  <si>
    <t>R010802630</t>
  </si>
  <si>
    <t>佐伯　啓太</t>
  </si>
  <si>
    <t>サエキ　ケイタ</t>
  </si>
  <si>
    <t>R010762822</t>
  </si>
  <si>
    <t>堺　彩葉</t>
  </si>
  <si>
    <t>サカイ　イロハ</t>
  </si>
  <si>
    <t>R010851367</t>
  </si>
  <si>
    <t>境　笑美</t>
  </si>
  <si>
    <t>サカイ　エミ</t>
  </si>
  <si>
    <t>R010851198</t>
  </si>
  <si>
    <t>R010802653</t>
  </si>
  <si>
    <t>坂口　太一</t>
  </si>
  <si>
    <t>サカグチ　タイチ</t>
  </si>
  <si>
    <t>R010790013</t>
  </si>
  <si>
    <t>坂下　蓮</t>
  </si>
  <si>
    <t>サカシタ　レン</t>
  </si>
  <si>
    <t>R010767666</t>
  </si>
  <si>
    <t>坂田　碧琉</t>
  </si>
  <si>
    <t>サカタ　アイル</t>
  </si>
  <si>
    <t>R010809892</t>
  </si>
  <si>
    <t>坂本　凰心郎</t>
  </si>
  <si>
    <t>サカモト　オウシロウ</t>
  </si>
  <si>
    <t>R010871714</t>
  </si>
  <si>
    <t>R010776358</t>
  </si>
  <si>
    <t>坂本　航大</t>
  </si>
  <si>
    <t>サカモト　コウタ</t>
  </si>
  <si>
    <t>R010790041</t>
  </si>
  <si>
    <t>坂本　優太</t>
  </si>
  <si>
    <t>サカモト　ユウタ</t>
  </si>
  <si>
    <t>R010865002</t>
  </si>
  <si>
    <t>桜木　歩人</t>
  </si>
  <si>
    <t>サクラギ　アルト</t>
  </si>
  <si>
    <t>R010817677</t>
  </si>
  <si>
    <t>R010866411</t>
  </si>
  <si>
    <t>迫　宗次郎</t>
  </si>
  <si>
    <t>サコ　ソウジロウ</t>
  </si>
  <si>
    <t>R010767677</t>
  </si>
  <si>
    <t>佐々木　琉衣</t>
  </si>
  <si>
    <t>ササキ　ルイ</t>
  </si>
  <si>
    <t>R010767660</t>
  </si>
  <si>
    <t>笹原　翔太郎</t>
  </si>
  <si>
    <t>ササハラ　ショウタロウ</t>
  </si>
  <si>
    <t>R010827350</t>
  </si>
  <si>
    <t>佐田　英彰</t>
  </si>
  <si>
    <t>サダ　ヒデアキ</t>
  </si>
  <si>
    <t>R010802648</t>
  </si>
  <si>
    <t>佐藤　青輝</t>
  </si>
  <si>
    <t>サトウ　アオイ</t>
  </si>
  <si>
    <t>R010790008</t>
  </si>
  <si>
    <t>佐藤　瑛</t>
  </si>
  <si>
    <t>R010790022</t>
  </si>
  <si>
    <t>佐藤　伊音</t>
  </si>
  <si>
    <t>サトウ　イオ</t>
  </si>
  <si>
    <t>R010869240</t>
  </si>
  <si>
    <t>佐藤　嘉倉</t>
  </si>
  <si>
    <t>サトウ　カグラ</t>
  </si>
  <si>
    <t>R010802644</t>
  </si>
  <si>
    <t>佐藤　喜一</t>
  </si>
  <si>
    <t>サトウ　キイチ</t>
  </si>
  <si>
    <t>R010851365</t>
  </si>
  <si>
    <t>佐藤　樹菜</t>
  </si>
  <si>
    <t>サトウ　キイナ</t>
  </si>
  <si>
    <t>R010757875</t>
  </si>
  <si>
    <t>佐藤　煌星</t>
  </si>
  <si>
    <t>サトウ　コウセイ</t>
  </si>
  <si>
    <t>R010812563</t>
  </si>
  <si>
    <t>R010817695</t>
  </si>
  <si>
    <t>佐藤　駿介</t>
  </si>
  <si>
    <t>R010865036</t>
  </si>
  <si>
    <t>佐藤　蒼太</t>
  </si>
  <si>
    <t>R010809896</t>
  </si>
  <si>
    <t>R010789029</t>
  </si>
  <si>
    <t>佐藤　大介</t>
  </si>
  <si>
    <t>サトウ　ダイスケ</t>
  </si>
  <si>
    <t>R010877114</t>
  </si>
  <si>
    <t>R010888231</t>
  </si>
  <si>
    <t>佐藤　亨</t>
  </si>
  <si>
    <t>サトウ　トオル</t>
  </si>
  <si>
    <t>R010767689</t>
  </si>
  <si>
    <t>佐藤　範和</t>
  </si>
  <si>
    <t>サトウ　ノリカズ</t>
  </si>
  <si>
    <t>R010812554</t>
  </si>
  <si>
    <t>佐藤　暖仁</t>
  </si>
  <si>
    <t>R010866423</t>
  </si>
  <si>
    <t>R010775771</t>
  </si>
  <si>
    <t>佐藤　暖真</t>
  </si>
  <si>
    <t>R010776391</t>
  </si>
  <si>
    <t>佐藤　楓真</t>
  </si>
  <si>
    <t>サトウ　フウマ</t>
  </si>
  <si>
    <t>R010879990</t>
  </si>
  <si>
    <t>佐藤　勝</t>
  </si>
  <si>
    <t>サトウ　マサル</t>
  </si>
  <si>
    <t>R010882665</t>
  </si>
  <si>
    <t>佐藤　愛大</t>
  </si>
  <si>
    <t>サトウ　マナト</t>
  </si>
  <si>
    <t>R010774539</t>
  </si>
  <si>
    <t>佐藤　優維人</t>
  </si>
  <si>
    <t>サトウ　ユイト</t>
  </si>
  <si>
    <t>R010827358</t>
  </si>
  <si>
    <t>佐藤　祐次郎</t>
  </si>
  <si>
    <t>サトウ　ユウジロウ</t>
  </si>
  <si>
    <t>R010866347</t>
  </si>
  <si>
    <t>佐藤　佑麻</t>
  </si>
  <si>
    <t>R010870856</t>
  </si>
  <si>
    <t>R010767671</t>
  </si>
  <si>
    <t>佐藤　睦翔</t>
  </si>
  <si>
    <t>サトウ　リクト</t>
  </si>
  <si>
    <t>R010774548</t>
  </si>
  <si>
    <t>佐藤　凛月</t>
  </si>
  <si>
    <t>サトウ　リツキ</t>
  </si>
  <si>
    <t>R010871704</t>
  </si>
  <si>
    <t>R010774525</t>
  </si>
  <si>
    <t>サトウ　リョウマ</t>
  </si>
  <si>
    <t>R010809908</t>
  </si>
  <si>
    <t>R010817731</t>
  </si>
  <si>
    <t>R010882629</t>
  </si>
  <si>
    <t>佐奈　拓実</t>
  </si>
  <si>
    <t>サナ　タクミ</t>
  </si>
  <si>
    <t>R010790023</t>
  </si>
  <si>
    <t>サフカ　ユリアン</t>
  </si>
  <si>
    <t>R010776352</t>
  </si>
  <si>
    <t>佐用　大翔</t>
  </si>
  <si>
    <t>サヨウ　ヒロト</t>
  </si>
  <si>
    <t>R010882627</t>
  </si>
  <si>
    <t>澤井　優翔</t>
  </si>
  <si>
    <t>サワイ　ユウト</t>
  </si>
  <si>
    <t>R010776360</t>
  </si>
  <si>
    <t>三宮　悠人</t>
  </si>
  <si>
    <t>サンノミヤ　ユウト</t>
  </si>
  <si>
    <t>R010869241</t>
  </si>
  <si>
    <t>R010879995</t>
  </si>
  <si>
    <t>椎原　丈人</t>
  </si>
  <si>
    <t>シイハラ　タケト</t>
  </si>
  <si>
    <t>R010869236</t>
  </si>
  <si>
    <t>椎原　蓮丸</t>
  </si>
  <si>
    <t>シイハラ　レンマル</t>
  </si>
  <si>
    <t>R010896989</t>
  </si>
  <si>
    <t>志賀　杏陸</t>
  </si>
  <si>
    <t>シガ　アンリ</t>
  </si>
  <si>
    <t>R010869239</t>
  </si>
  <si>
    <t>敷嶋　慶武</t>
  </si>
  <si>
    <t>シキシマ　ケイタ</t>
  </si>
  <si>
    <t>R010774532</t>
  </si>
  <si>
    <t>重住　亮真</t>
  </si>
  <si>
    <t>シゲズミ　リョウマ</t>
  </si>
  <si>
    <t>R010882656</t>
  </si>
  <si>
    <t>重増　奏汰</t>
  </si>
  <si>
    <t>シゲマス　カナタ</t>
  </si>
  <si>
    <t>R010802658</t>
  </si>
  <si>
    <t>篠森　龍磨</t>
  </si>
  <si>
    <t>シノモリ　リョウマ</t>
  </si>
  <si>
    <t>R010783050</t>
  </si>
  <si>
    <t>芝　虎之介</t>
  </si>
  <si>
    <t>シバ　トラノスケ</t>
  </si>
  <si>
    <t>R010789990</t>
  </si>
  <si>
    <t>芝崎　駿</t>
  </si>
  <si>
    <t>シバサキ　カケル</t>
  </si>
  <si>
    <t>R010790044</t>
  </si>
  <si>
    <t>しばさき　つばさ</t>
  </si>
  <si>
    <t>シバサキ　ツバサ</t>
  </si>
  <si>
    <t>R010776385</t>
  </si>
  <si>
    <t>柴田　叡昇</t>
  </si>
  <si>
    <t>シバタ　エイシヨウ</t>
  </si>
  <si>
    <t>R010817699</t>
  </si>
  <si>
    <t>R010880000</t>
  </si>
  <si>
    <t>柴田　拓巳</t>
  </si>
  <si>
    <t>シバタ　タクミ</t>
  </si>
  <si>
    <t>R010866428</t>
  </si>
  <si>
    <t>R010869220</t>
  </si>
  <si>
    <t>柴田　琉生</t>
  </si>
  <si>
    <t>シバタ　ルイ</t>
  </si>
  <si>
    <t>R010802643</t>
  </si>
  <si>
    <t>島田　一杜</t>
  </si>
  <si>
    <t>シマダ　カズモリ</t>
  </si>
  <si>
    <t>R010851204</t>
  </si>
  <si>
    <t>島田　幹斗</t>
  </si>
  <si>
    <t>シマダ　ミキト</t>
  </si>
  <si>
    <t>R010866395</t>
  </si>
  <si>
    <t>嶋田　優星</t>
  </si>
  <si>
    <t>シマダ　ユウセイ</t>
  </si>
  <si>
    <t>R010774536</t>
  </si>
  <si>
    <t>嶋津　色音</t>
  </si>
  <si>
    <t>シマヅ　イロト</t>
  </si>
  <si>
    <t>R010839464</t>
  </si>
  <si>
    <t>島津　大河</t>
  </si>
  <si>
    <t>シマヅ　タイガ</t>
  </si>
  <si>
    <t>R010774530</t>
  </si>
  <si>
    <t>嶋村　堪太</t>
  </si>
  <si>
    <t>シマムラ　カンタ</t>
  </si>
  <si>
    <t>R010870854</t>
  </si>
  <si>
    <t>R010871717</t>
  </si>
  <si>
    <t>R010767672</t>
  </si>
  <si>
    <t>下嶋　龍斗</t>
  </si>
  <si>
    <t>シモジマ　リュウト</t>
  </si>
  <si>
    <t>R010817706</t>
  </si>
  <si>
    <t>R010896961</t>
  </si>
  <si>
    <t>R010790031</t>
  </si>
  <si>
    <t>首藤　杏</t>
  </si>
  <si>
    <t>シュトウ　アン</t>
  </si>
  <si>
    <t>R010776375</t>
  </si>
  <si>
    <t>首藤　煌人</t>
  </si>
  <si>
    <t>シュトウ　キラト</t>
  </si>
  <si>
    <t>R010790001</t>
  </si>
  <si>
    <t>首藤　惺南</t>
  </si>
  <si>
    <t>シュトウ　セナ</t>
  </si>
  <si>
    <t>R010757847</t>
  </si>
  <si>
    <t>首藤　保</t>
  </si>
  <si>
    <t>シュトウ　タモツ</t>
  </si>
  <si>
    <t>R010757877</t>
  </si>
  <si>
    <t>首藤　晴道</t>
  </si>
  <si>
    <t>シュトウ　ハルミチ</t>
  </si>
  <si>
    <t>R010757881</t>
  </si>
  <si>
    <t>首藤　優慎</t>
  </si>
  <si>
    <t>シュトウ　ユウシン</t>
  </si>
  <si>
    <t>R010809924</t>
  </si>
  <si>
    <t>R010776372</t>
  </si>
  <si>
    <t>庄司　雅人</t>
  </si>
  <si>
    <t>ショウジ　マサト</t>
  </si>
  <si>
    <t>R010774528</t>
  </si>
  <si>
    <t>生野　晴斗</t>
  </si>
  <si>
    <t>ショウノ　ハルト</t>
  </si>
  <si>
    <t>R010776355</t>
  </si>
  <si>
    <t>生野　陽大</t>
  </si>
  <si>
    <t>R010827370</t>
  </si>
  <si>
    <t>白井　友雅</t>
  </si>
  <si>
    <t>シライ　ユウガ</t>
  </si>
  <si>
    <t>R010888232</t>
  </si>
  <si>
    <t>白石　悠馬</t>
  </si>
  <si>
    <t>シライシ　ハルマ</t>
  </si>
  <si>
    <t>R010827346</t>
  </si>
  <si>
    <t>R010790027</t>
  </si>
  <si>
    <t>白尾　正敏</t>
  </si>
  <si>
    <t>シラオ　マサトシ</t>
  </si>
  <si>
    <t>R010802655</t>
  </si>
  <si>
    <t>白木　暖人</t>
  </si>
  <si>
    <t>シラキ　ハルト</t>
  </si>
  <si>
    <t>R010855692</t>
  </si>
  <si>
    <t>R010757891</t>
  </si>
  <si>
    <t>實方　来夏</t>
  </si>
  <si>
    <t>ジツカタ　ライカ</t>
  </si>
  <si>
    <t>R010851201</t>
  </si>
  <si>
    <t>末神　天世</t>
  </si>
  <si>
    <t>スエガミ　テンセイ</t>
  </si>
  <si>
    <t>R010781540</t>
  </si>
  <si>
    <t>末弘　俊晶</t>
  </si>
  <si>
    <t>スエヒロ　トシアキ</t>
  </si>
  <si>
    <t>R010775193</t>
  </si>
  <si>
    <t>菅　泰河</t>
  </si>
  <si>
    <t>スガ　タイガ</t>
  </si>
  <si>
    <t>R010871727</t>
  </si>
  <si>
    <t>R010866394</t>
  </si>
  <si>
    <t>菅原　禄介</t>
  </si>
  <si>
    <t>スガハラ　ロクスケ</t>
  </si>
  <si>
    <t>R010781551</t>
  </si>
  <si>
    <t>杉元　琉久</t>
  </si>
  <si>
    <t>スギモト　リク</t>
  </si>
  <si>
    <t>R010767674</t>
  </si>
  <si>
    <t>鈴木　奏志</t>
  </si>
  <si>
    <t>スズキ　ソウシ</t>
  </si>
  <si>
    <t>R010776364</t>
  </si>
  <si>
    <t>須藤　玲空</t>
  </si>
  <si>
    <t>スドウ　リク</t>
  </si>
  <si>
    <t>R010817676</t>
  </si>
  <si>
    <t>砂川　大河</t>
  </si>
  <si>
    <t>スナガワ　タイガ</t>
  </si>
  <si>
    <t>R010882648</t>
  </si>
  <si>
    <t>角　英樹</t>
  </si>
  <si>
    <t>スミ　ヒデキ</t>
  </si>
  <si>
    <t>R010783048</t>
  </si>
  <si>
    <t>隅　悠來</t>
  </si>
  <si>
    <t>スミ　ユウライ</t>
  </si>
  <si>
    <t>R010809872</t>
  </si>
  <si>
    <t>R010766011</t>
  </si>
  <si>
    <t>関　愛子</t>
  </si>
  <si>
    <t>セキ　アイコ</t>
  </si>
  <si>
    <t>R010839466</t>
  </si>
  <si>
    <t>R010783059</t>
  </si>
  <si>
    <t>宗　志優</t>
  </si>
  <si>
    <t>ソウ　シユウ</t>
  </si>
  <si>
    <t>R010869237</t>
  </si>
  <si>
    <t>曽我　?地</t>
  </si>
  <si>
    <t>ソガ　ライチ</t>
  </si>
  <si>
    <t>R010855689</t>
  </si>
  <si>
    <t>R010896982</t>
  </si>
  <si>
    <t>園田　凰介</t>
  </si>
  <si>
    <t>ソノダ　オウスケ</t>
  </si>
  <si>
    <t>R010865013</t>
  </si>
  <si>
    <t>R010783060</t>
  </si>
  <si>
    <t>染矢　徠翔</t>
  </si>
  <si>
    <t>ソメヤ　ライト</t>
  </si>
  <si>
    <t>R010864992</t>
  </si>
  <si>
    <t>髙岡　聖生</t>
  </si>
  <si>
    <t>タカオカ　イブキ</t>
  </si>
  <si>
    <t>R010776337</t>
  </si>
  <si>
    <t>高倉　遥樹</t>
  </si>
  <si>
    <t>R010768401</t>
  </si>
  <si>
    <t>高崎　藍太郎</t>
  </si>
  <si>
    <t>タカサキ　ランタロウ</t>
  </si>
  <si>
    <t>R010896966</t>
  </si>
  <si>
    <t>高瀬　一光</t>
  </si>
  <si>
    <t>タカセ　カズミツ</t>
  </si>
  <si>
    <t>R010866396</t>
  </si>
  <si>
    <t>高瀬　宏人</t>
  </si>
  <si>
    <t>タカセ　ヒロト</t>
  </si>
  <si>
    <t>R010864976</t>
  </si>
  <si>
    <t>高野　修</t>
  </si>
  <si>
    <t>タカノ　オサム</t>
  </si>
  <si>
    <t>R010866415</t>
  </si>
  <si>
    <t>髙野　誠一</t>
  </si>
  <si>
    <t>タカノ　セイイチ</t>
  </si>
  <si>
    <t>R010869221</t>
  </si>
  <si>
    <t>高野　泰輔</t>
  </si>
  <si>
    <t>R010882662</t>
  </si>
  <si>
    <t>髙橋　海翔</t>
  </si>
  <si>
    <t>タカハシ　カイト</t>
  </si>
  <si>
    <t>R010789988</t>
  </si>
  <si>
    <t>高橋　清志郎</t>
  </si>
  <si>
    <t>タカハシ　キヨシロウ</t>
  </si>
  <si>
    <t>R010800923</t>
  </si>
  <si>
    <t>高橋　康太</t>
  </si>
  <si>
    <t>R010817683</t>
  </si>
  <si>
    <t>R010865026</t>
  </si>
  <si>
    <t>R010812562</t>
  </si>
  <si>
    <t>高橋　蒼介</t>
  </si>
  <si>
    <t>タカハシ　ソウスケ</t>
  </si>
  <si>
    <t>R010882643</t>
  </si>
  <si>
    <t>髙橋　宥成</t>
  </si>
  <si>
    <t>タカハシ　ユウセイ</t>
  </si>
  <si>
    <t>R010790000</t>
  </si>
  <si>
    <t>髙橋　裕太郎</t>
  </si>
  <si>
    <t>R010767668</t>
  </si>
  <si>
    <t>髙橋　悠真</t>
  </si>
  <si>
    <t>タカハシ　ユウマ</t>
  </si>
  <si>
    <t>R010768411</t>
  </si>
  <si>
    <t>高橋　理夢</t>
  </si>
  <si>
    <t>タカハシ　リム</t>
  </si>
  <si>
    <t>R010774556</t>
  </si>
  <si>
    <t>高橋　凜</t>
  </si>
  <si>
    <t>タカハシ　リン</t>
  </si>
  <si>
    <t>R010817673</t>
  </si>
  <si>
    <t>高原　達幸</t>
  </si>
  <si>
    <t>タカハラ　タツユキ</t>
  </si>
  <si>
    <t>R010851190</t>
  </si>
  <si>
    <t>R010896974</t>
  </si>
  <si>
    <t>髙嶺　史哉</t>
  </si>
  <si>
    <t>R010776369</t>
  </si>
  <si>
    <t>髙森　颯誠</t>
  </si>
  <si>
    <t>タカモリ　ソウマ</t>
  </si>
  <si>
    <t>R010757886</t>
  </si>
  <si>
    <t>田川　喜隆</t>
  </si>
  <si>
    <t>タガワ　キリュウ</t>
  </si>
  <si>
    <t>R010766125</t>
  </si>
  <si>
    <t>田北　悠斗</t>
  </si>
  <si>
    <t>タキタ　ユウト</t>
  </si>
  <si>
    <t>R010851110</t>
  </si>
  <si>
    <t>瀧田　好浩</t>
  </si>
  <si>
    <t>タキダ　ヨシヒロ</t>
  </si>
  <si>
    <t>R010802637</t>
  </si>
  <si>
    <t>田口　滉洋</t>
  </si>
  <si>
    <t>タグチ　コウヨウ</t>
  </si>
  <si>
    <t>R010865000</t>
  </si>
  <si>
    <t>R010864984</t>
  </si>
  <si>
    <t>R010778438</t>
  </si>
  <si>
    <t>竹内　志貴</t>
  </si>
  <si>
    <t>タケウチ　シキ</t>
  </si>
  <si>
    <t>R010851210</t>
  </si>
  <si>
    <t>竹尾　莞太朗</t>
  </si>
  <si>
    <t>タケオ　カンタロウ</t>
  </si>
  <si>
    <t>R010817693</t>
  </si>
  <si>
    <t>武生　倫太郎</t>
  </si>
  <si>
    <t>R010864996</t>
  </si>
  <si>
    <t>R010870845</t>
  </si>
  <si>
    <t>武田　隼</t>
  </si>
  <si>
    <t>タケダ　ハヤト</t>
  </si>
  <si>
    <t>R010774519</t>
  </si>
  <si>
    <t>竹中　啓悟</t>
  </si>
  <si>
    <t>タケナカ　ケイゴ</t>
  </si>
  <si>
    <t>R010776332</t>
  </si>
  <si>
    <t>竹中　健悟</t>
  </si>
  <si>
    <t>タケナカ　ケンゴ</t>
  </si>
  <si>
    <t>R010827371</t>
  </si>
  <si>
    <t>竹ノ下　祐介</t>
  </si>
  <si>
    <t>タケノシタ　ユウスケ</t>
  </si>
  <si>
    <t>R010776341</t>
  </si>
  <si>
    <t>竹林　一護</t>
  </si>
  <si>
    <t>タケバヤシ　イチゴ</t>
  </si>
  <si>
    <t>R010776387</t>
  </si>
  <si>
    <t>竹本　大祐</t>
  </si>
  <si>
    <t>タケモト　ダイスケ</t>
  </si>
  <si>
    <t>R010809887</t>
  </si>
  <si>
    <t>R010789028</t>
  </si>
  <si>
    <t>田崎　拓朗</t>
  </si>
  <si>
    <t>タサキ　タクロウ</t>
  </si>
  <si>
    <t>R010879993</t>
  </si>
  <si>
    <t>田崎　大翔</t>
  </si>
  <si>
    <t>タサキ　ヒロト</t>
  </si>
  <si>
    <t>R010768417</t>
  </si>
  <si>
    <t>田崎　大夢</t>
  </si>
  <si>
    <t>タサキ　ヒロム</t>
  </si>
  <si>
    <t>R010865008</t>
  </si>
  <si>
    <t>田崎　周平</t>
  </si>
  <si>
    <t>タザキ　シュウヘイ</t>
  </si>
  <si>
    <t>R010817703</t>
  </si>
  <si>
    <t>R010809895</t>
  </si>
  <si>
    <t>R010827348</t>
  </si>
  <si>
    <t>R010789019</t>
  </si>
  <si>
    <t>R010865014</t>
  </si>
  <si>
    <t>R010802639</t>
  </si>
  <si>
    <t>立山　航大</t>
  </si>
  <si>
    <t>タテヤマ　コウダイ</t>
  </si>
  <si>
    <t>R010827353</t>
  </si>
  <si>
    <t>帯刀　勇人</t>
  </si>
  <si>
    <t>タテワキ　ユウト</t>
  </si>
  <si>
    <t>R010870862</t>
  </si>
  <si>
    <t>R010839456</t>
  </si>
  <si>
    <t>R010839472</t>
  </si>
  <si>
    <t>R010768404</t>
  </si>
  <si>
    <t>田中　湊人</t>
  </si>
  <si>
    <t>タナカ　ミナト</t>
  </si>
  <si>
    <t>R010767676</t>
  </si>
  <si>
    <t>田中　理琥</t>
  </si>
  <si>
    <t>タナカ　リク</t>
  </si>
  <si>
    <t>R010802632</t>
  </si>
  <si>
    <t>田辺　旺生</t>
  </si>
  <si>
    <t>タナベ　オウセイ</t>
  </si>
  <si>
    <t>R010800929</t>
  </si>
  <si>
    <t>田邉　航汰</t>
  </si>
  <si>
    <t>タナベ　コウタ</t>
  </si>
  <si>
    <t>R010783065</t>
  </si>
  <si>
    <t>田邉　諒真</t>
  </si>
  <si>
    <t>タナベ　リョウマ</t>
  </si>
  <si>
    <t>R010757896</t>
  </si>
  <si>
    <t>谷　逞斗</t>
  </si>
  <si>
    <t>タニ　タクト</t>
  </si>
  <si>
    <t>R010896975</t>
  </si>
  <si>
    <t>谷　倫太朗</t>
  </si>
  <si>
    <t>タニ　リンタロウ</t>
  </si>
  <si>
    <t>R010866349</t>
  </si>
  <si>
    <t>谷口　悠太</t>
  </si>
  <si>
    <t>タニグチ　ユウタ</t>
  </si>
  <si>
    <t>R010827345</t>
  </si>
  <si>
    <t>谷原　光</t>
  </si>
  <si>
    <t>タニハラ　ヒカル</t>
  </si>
  <si>
    <t>R010851187</t>
  </si>
  <si>
    <t>谷山　洸</t>
  </si>
  <si>
    <t>タニヤマ　コウ</t>
  </si>
  <si>
    <t>R010827362</t>
  </si>
  <si>
    <t>田上　裕司</t>
  </si>
  <si>
    <t>タノウエ　ユウジ</t>
  </si>
  <si>
    <t>R010809911</t>
  </si>
  <si>
    <t>R010776405</t>
  </si>
  <si>
    <t>田吹　陽</t>
  </si>
  <si>
    <t>タブキ　ヒナタ</t>
  </si>
  <si>
    <t>R010776365</t>
  </si>
  <si>
    <t>玉井　俊輝</t>
  </si>
  <si>
    <t>タマイ　トシキ</t>
  </si>
  <si>
    <t>R010851203</t>
  </si>
  <si>
    <t>垂水　彰智</t>
  </si>
  <si>
    <t>タルミ　アキトモ</t>
  </si>
  <si>
    <t>R010896973</t>
  </si>
  <si>
    <t>大工園　一心</t>
  </si>
  <si>
    <t>ダイクゾノ　イッシン</t>
  </si>
  <si>
    <t>R010839473</t>
  </si>
  <si>
    <t>だん　ちひろ</t>
  </si>
  <si>
    <t>R010827347</t>
  </si>
  <si>
    <t>R010802628</t>
  </si>
  <si>
    <t>長木　環和</t>
  </si>
  <si>
    <t>チョウキ　カンナ</t>
  </si>
  <si>
    <t>R010865041</t>
  </si>
  <si>
    <t>R010879991</t>
  </si>
  <si>
    <t>塚元　啓介</t>
  </si>
  <si>
    <t>ツカモト　ケイスケ</t>
  </si>
  <si>
    <t>R010809904</t>
  </si>
  <si>
    <t>塚本　楓空</t>
  </si>
  <si>
    <t>ツカモト　フウア</t>
  </si>
  <si>
    <t>R010789987</t>
  </si>
  <si>
    <t>津下　一孝</t>
  </si>
  <si>
    <t>ツシタ　カズタカ</t>
  </si>
  <si>
    <t>R010827337</t>
  </si>
  <si>
    <t>R010865043</t>
  </si>
  <si>
    <t>R010775194</t>
  </si>
  <si>
    <t>土屋　諒悟</t>
  </si>
  <si>
    <t>ツチヤ　リョウゴ</t>
  </si>
  <si>
    <t>R010768405</t>
  </si>
  <si>
    <t>恒成　洋吉</t>
  </si>
  <si>
    <t>ツネナリ　ヨウキチ</t>
  </si>
  <si>
    <t>R010896958</t>
  </si>
  <si>
    <t>角田　幸志狼</t>
  </si>
  <si>
    <t>ツノダ　コウシロウ</t>
  </si>
  <si>
    <t>R010851202</t>
  </si>
  <si>
    <t>坪根　央汰</t>
  </si>
  <si>
    <t>ツボネ　オウタ</t>
  </si>
  <si>
    <t>R010776354</t>
  </si>
  <si>
    <t>都留　瑞</t>
  </si>
  <si>
    <t>ツル　ミズキ</t>
  </si>
  <si>
    <t>R010809907</t>
  </si>
  <si>
    <t>R010776331</t>
  </si>
  <si>
    <t>手嶋　章博</t>
  </si>
  <si>
    <t>テシマ　アキヒロ</t>
  </si>
  <si>
    <t>R010776390</t>
  </si>
  <si>
    <t>手島　巧士郎</t>
  </si>
  <si>
    <t>R010716481</t>
  </si>
  <si>
    <t>手島　祥貴</t>
  </si>
  <si>
    <t>テシマ　ヨシキ</t>
  </si>
  <si>
    <t>R010882628</t>
  </si>
  <si>
    <t>手塚　昌希</t>
  </si>
  <si>
    <t>テヅカ　マサキ</t>
  </si>
  <si>
    <t>R010757895</t>
  </si>
  <si>
    <t>手水　翔太</t>
  </si>
  <si>
    <t>テミズ　ショウタ</t>
  </si>
  <si>
    <t>R010866341</t>
  </si>
  <si>
    <t>寺坂　洸希</t>
  </si>
  <si>
    <t>テラサカ　ミツキ</t>
  </si>
  <si>
    <t>R010778437</t>
  </si>
  <si>
    <t>寺村　いずみ</t>
  </si>
  <si>
    <t>テラムラ　イズミ</t>
  </si>
  <si>
    <t>R010775764</t>
  </si>
  <si>
    <t>時枝　依吹</t>
  </si>
  <si>
    <t>トキエダ　イブキ</t>
  </si>
  <si>
    <t>R010774538</t>
  </si>
  <si>
    <t>時松　蒼茉</t>
  </si>
  <si>
    <t>トキマツ　ソウマ</t>
  </si>
  <si>
    <t>R010790038</t>
  </si>
  <si>
    <t>徳重　宗太</t>
  </si>
  <si>
    <t>トクシゲ　ソウタ</t>
  </si>
  <si>
    <t>R010790017</t>
  </si>
  <si>
    <t>利光　亜風</t>
  </si>
  <si>
    <t>トシミツ　アラン</t>
  </si>
  <si>
    <t>R010866358</t>
  </si>
  <si>
    <t>利光　和心</t>
  </si>
  <si>
    <t>トシミツ　ナゴム</t>
  </si>
  <si>
    <t>R010827361</t>
  </si>
  <si>
    <t>R010776336</t>
  </si>
  <si>
    <t>冨吉　智元</t>
  </si>
  <si>
    <t>トミヨシ　トモハル</t>
  </si>
  <si>
    <t>R010802640</t>
  </si>
  <si>
    <t>友永　響</t>
  </si>
  <si>
    <t>トモナガ　ヒビキ</t>
  </si>
  <si>
    <t>R010865031</t>
  </si>
  <si>
    <t>R010882654</t>
  </si>
  <si>
    <t>豊島　主晃</t>
  </si>
  <si>
    <t>トヨシマ　カズアキ</t>
  </si>
  <si>
    <t>R010896967</t>
  </si>
  <si>
    <t>取井　優斗</t>
  </si>
  <si>
    <t>トリイ　ヒロト</t>
  </si>
  <si>
    <t>R010839471</t>
  </si>
  <si>
    <t>堂上　春希</t>
  </si>
  <si>
    <t>ドウジョウ　ハルキ</t>
  </si>
  <si>
    <t>R010839453</t>
  </si>
  <si>
    <t>R010864990</t>
  </si>
  <si>
    <t>R010869214</t>
  </si>
  <si>
    <t>R010766112</t>
  </si>
  <si>
    <t>中　優輝</t>
  </si>
  <si>
    <t>ナカ　マサキ</t>
  </si>
  <si>
    <t>R010774534</t>
  </si>
  <si>
    <t>中川　泰良</t>
  </si>
  <si>
    <t>ナカガワ　タイラ</t>
  </si>
  <si>
    <t>R010839459</t>
  </si>
  <si>
    <t>R010870847</t>
  </si>
  <si>
    <t>中川　遼希</t>
  </si>
  <si>
    <t>R010768409</t>
  </si>
  <si>
    <t>中島　大雅</t>
  </si>
  <si>
    <t>ナカシマ　タイガ</t>
  </si>
  <si>
    <t>R010744010</t>
  </si>
  <si>
    <t>中島　直哉</t>
  </si>
  <si>
    <t>ナカシマ　ナオヤ</t>
  </si>
  <si>
    <t>R010767680</t>
  </si>
  <si>
    <t>中嶌　大喜</t>
  </si>
  <si>
    <t>ナカジマ　タイキ</t>
  </si>
  <si>
    <t>R010851363</t>
  </si>
  <si>
    <t>仲島　心琥</t>
  </si>
  <si>
    <t>ナカジマ　ミク</t>
  </si>
  <si>
    <t>R010776381</t>
  </si>
  <si>
    <t>中津留　将悟</t>
  </si>
  <si>
    <t>ナカツル　ショウゴ</t>
  </si>
  <si>
    <t>R010817679</t>
  </si>
  <si>
    <t>中津留　正大</t>
  </si>
  <si>
    <t>ナカツル　マサヒロ</t>
  </si>
  <si>
    <t>R010817690</t>
  </si>
  <si>
    <t>R010866397</t>
  </si>
  <si>
    <t>中根　龍馬</t>
  </si>
  <si>
    <t>ナカネ　リョウマ</t>
  </si>
  <si>
    <t>R010809902</t>
  </si>
  <si>
    <t>R010790040</t>
  </si>
  <si>
    <t>中野　晄聖</t>
  </si>
  <si>
    <t>ナカノ　コウセイ</t>
  </si>
  <si>
    <t>R010767667</t>
  </si>
  <si>
    <t>中野　祥汰</t>
  </si>
  <si>
    <t>ナカノ　ショウタ</t>
  </si>
  <si>
    <t>R010870853</t>
  </si>
  <si>
    <t>R010879988</t>
  </si>
  <si>
    <t>中野　雄太</t>
  </si>
  <si>
    <t>ナカノ　ユウタ</t>
  </si>
  <si>
    <t>R010851213</t>
  </si>
  <si>
    <t>中野　琉星</t>
  </si>
  <si>
    <t>ナカノ　ルイ</t>
  </si>
  <si>
    <t>R010879987</t>
  </si>
  <si>
    <t>仲摩　和希</t>
  </si>
  <si>
    <t>ナカマ　カズキ</t>
  </si>
  <si>
    <t>R010882655</t>
  </si>
  <si>
    <t>R010775196</t>
  </si>
  <si>
    <t>仲町　駿祐</t>
  </si>
  <si>
    <t>ナカマチ　シュンスケ</t>
  </si>
  <si>
    <t>R010757870</t>
  </si>
  <si>
    <t>仲道　悠人</t>
  </si>
  <si>
    <t>ナカミチ　ハルト</t>
  </si>
  <si>
    <t>R010865027</t>
  </si>
  <si>
    <t>R010882658</t>
  </si>
  <si>
    <t>中村　出海</t>
  </si>
  <si>
    <t>ナカムラ　イズミ</t>
  </si>
  <si>
    <t>R010776347</t>
  </si>
  <si>
    <t>中村　俊彦</t>
  </si>
  <si>
    <t>ナカムラ　トシヒコ</t>
  </si>
  <si>
    <t>R010866350</t>
  </si>
  <si>
    <t>中村　陸</t>
  </si>
  <si>
    <t>ナカムラ　リク</t>
  </si>
  <si>
    <t>R010851195</t>
  </si>
  <si>
    <t>中山　煌</t>
  </si>
  <si>
    <t>ナカヤマ　コウ</t>
  </si>
  <si>
    <t>R010864991</t>
  </si>
  <si>
    <t>R010783053</t>
  </si>
  <si>
    <t>長岡　輝一</t>
  </si>
  <si>
    <t>ナガオカ　キイチ</t>
  </si>
  <si>
    <t>R010809917</t>
  </si>
  <si>
    <t>R010774553</t>
  </si>
  <si>
    <t>永竿　友大</t>
  </si>
  <si>
    <t>ナガサオ　ユウダイ</t>
  </si>
  <si>
    <t>R010851360</t>
  </si>
  <si>
    <t>長瀨　彩姫</t>
  </si>
  <si>
    <t>ナガセ　サキ</t>
  </si>
  <si>
    <t>R010882640</t>
  </si>
  <si>
    <t>長友　英洋</t>
  </si>
  <si>
    <t>ナガトモ　ヒデヒロ</t>
  </si>
  <si>
    <t>R010869227</t>
  </si>
  <si>
    <t>長友　響叶</t>
  </si>
  <si>
    <t>ナガトモ　ヒビト</t>
  </si>
  <si>
    <t>R010774544</t>
  </si>
  <si>
    <t>長野　瑛斗</t>
  </si>
  <si>
    <t>ナガノ　エイト</t>
  </si>
  <si>
    <t>R010776357</t>
  </si>
  <si>
    <t>長野　巧</t>
  </si>
  <si>
    <t>ナガノ　タクミ</t>
  </si>
  <si>
    <t>R010757848</t>
  </si>
  <si>
    <t>永松　裕史</t>
  </si>
  <si>
    <t>ナガマツ　ヒロシ</t>
  </si>
  <si>
    <t>R010774549</t>
  </si>
  <si>
    <t>奈須　虎太郎</t>
  </si>
  <si>
    <t>ナス　コタロウ</t>
  </si>
  <si>
    <t>R010871719</t>
  </si>
  <si>
    <t>R010774557</t>
  </si>
  <si>
    <t>楢崎　奏斗</t>
  </si>
  <si>
    <t>ナラサキ　カナト</t>
  </si>
  <si>
    <t>R010802633</t>
  </si>
  <si>
    <t>西　咲人</t>
  </si>
  <si>
    <t>ニシ　サキト</t>
  </si>
  <si>
    <t>R010865022</t>
  </si>
  <si>
    <t>R010851212</t>
  </si>
  <si>
    <t>R010896998</t>
  </si>
  <si>
    <t>西内　宥成</t>
  </si>
  <si>
    <t>ニシウチ　ユウセイ</t>
  </si>
  <si>
    <t>R010882625</t>
  </si>
  <si>
    <t>西尾　圭翔</t>
  </si>
  <si>
    <t>ニシオ　ケイト</t>
  </si>
  <si>
    <t>R010781528</t>
  </si>
  <si>
    <t>西尾　基希</t>
  </si>
  <si>
    <t>ニシオ　モトキ</t>
  </si>
  <si>
    <t>R010870850</t>
  </si>
  <si>
    <t>R010870858</t>
  </si>
  <si>
    <t>西村　藤吾</t>
  </si>
  <si>
    <t>ニシムラ　トウゴ</t>
  </si>
  <si>
    <t>R010776404</t>
  </si>
  <si>
    <t>西村　英朗</t>
  </si>
  <si>
    <t>ニシムラ　ヒデオ</t>
  </si>
  <si>
    <t>R010817737</t>
  </si>
  <si>
    <t>西村　博企</t>
  </si>
  <si>
    <t>ニシムラ　ヒロキ</t>
  </si>
  <si>
    <t>R010851366</t>
  </si>
  <si>
    <t>西村　優里奈</t>
  </si>
  <si>
    <t>ニシムラ　ユリナ</t>
  </si>
  <si>
    <t>R010866359</t>
  </si>
  <si>
    <t>R010866352</t>
  </si>
  <si>
    <t>R010766114</t>
  </si>
  <si>
    <t>仁部屋　蓮斗</t>
  </si>
  <si>
    <t>ニブヤ　レント</t>
  </si>
  <si>
    <t>R010871723</t>
  </si>
  <si>
    <t>R010880001</t>
  </si>
  <si>
    <t>農上　裕士</t>
  </si>
  <si>
    <t>ノウガミ　ヒロト</t>
  </si>
  <si>
    <t>R010809875</t>
  </si>
  <si>
    <t>野上　泰雅</t>
  </si>
  <si>
    <t>ノガミ　タイガ</t>
  </si>
  <si>
    <t>R010809881</t>
  </si>
  <si>
    <t>R010776383</t>
  </si>
  <si>
    <t>野尻　裕貴</t>
  </si>
  <si>
    <t>ノジリ　ユウキ</t>
  </si>
  <si>
    <t>R010866355</t>
  </si>
  <si>
    <t>野田　豊</t>
  </si>
  <si>
    <t>ノダ　ユタカ</t>
  </si>
  <si>
    <t>R010817669</t>
  </si>
  <si>
    <t>野村　航平</t>
  </si>
  <si>
    <t>ノムラ　コウヘイ</t>
  </si>
  <si>
    <t>R010800928</t>
  </si>
  <si>
    <t>野依　千夏</t>
  </si>
  <si>
    <t>ノヨリ　チナ</t>
  </si>
  <si>
    <t>R010809889</t>
  </si>
  <si>
    <t>乗冨　璃星</t>
  </si>
  <si>
    <t>R010809865</t>
  </si>
  <si>
    <t>乗冨　璃弥哉</t>
  </si>
  <si>
    <t>ノリドミ　リミヤ</t>
  </si>
  <si>
    <t>R010817720</t>
  </si>
  <si>
    <t>R010896964</t>
  </si>
  <si>
    <t>橋本　朝陽</t>
  </si>
  <si>
    <t>ハシモト　アサヒ</t>
  </si>
  <si>
    <t>R010775766</t>
  </si>
  <si>
    <t>橋本　陽馬</t>
  </si>
  <si>
    <t>ハシモト　ハルマ</t>
  </si>
  <si>
    <t>R010864987</t>
  </si>
  <si>
    <t>R010809884</t>
  </si>
  <si>
    <t>土師　大知</t>
  </si>
  <si>
    <t>ハジ　ダイチ</t>
  </si>
  <si>
    <t>R010766117</t>
  </si>
  <si>
    <t>土師　優貴</t>
  </si>
  <si>
    <t>ハジ　ユウキ</t>
  </si>
  <si>
    <t>R010865020</t>
  </si>
  <si>
    <t>R010767673</t>
  </si>
  <si>
    <t>旗手　悠也</t>
  </si>
  <si>
    <t>ハタテ　ユウヤ</t>
  </si>
  <si>
    <t>R010789033</t>
  </si>
  <si>
    <t>波多野　大成</t>
  </si>
  <si>
    <t>ハタノ　タイセイ</t>
  </si>
  <si>
    <t>R010802647</t>
  </si>
  <si>
    <t>波多野　太一</t>
  </si>
  <si>
    <t>ハタノ　タイチ</t>
  </si>
  <si>
    <t>R010757873</t>
  </si>
  <si>
    <t>波多野　雄大</t>
  </si>
  <si>
    <t>ハタノ　ユウダイ</t>
  </si>
  <si>
    <t>R010789989</t>
  </si>
  <si>
    <t>羽田野　康平</t>
  </si>
  <si>
    <t>ハダノ　コウヘイ</t>
  </si>
  <si>
    <t>R010737414</t>
  </si>
  <si>
    <t>羽田野　宥瑛</t>
  </si>
  <si>
    <t>ハダノ　ユウエイ</t>
  </si>
  <si>
    <t>R010866357</t>
  </si>
  <si>
    <t>服部　善一</t>
  </si>
  <si>
    <t>ハットリ　ゼンイチ</t>
  </si>
  <si>
    <t>R010866427</t>
  </si>
  <si>
    <t>波戸崎　武虎</t>
  </si>
  <si>
    <t>ハトザキ　タケトラ</t>
  </si>
  <si>
    <t>R010776388</t>
  </si>
  <si>
    <t>花木　総元</t>
  </si>
  <si>
    <t>ハナキ　ノブチカ</t>
  </si>
  <si>
    <t>R010839462</t>
  </si>
  <si>
    <t>R010851107</t>
  </si>
  <si>
    <t>濵﨑　柊登</t>
  </si>
  <si>
    <t>ハマサキ　シュウト</t>
  </si>
  <si>
    <t>R010774521</t>
  </si>
  <si>
    <t>濱田　空</t>
  </si>
  <si>
    <t>ハマダ　ソラ</t>
  </si>
  <si>
    <t>R010783067</t>
  </si>
  <si>
    <t>濵田　司</t>
  </si>
  <si>
    <t>ハマダ　ツカサ</t>
  </si>
  <si>
    <t>R010767663</t>
  </si>
  <si>
    <t>濱野　脩翔</t>
  </si>
  <si>
    <t>ハマノ　シュウト</t>
  </si>
  <si>
    <t>R010882666</t>
  </si>
  <si>
    <t>濱弓場　真斗生</t>
  </si>
  <si>
    <t>ハマユミバ　マトイ</t>
  </si>
  <si>
    <t>R010896987</t>
  </si>
  <si>
    <t>早木　弘翔</t>
  </si>
  <si>
    <t>ハヤキ　ヒロト</t>
  </si>
  <si>
    <t>R010827363</t>
  </si>
  <si>
    <t>林　虎空</t>
  </si>
  <si>
    <t>ハヤシ　コア</t>
  </si>
  <si>
    <t>R010882646</t>
  </si>
  <si>
    <t>林　宏紀</t>
  </si>
  <si>
    <t>ハヤシ　ヒロキ</t>
  </si>
  <si>
    <t>R010869242</t>
  </si>
  <si>
    <t>R010789034</t>
  </si>
  <si>
    <t>原　翔大</t>
  </si>
  <si>
    <t>ハラ　ショウタ</t>
  </si>
  <si>
    <t>R010870860</t>
  </si>
  <si>
    <t>R010879983</t>
  </si>
  <si>
    <t>原田　柊</t>
  </si>
  <si>
    <t>ハラダ　シュウ</t>
  </si>
  <si>
    <t>R010757880</t>
  </si>
  <si>
    <t>原田　脩平</t>
  </si>
  <si>
    <t>ハラダ　シュウヘイ</t>
  </si>
  <si>
    <t>R010809923</t>
  </si>
  <si>
    <t>R010866406</t>
  </si>
  <si>
    <t>原野　浩一</t>
  </si>
  <si>
    <t>ハラノ　コウイチ</t>
  </si>
  <si>
    <t>R010896962</t>
  </si>
  <si>
    <t>飯田　夏葵</t>
  </si>
  <si>
    <t>ハンダ　ナツキ</t>
  </si>
  <si>
    <t>R010896970</t>
  </si>
  <si>
    <t>判野　憲史</t>
  </si>
  <si>
    <t>ハンノ　ケンシ</t>
  </si>
  <si>
    <t>R010783553</t>
  </si>
  <si>
    <t>馬場　賢治</t>
  </si>
  <si>
    <t>ババ　ケンジ</t>
  </si>
  <si>
    <t>R010850850</t>
  </si>
  <si>
    <t>馬場　栄州</t>
  </si>
  <si>
    <t>ババ　ヨシクニ</t>
  </si>
  <si>
    <t>R010865030</t>
  </si>
  <si>
    <t>バラッチョ　アンドレルイス</t>
  </si>
  <si>
    <t>バラッチオ　アンドレルイス</t>
  </si>
  <si>
    <t>R010774545</t>
  </si>
  <si>
    <t>日浦　上総</t>
  </si>
  <si>
    <t>ヒウラ　カズサ</t>
  </si>
  <si>
    <t>R010801863</t>
  </si>
  <si>
    <t>東　昌治</t>
  </si>
  <si>
    <t>ヒガシ　マサハル</t>
  </si>
  <si>
    <t>R010802638</t>
  </si>
  <si>
    <t>東　龍之介</t>
  </si>
  <si>
    <t>ヒガシ　リュウノスケ</t>
  </si>
  <si>
    <t>R010814451</t>
  </si>
  <si>
    <t>東迫　伸紀</t>
  </si>
  <si>
    <t>ヒガシサコ　ノブキ</t>
  </si>
  <si>
    <t>R010888234</t>
  </si>
  <si>
    <t>久野　風貴</t>
  </si>
  <si>
    <t>ヒサノ　フウキ</t>
  </si>
  <si>
    <t>R010817710</t>
  </si>
  <si>
    <t>ヒタカ　ソウマ</t>
  </si>
  <si>
    <t>R010866343</t>
  </si>
  <si>
    <t>日名子　瑛二</t>
  </si>
  <si>
    <t>ヒナゴ　エイジ</t>
  </si>
  <si>
    <t>R010809874</t>
  </si>
  <si>
    <t>R010809877</t>
  </si>
  <si>
    <t>姫野　遥登</t>
  </si>
  <si>
    <t>ヒメノ　ハルト</t>
  </si>
  <si>
    <t>R010766122</t>
  </si>
  <si>
    <t>姫野　大和</t>
  </si>
  <si>
    <t>ヒメノ　ヤマト</t>
  </si>
  <si>
    <t>R010757897</t>
  </si>
  <si>
    <t>姫野　佑太</t>
  </si>
  <si>
    <t>ヒメノ　ユウタ</t>
  </si>
  <si>
    <t>R010789021</t>
  </si>
  <si>
    <t>姫野　宥弥</t>
  </si>
  <si>
    <t>ヒメノ　ユウヤ</t>
  </si>
  <si>
    <t>R010882644</t>
  </si>
  <si>
    <t>姫野　烈也</t>
  </si>
  <si>
    <t>ヒメノ　レツヤ</t>
  </si>
  <si>
    <t>R010827342</t>
  </si>
  <si>
    <t>R010789025</t>
  </si>
  <si>
    <t>平川　瑛翔</t>
  </si>
  <si>
    <t>ヒラカワ　エイト</t>
  </si>
  <si>
    <t>R010757860</t>
  </si>
  <si>
    <t>平川　颯人</t>
  </si>
  <si>
    <t>ヒラカワ　ハヤト</t>
  </si>
  <si>
    <t>R010869243</t>
  </si>
  <si>
    <t>平川　晴貴</t>
  </si>
  <si>
    <t>ヒラカワ　ハルキ</t>
  </si>
  <si>
    <t>R010817705</t>
  </si>
  <si>
    <t>R010866354</t>
  </si>
  <si>
    <t>R010882635</t>
  </si>
  <si>
    <t>R010827368</t>
  </si>
  <si>
    <t>ヒラノ　ソウタロウ</t>
  </si>
  <si>
    <t>R010790018</t>
  </si>
  <si>
    <t>平野　稔</t>
  </si>
  <si>
    <t>ヒラノ　ミノル</t>
  </si>
  <si>
    <t>R010789986</t>
  </si>
  <si>
    <t>平原　修人</t>
  </si>
  <si>
    <t>ヒラバラ　シュウト</t>
  </si>
  <si>
    <t>R010897002</t>
  </si>
  <si>
    <t>平松　孝汰朗</t>
  </si>
  <si>
    <t>ヒラマツ　コウタロウ</t>
  </si>
  <si>
    <t>R010800927</t>
  </si>
  <si>
    <t>R010768403</t>
  </si>
  <si>
    <t>廣池　優楽</t>
  </si>
  <si>
    <t>ヒロイケ　ユラ</t>
  </si>
  <si>
    <t>R010766344</t>
  </si>
  <si>
    <t>廣石　有咲</t>
  </si>
  <si>
    <t>ヒロイシ　アリサ</t>
  </si>
  <si>
    <t>R010809866</t>
  </si>
  <si>
    <t>R010866399</t>
  </si>
  <si>
    <t>R010896979</t>
  </si>
  <si>
    <t>廣瀬　拓也</t>
  </si>
  <si>
    <t>ヒロセ　タクヤ</t>
  </si>
  <si>
    <t>R010775195</t>
  </si>
  <si>
    <t>廣瀬　遼真</t>
  </si>
  <si>
    <t>ヒロセ　ハルマ</t>
  </si>
  <si>
    <t>R010805403</t>
  </si>
  <si>
    <t>廣瀬　有気</t>
  </si>
  <si>
    <t>ヒロセ　ユウキ</t>
  </si>
  <si>
    <t>R010866391</t>
  </si>
  <si>
    <t>広津　佑亮</t>
  </si>
  <si>
    <t>ヒロツ　ユウスケ</t>
  </si>
  <si>
    <t>R010827351</t>
  </si>
  <si>
    <t>深田　慎一</t>
  </si>
  <si>
    <t>フカタ　シンイチ</t>
  </si>
  <si>
    <t>R010775191</t>
  </si>
  <si>
    <t>深田　瑠唯</t>
  </si>
  <si>
    <t>フカタ　ルイ</t>
  </si>
  <si>
    <t>R010869215</t>
  </si>
  <si>
    <t>R010882651</t>
  </si>
  <si>
    <t>福嶋　海人</t>
  </si>
  <si>
    <t>フクシマ　カイト</t>
  </si>
  <si>
    <t>R010879996</t>
  </si>
  <si>
    <t>福田　太郎</t>
  </si>
  <si>
    <t>フクダ　タロウ</t>
  </si>
  <si>
    <t>R010851209</t>
  </si>
  <si>
    <t>福田　雲雀</t>
  </si>
  <si>
    <t>フクダ　ヒバリ</t>
  </si>
  <si>
    <t>R010809905</t>
  </si>
  <si>
    <t>福田　悠之介</t>
  </si>
  <si>
    <t>フクダ　ユウノスケ</t>
  </si>
  <si>
    <t>R010870849</t>
  </si>
  <si>
    <t>福田　龍駕</t>
  </si>
  <si>
    <t>フクダ　リュウガ</t>
  </si>
  <si>
    <t>R010775189</t>
  </si>
  <si>
    <t>福西　勝哉</t>
  </si>
  <si>
    <t>フクニシ　マサヤ</t>
  </si>
  <si>
    <t>R010783064</t>
  </si>
  <si>
    <t>福吉　晴斗</t>
  </si>
  <si>
    <t>フクヨシ　ハルト</t>
  </si>
  <si>
    <t>R010866402</t>
  </si>
  <si>
    <t>福吉　琉七</t>
  </si>
  <si>
    <t>フクヨシ　ルナ</t>
  </si>
  <si>
    <t>R010757899</t>
  </si>
  <si>
    <t>藤井　耀斗</t>
  </si>
  <si>
    <t>フジイ　アキト</t>
  </si>
  <si>
    <t>R010865001</t>
  </si>
  <si>
    <t>R010827355</t>
  </si>
  <si>
    <t>藤澤　大斗</t>
  </si>
  <si>
    <t>フジサワ　マサト</t>
  </si>
  <si>
    <t>R010778436</t>
  </si>
  <si>
    <t>藤永　遥</t>
  </si>
  <si>
    <t>フジナガ　ハルカ</t>
  </si>
  <si>
    <t>R010774537</t>
  </si>
  <si>
    <t>藤野　世那</t>
  </si>
  <si>
    <t>フジノ　セナ</t>
  </si>
  <si>
    <t>R010776345</t>
  </si>
  <si>
    <t>藤本　英太郎</t>
  </si>
  <si>
    <t>フジモト　エイタロウ</t>
  </si>
  <si>
    <t>R010817686</t>
  </si>
  <si>
    <t>R010809925</t>
  </si>
  <si>
    <t>R010866430</t>
  </si>
  <si>
    <t>R010817682</t>
  </si>
  <si>
    <t>R010790004</t>
  </si>
  <si>
    <t>藤原　竜靖</t>
  </si>
  <si>
    <t>フジワラ　リュウセイ</t>
  </si>
  <si>
    <t>R010802659</t>
  </si>
  <si>
    <t>二村　亮雅</t>
  </si>
  <si>
    <t>フタムラ　リョウガ</t>
  </si>
  <si>
    <t>R010809903</t>
  </si>
  <si>
    <t>淵野　勇汰</t>
  </si>
  <si>
    <t>フチノ　ユウタ</t>
  </si>
  <si>
    <t>R010789998</t>
  </si>
  <si>
    <t>渕野　怜紋</t>
  </si>
  <si>
    <t>フチノ　レン</t>
  </si>
  <si>
    <t>R010774546</t>
  </si>
  <si>
    <t>古家　遙真</t>
  </si>
  <si>
    <t>フルイエ　ハルマ</t>
  </si>
  <si>
    <t>R010809878</t>
  </si>
  <si>
    <t>古川　紘平</t>
  </si>
  <si>
    <t>R010817697</t>
  </si>
  <si>
    <t>R010809922</t>
  </si>
  <si>
    <t>古荘　羽矢斗</t>
  </si>
  <si>
    <t>フルショウ　ハヤト</t>
  </si>
  <si>
    <t>R010871705</t>
  </si>
  <si>
    <t>R010809900</t>
  </si>
  <si>
    <t>帆足　颯太</t>
  </si>
  <si>
    <t>ホアシ　ソウタ</t>
  </si>
  <si>
    <t>R010870313</t>
  </si>
  <si>
    <t>外園　優心</t>
  </si>
  <si>
    <t>ホカゾノ　ユウト</t>
  </si>
  <si>
    <t>R010866435</t>
  </si>
  <si>
    <t>細川　秀眞</t>
  </si>
  <si>
    <t>ホソカワ　シュウマ</t>
  </si>
  <si>
    <t>R010776335</t>
  </si>
  <si>
    <t>堀　公一</t>
  </si>
  <si>
    <t>ホリ　コウイチ</t>
  </si>
  <si>
    <t>R010855690</t>
  </si>
  <si>
    <t>R010802656</t>
  </si>
  <si>
    <t>堀切　壱悟</t>
  </si>
  <si>
    <t>ホリキリ　イチゴ</t>
  </si>
  <si>
    <t>R010870855</t>
  </si>
  <si>
    <t>R010778440</t>
  </si>
  <si>
    <t>本城　紗也菜</t>
  </si>
  <si>
    <t>ホンジョウ　サヤナ</t>
  </si>
  <si>
    <t>R010766120</t>
  </si>
  <si>
    <t>本城　梛翔</t>
  </si>
  <si>
    <t>ホンジョウ　ナギト</t>
  </si>
  <si>
    <t>R010827340</t>
  </si>
  <si>
    <t>R010827367</t>
  </si>
  <si>
    <t>本多　一貴</t>
  </si>
  <si>
    <t>ホンダ　カズキ</t>
  </si>
  <si>
    <t>R010896997</t>
  </si>
  <si>
    <t>前田　莉輝</t>
  </si>
  <si>
    <t>マエダ　リキ</t>
  </si>
  <si>
    <t>R010809918</t>
  </si>
  <si>
    <t>R010789030</t>
  </si>
  <si>
    <t>眞上　まどか</t>
  </si>
  <si>
    <t>マガミ　マドカ</t>
  </si>
  <si>
    <t>R010851109</t>
  </si>
  <si>
    <t>牧　匠見</t>
  </si>
  <si>
    <t>マキ　タクミ</t>
  </si>
  <si>
    <t>R010817714</t>
  </si>
  <si>
    <t>R010817721</t>
  </si>
  <si>
    <t>牧野　太我</t>
  </si>
  <si>
    <t>マキノ　タイガ</t>
  </si>
  <si>
    <t>R010774554</t>
  </si>
  <si>
    <t>政村　青空</t>
  </si>
  <si>
    <t>マサムラ　ソラ</t>
  </si>
  <si>
    <t>R010765298</t>
  </si>
  <si>
    <t>益留　葵</t>
  </si>
  <si>
    <t>マスドメ　アオイ</t>
  </si>
  <si>
    <t>R010851369</t>
  </si>
  <si>
    <t>益留　紅葉</t>
  </si>
  <si>
    <t>マスドメ　クレハ</t>
  </si>
  <si>
    <t>R010781539</t>
  </si>
  <si>
    <t>松井　暖</t>
  </si>
  <si>
    <t>マツイ　ヒナタ</t>
  </si>
  <si>
    <t>R010776396</t>
  </si>
  <si>
    <t>松尾　瑛斗</t>
  </si>
  <si>
    <t>R010809909</t>
  </si>
  <si>
    <t>R010851208</t>
  </si>
  <si>
    <t>R010865023</t>
  </si>
  <si>
    <t>R010812543</t>
  </si>
  <si>
    <t>R010871710</t>
  </si>
  <si>
    <t>R010812545</t>
  </si>
  <si>
    <t>R010864980</t>
  </si>
  <si>
    <t>松川　詠斗</t>
  </si>
  <si>
    <t>マツカワ　エイト</t>
  </si>
  <si>
    <t>R010766115</t>
  </si>
  <si>
    <t>松垣　蒼空</t>
  </si>
  <si>
    <t>マツガキ　ソラ</t>
  </si>
  <si>
    <t>R010809876</t>
  </si>
  <si>
    <t>R010817715</t>
  </si>
  <si>
    <t>R010851199</t>
  </si>
  <si>
    <t>松下　颯真</t>
  </si>
  <si>
    <t>マツシタ　ソウマ</t>
  </si>
  <si>
    <t>R010776334</t>
  </si>
  <si>
    <t>松下　直矢</t>
  </si>
  <si>
    <t>マツシタ　ナオヤ</t>
  </si>
  <si>
    <t>R010896968</t>
  </si>
  <si>
    <t>松下　颯汰</t>
  </si>
  <si>
    <t>マツシタ　フウタ</t>
  </si>
  <si>
    <t>R010865005</t>
  </si>
  <si>
    <t>R010839448</t>
  </si>
  <si>
    <t>松永　一慶</t>
  </si>
  <si>
    <t>マツナガ　カズヨシ</t>
  </si>
  <si>
    <t>R010809912</t>
  </si>
  <si>
    <t>R010882633</t>
  </si>
  <si>
    <t>R010882663</t>
  </si>
  <si>
    <t>R010866404</t>
  </si>
  <si>
    <t>松本　一男</t>
  </si>
  <si>
    <t>マツモト　カズオ</t>
  </si>
  <si>
    <t>R010882623</t>
  </si>
  <si>
    <t>松本　昂明</t>
  </si>
  <si>
    <t>マツモト　タカアキ</t>
  </si>
  <si>
    <t>R010869223</t>
  </si>
  <si>
    <t>R010802641</t>
  </si>
  <si>
    <t>眞弓　恭輔</t>
  </si>
  <si>
    <t>マユミ　キョウスケ</t>
  </si>
  <si>
    <t>R010896980</t>
  </si>
  <si>
    <t>丸井　大樹</t>
  </si>
  <si>
    <t>マルイ　タイキ</t>
  </si>
  <si>
    <t>R010781541</t>
  </si>
  <si>
    <t>箕迫　海斗</t>
  </si>
  <si>
    <t>ミイサコ　カイト</t>
  </si>
  <si>
    <t>R010766123</t>
  </si>
  <si>
    <t>三浦　斡太</t>
  </si>
  <si>
    <t>ミウラ　カンタ</t>
  </si>
  <si>
    <t>R010809898</t>
  </si>
  <si>
    <t>R010864988</t>
  </si>
  <si>
    <t>R010790019</t>
  </si>
  <si>
    <t>三枝　正博</t>
  </si>
  <si>
    <t>ミエダ　マサヒロ</t>
  </si>
  <si>
    <t>R010866393</t>
  </si>
  <si>
    <t>三重野　颯太</t>
  </si>
  <si>
    <t>ミエノ　ソウタ</t>
  </si>
  <si>
    <t>R010871721</t>
  </si>
  <si>
    <t>R010781533</t>
  </si>
  <si>
    <t>水田　暖人</t>
  </si>
  <si>
    <t>ミズタ　ハルト</t>
  </si>
  <si>
    <t>R010767690</t>
  </si>
  <si>
    <t>水谷　誠治</t>
  </si>
  <si>
    <t>ミズタニ　セイジ</t>
  </si>
  <si>
    <t>R010789027</t>
  </si>
  <si>
    <t>水野　滉</t>
  </si>
  <si>
    <t>ミズノ　アキラ</t>
  </si>
  <si>
    <t>R010864974</t>
  </si>
  <si>
    <t>水野　嘉輝</t>
  </si>
  <si>
    <t>ミズノ　ヨシテル</t>
  </si>
  <si>
    <t>R010896969</t>
  </si>
  <si>
    <t>三辻　康太</t>
  </si>
  <si>
    <t>ミツジ　コウタ</t>
  </si>
  <si>
    <t>R010812540</t>
  </si>
  <si>
    <t>三苫　靖</t>
  </si>
  <si>
    <t>ミトマ　ヤスシ</t>
  </si>
  <si>
    <t>R010865006</t>
  </si>
  <si>
    <t>R010817675</t>
  </si>
  <si>
    <t>R010896978</t>
  </si>
  <si>
    <t>南　拓海</t>
  </si>
  <si>
    <t>ミナミ　タクミ</t>
  </si>
  <si>
    <t>R010871729</t>
  </si>
  <si>
    <t>R010766124</t>
  </si>
  <si>
    <t>蓑毛　颯</t>
  </si>
  <si>
    <t>ミノモ　ソウ</t>
  </si>
  <si>
    <t>R010866345</t>
  </si>
  <si>
    <t>三房　真昭</t>
  </si>
  <si>
    <t>ミフサ　マサアキ</t>
  </si>
  <si>
    <t>R010781547</t>
  </si>
  <si>
    <t>三股　虎聖</t>
  </si>
  <si>
    <t>ミマタ　コウセイ</t>
  </si>
  <si>
    <t>R010767679</t>
  </si>
  <si>
    <t>都　凛太朗</t>
  </si>
  <si>
    <t>ミヤコ　リンタロウ</t>
  </si>
  <si>
    <t>R010817701</t>
  </si>
  <si>
    <t>R010775190</t>
  </si>
  <si>
    <t>宮成　淳也</t>
  </si>
  <si>
    <t>ミヤナリ　ジュンヤ</t>
  </si>
  <si>
    <t>R010882650</t>
  </si>
  <si>
    <t>宮野　元樹</t>
  </si>
  <si>
    <t>ミヤノ　モトキ</t>
  </si>
  <si>
    <t>R010864999</t>
  </si>
  <si>
    <t>宮本　渉夢</t>
  </si>
  <si>
    <t>R010871731</t>
  </si>
  <si>
    <t>R010774529</t>
  </si>
  <si>
    <t>宮本　陸光</t>
  </si>
  <si>
    <t>ミヤモト　タカヒロ</t>
  </si>
  <si>
    <t>R010865021</t>
  </si>
  <si>
    <t>R010812542</t>
  </si>
  <si>
    <t>宮本　祐太</t>
  </si>
  <si>
    <t>ミヤモト　ユウタ</t>
  </si>
  <si>
    <t>R010802654</t>
  </si>
  <si>
    <t>宮本　留榎</t>
  </si>
  <si>
    <t>ミヤモト　ルカ</t>
  </si>
  <si>
    <t>R010866425</t>
  </si>
  <si>
    <t>R010817723</t>
  </si>
  <si>
    <t>R010855687</t>
  </si>
  <si>
    <t>R010865042</t>
  </si>
  <si>
    <t>R010781532</t>
  </si>
  <si>
    <t>向田　颯太郎</t>
  </si>
  <si>
    <t>ムコウダ　ソウタロウ</t>
  </si>
  <si>
    <t>R010827333</t>
  </si>
  <si>
    <t>鞭馬　大輝</t>
  </si>
  <si>
    <t>ムチマ　ダイキ</t>
  </si>
  <si>
    <t>R010870844</t>
  </si>
  <si>
    <t>村尾　龍矢</t>
  </si>
  <si>
    <t>ムラオ　タツヤ</t>
  </si>
  <si>
    <t>R010809890</t>
  </si>
  <si>
    <t>R010864986</t>
  </si>
  <si>
    <t>R010781544</t>
  </si>
  <si>
    <t>村上　弘樹</t>
  </si>
  <si>
    <t>ムラカミ　ヒロキ</t>
  </si>
  <si>
    <t>R010817670</t>
  </si>
  <si>
    <t>村上　真斗</t>
  </si>
  <si>
    <t>ムラカミ　マナト</t>
  </si>
  <si>
    <t>R010839465</t>
  </si>
  <si>
    <t>R010790026</t>
  </si>
  <si>
    <t>室園　悠來</t>
  </si>
  <si>
    <t>ムロゾノ　ユウラ</t>
  </si>
  <si>
    <t>R010802650</t>
  </si>
  <si>
    <t>毛利　秀弥</t>
  </si>
  <si>
    <t>モウリ　シュウヤ</t>
  </si>
  <si>
    <t>R010809873</t>
  </si>
  <si>
    <t>R010896984</t>
  </si>
  <si>
    <t>本白水　崇伸</t>
  </si>
  <si>
    <t>モトシロミズ　タカノブ</t>
  </si>
  <si>
    <t>R010851200</t>
  </si>
  <si>
    <t>元永　央人</t>
  </si>
  <si>
    <t>モトナガ　オト</t>
  </si>
  <si>
    <t>R010817735</t>
  </si>
  <si>
    <t>本村　湊士</t>
  </si>
  <si>
    <t>モトムラ　ミナト</t>
  </si>
  <si>
    <t>R010781527</t>
  </si>
  <si>
    <t>森　大翔</t>
  </si>
  <si>
    <t>モリ　ダイト</t>
  </si>
  <si>
    <t>R010870851</t>
  </si>
  <si>
    <t>森　陸翔</t>
  </si>
  <si>
    <t>モリ　リクト</t>
  </si>
  <si>
    <t>R010790034</t>
  </si>
  <si>
    <t>森﨑　聖菜</t>
  </si>
  <si>
    <t>R010776359</t>
  </si>
  <si>
    <t>森田　一真</t>
  </si>
  <si>
    <t>モリタ　カズマ</t>
  </si>
  <si>
    <t>R010882624</t>
  </si>
  <si>
    <t>森田　恭介</t>
  </si>
  <si>
    <t>モリタ　キョウスケ</t>
  </si>
  <si>
    <t>R010776384</t>
  </si>
  <si>
    <t>森田　陽介</t>
  </si>
  <si>
    <t>モリタ　ヨウスケ</t>
  </si>
  <si>
    <t>R010809891</t>
  </si>
  <si>
    <t>森本　圭祐</t>
  </si>
  <si>
    <t>モリモト　ケイスケ</t>
  </si>
  <si>
    <t>R010800922</t>
  </si>
  <si>
    <t>R010851186</t>
  </si>
  <si>
    <t>森本　壮大</t>
  </si>
  <si>
    <t>モリモト　ソウタ</t>
  </si>
  <si>
    <t>R010888229</t>
  </si>
  <si>
    <t>森山　龍騎</t>
  </si>
  <si>
    <t>モリヤマ　タツキ</t>
  </si>
  <si>
    <t>R010888227</t>
  </si>
  <si>
    <t>森山　悠太</t>
  </si>
  <si>
    <t>モリヤマ　ユウタ</t>
  </si>
  <si>
    <t>R010817716</t>
  </si>
  <si>
    <t>R010783046</t>
  </si>
  <si>
    <t>薬師寺　凌空</t>
  </si>
  <si>
    <t>ヤクシジ　リク</t>
  </si>
  <si>
    <t>R010781538</t>
  </si>
  <si>
    <t>屋敷　健将</t>
  </si>
  <si>
    <t>ヤシキ　ケンショウ</t>
  </si>
  <si>
    <t>R010877112</t>
  </si>
  <si>
    <t>R010865039</t>
  </si>
  <si>
    <t>R010800931</t>
  </si>
  <si>
    <t>矢頭　蓮</t>
  </si>
  <si>
    <t>ヤズ　レン</t>
  </si>
  <si>
    <t>R010827366</t>
  </si>
  <si>
    <t>矢田　啓介</t>
  </si>
  <si>
    <t>ヤダ　ケイスケ</t>
  </si>
  <si>
    <t>R010767685</t>
  </si>
  <si>
    <t>矢田　孝太郎</t>
  </si>
  <si>
    <t>ヤダ　コウタロウ</t>
  </si>
  <si>
    <t>R010827339</t>
  </si>
  <si>
    <t>R010767684</t>
  </si>
  <si>
    <t>矢野　虎士朗</t>
  </si>
  <si>
    <t>ヤノ　コジロウ</t>
  </si>
  <si>
    <t>R010827338</t>
  </si>
  <si>
    <t>R010766129</t>
  </si>
  <si>
    <t>矢野　壮太郎</t>
  </si>
  <si>
    <t>ヤノ　ソウタロウ</t>
  </si>
  <si>
    <t>R010757898</t>
  </si>
  <si>
    <t>矢野　貴裕</t>
  </si>
  <si>
    <t>ヤノ　タカヒロ</t>
  </si>
  <si>
    <t>R010783057</t>
  </si>
  <si>
    <t>矢野　都織</t>
  </si>
  <si>
    <t>ヤノ　トオリ</t>
  </si>
  <si>
    <t>R010790010</t>
  </si>
  <si>
    <t>矢野　智大</t>
  </si>
  <si>
    <t>ヤノ　トモヒロ</t>
  </si>
  <si>
    <t>R010896971</t>
  </si>
  <si>
    <t>矢野　裕也</t>
  </si>
  <si>
    <t>ヤノ　ユウヤ</t>
  </si>
  <si>
    <t>R010879985</t>
  </si>
  <si>
    <t>矢野　龍聖</t>
  </si>
  <si>
    <t>R010851192</t>
  </si>
  <si>
    <t>矢幡　乙輝</t>
  </si>
  <si>
    <t>ヤハタ　イツキ</t>
  </si>
  <si>
    <t>R010768415</t>
  </si>
  <si>
    <t>山口　颯太</t>
  </si>
  <si>
    <t>ヤマグチ　ソウタ</t>
  </si>
  <si>
    <t>R010789023</t>
  </si>
  <si>
    <t>R010800939</t>
  </si>
  <si>
    <t>山﨑　恵美梨</t>
  </si>
  <si>
    <t>ヤマサキ　エミリ</t>
  </si>
  <si>
    <t>R010827343</t>
  </si>
  <si>
    <t>山崎　快斗</t>
  </si>
  <si>
    <t>ヤマサキ　カイト</t>
  </si>
  <si>
    <t>R010871715</t>
  </si>
  <si>
    <t>R010896963</t>
  </si>
  <si>
    <t>山﨑　芽來</t>
  </si>
  <si>
    <t>ヤマサキ　メグル</t>
  </si>
  <si>
    <t>R010865003</t>
  </si>
  <si>
    <t>山下　悠悟</t>
  </si>
  <si>
    <t>ヤマシタ　ユウゴ</t>
  </si>
  <si>
    <t>R010817667</t>
  </si>
  <si>
    <t>山路　昴</t>
  </si>
  <si>
    <t>ヤマジ　マオ</t>
  </si>
  <si>
    <t>R010789985</t>
  </si>
  <si>
    <t>山添　康之</t>
  </si>
  <si>
    <t>ヤマゾエ　ヤスユキ</t>
  </si>
  <si>
    <t>R010757863</t>
  </si>
  <si>
    <t>家股　麟太郎</t>
  </si>
  <si>
    <t>ヤマタ　リンタロウ</t>
  </si>
  <si>
    <t>R010855691</t>
  </si>
  <si>
    <t>R010767675</t>
  </si>
  <si>
    <t>山田　蓮次</t>
  </si>
  <si>
    <t>ヤマダ　レンジ</t>
  </si>
  <si>
    <t>R010268464</t>
  </si>
  <si>
    <t>山根　玲音</t>
  </si>
  <si>
    <t>ヤマネ　レオ</t>
  </si>
  <si>
    <t>R010817698</t>
  </si>
  <si>
    <t>R010827354</t>
  </si>
  <si>
    <t>山村　心大</t>
  </si>
  <si>
    <t>ヤマムラ　シンタ</t>
  </si>
  <si>
    <t>R010866342</t>
  </si>
  <si>
    <t>R010869218</t>
  </si>
  <si>
    <t>山本　蒼</t>
  </si>
  <si>
    <t>ヤマモト　ソウ</t>
  </si>
  <si>
    <t>R010776380</t>
  </si>
  <si>
    <t>山本　空</t>
  </si>
  <si>
    <t>ヤマモト　ソラ</t>
  </si>
  <si>
    <t>R010850852</t>
  </si>
  <si>
    <t>山本　青空</t>
  </si>
  <si>
    <t>R010817704</t>
  </si>
  <si>
    <t>R010839468</t>
  </si>
  <si>
    <t>R010768412</t>
  </si>
  <si>
    <t>山本　光城</t>
  </si>
  <si>
    <t>ヤマモト　ミツキ</t>
  </si>
  <si>
    <t>R010866401</t>
  </si>
  <si>
    <t>山本　玲央</t>
  </si>
  <si>
    <t>R010776344</t>
  </si>
  <si>
    <t>湯浅　聡</t>
  </si>
  <si>
    <t>ユアサ　サトル</t>
  </si>
  <si>
    <t>R010812556</t>
  </si>
  <si>
    <t>R010869235</t>
  </si>
  <si>
    <t>幸　優翔</t>
  </si>
  <si>
    <t>ユキ　ユウト</t>
  </si>
  <si>
    <t>R010762831</t>
  </si>
  <si>
    <t>弓削　ひらり</t>
  </si>
  <si>
    <t>ユゲ　ヒラリ</t>
  </si>
  <si>
    <t>R010897001</t>
  </si>
  <si>
    <t>湯地　紀稀</t>
  </si>
  <si>
    <t>ユジ　カズキ</t>
  </si>
  <si>
    <t>R010839450</t>
  </si>
  <si>
    <t>R010896981</t>
  </si>
  <si>
    <t>弓場　真太朗</t>
  </si>
  <si>
    <t>ユバ　シンタロウ</t>
  </si>
  <si>
    <t>R010870861</t>
  </si>
  <si>
    <t>弓場　昴</t>
  </si>
  <si>
    <t>ユバ　スバル</t>
  </si>
  <si>
    <t>R010871733</t>
  </si>
  <si>
    <t>R010865029</t>
  </si>
  <si>
    <t>横田　真樹</t>
  </si>
  <si>
    <t>R010864994</t>
  </si>
  <si>
    <t>R010866339</t>
  </si>
  <si>
    <t>吉浦　優希</t>
  </si>
  <si>
    <t>ヨシウラ　ユウキ</t>
  </si>
  <si>
    <t>R010817665</t>
  </si>
  <si>
    <t>吉川　和仁</t>
  </si>
  <si>
    <t>ヨシカワ　カズヒト</t>
  </si>
  <si>
    <t>R010802652</t>
  </si>
  <si>
    <t>吉賀　駿斗</t>
  </si>
  <si>
    <t>ヨシガ　ハヤト</t>
  </si>
  <si>
    <t>R010776353</t>
  </si>
  <si>
    <t>吉國　凜音</t>
  </si>
  <si>
    <t>ヨシクニ　リオン</t>
  </si>
  <si>
    <t>R010800933</t>
  </si>
  <si>
    <t>吉崎　巧真</t>
  </si>
  <si>
    <t>ヨシザキ　タクマ</t>
  </si>
  <si>
    <t>R010775767</t>
  </si>
  <si>
    <t>吉崎　晴登</t>
  </si>
  <si>
    <t>ヨシザキ　ハルト</t>
  </si>
  <si>
    <t>R010879997</t>
  </si>
  <si>
    <t>吉武　諒</t>
  </si>
  <si>
    <t>ヨシタケ　マコト</t>
  </si>
  <si>
    <t>R010882652</t>
  </si>
  <si>
    <t>R010870846</t>
  </si>
  <si>
    <t>R010783045</t>
  </si>
  <si>
    <t>吉田　爽人</t>
  </si>
  <si>
    <t>ヨシダ　アキト</t>
  </si>
  <si>
    <t>R010775763</t>
  </si>
  <si>
    <t>吉田　光毅</t>
  </si>
  <si>
    <t>R010877115</t>
  </si>
  <si>
    <t>吉田　湊</t>
  </si>
  <si>
    <t>ヨシダ　ミナト</t>
  </si>
  <si>
    <t>R010869238</t>
  </si>
  <si>
    <t>吉田　悠真</t>
  </si>
  <si>
    <t>R010865032</t>
  </si>
  <si>
    <t>R010594449</t>
  </si>
  <si>
    <t>吉田　楼風</t>
  </si>
  <si>
    <t>ヨシダ　ルカ</t>
  </si>
  <si>
    <t>R010827357</t>
  </si>
  <si>
    <t>吉光　和樹</t>
  </si>
  <si>
    <t>ヨシミツ　カズキ</t>
  </si>
  <si>
    <t>R010888228</t>
  </si>
  <si>
    <t>ロサ　ガルシア　アデイルトン</t>
  </si>
  <si>
    <t>R010778433</t>
  </si>
  <si>
    <t>若林　祐衣</t>
  </si>
  <si>
    <t>ワカバヤシ　ユイ</t>
  </si>
  <si>
    <t>R010776399</t>
  </si>
  <si>
    <t>脇　康介</t>
  </si>
  <si>
    <t>ワキ　コウスケ</t>
  </si>
  <si>
    <t>R010896960</t>
  </si>
  <si>
    <t>輪島　馴也</t>
  </si>
  <si>
    <t>ワジマ　シュンヤ</t>
  </si>
  <si>
    <t>R010809915</t>
  </si>
  <si>
    <t>R010896991</t>
  </si>
  <si>
    <t>渡邉　岳</t>
  </si>
  <si>
    <t>R010866421</t>
  </si>
  <si>
    <t>R010882660</t>
  </si>
  <si>
    <t>R010776342</t>
  </si>
  <si>
    <t>渡邉　颯太</t>
  </si>
  <si>
    <t>ワタナベ　ソウタ</t>
  </si>
  <si>
    <t>R010851205</t>
  </si>
  <si>
    <t>R010783052</t>
  </si>
  <si>
    <t>渡辺　太観</t>
  </si>
  <si>
    <t>ワタナベ　タイカン</t>
  </si>
  <si>
    <t>R010768422</t>
  </si>
  <si>
    <t>渡辺　大起</t>
  </si>
  <si>
    <t>ワタナベ　タイキ</t>
  </si>
  <si>
    <t>R010877118</t>
  </si>
  <si>
    <t>渡辺　智久</t>
  </si>
  <si>
    <t>ワタナベ　トモヒサ</t>
  </si>
  <si>
    <t>R010866413</t>
  </si>
  <si>
    <t>渡邉　友一郎</t>
  </si>
  <si>
    <t>ワタナベ　ユウイチロウ</t>
  </si>
  <si>
    <t>R010776339</t>
  </si>
  <si>
    <t>渡邉　勇士郎</t>
  </si>
  <si>
    <t>ワタナベ　ユウジロウ</t>
  </si>
  <si>
    <t>R010877117</t>
  </si>
  <si>
    <t>和田　一真</t>
  </si>
  <si>
    <t>ワダ　カズマ</t>
  </si>
  <si>
    <t>R010882649</t>
  </si>
  <si>
    <t>和田　拓也</t>
  </si>
  <si>
    <t>ワダ　タクヤ</t>
  </si>
  <si>
    <t>R010882636</t>
  </si>
  <si>
    <t>和田　史也</t>
  </si>
  <si>
    <t>ワダ　フミヤ</t>
  </si>
  <si>
    <t>R010896983</t>
  </si>
  <si>
    <t>和田　瑶佑</t>
  </si>
  <si>
    <t>ワダ　ヨウスケ</t>
  </si>
  <si>
    <t>宇佐高田</t>
    <phoneticPr fontId="77"/>
  </si>
  <si>
    <t>〇</t>
  </si>
  <si>
    <t>〇</t>
    <phoneticPr fontId="77"/>
  </si>
  <si>
    <t>11:10～ A</t>
    <phoneticPr fontId="77"/>
  </si>
  <si>
    <t>12:00～ A</t>
    <phoneticPr fontId="77"/>
  </si>
  <si>
    <t>12:00～ B</t>
    <phoneticPr fontId="77"/>
  </si>
  <si>
    <t>R010331001</t>
  </si>
  <si>
    <t>来海　孝幸</t>
  </si>
  <si>
    <t>キマチ　コウキ</t>
  </si>
  <si>
    <t>山口県</t>
  </si>
  <si>
    <t>R010909625</t>
  </si>
  <si>
    <t>アイモト　ジョウジ</t>
  </si>
  <si>
    <t>R010931583</t>
  </si>
  <si>
    <t>麻生　結実</t>
  </si>
  <si>
    <t>アソウ　ユウミ</t>
  </si>
  <si>
    <t>R010909174</t>
  </si>
  <si>
    <t>安部　千輝</t>
  </si>
  <si>
    <t>アベ　カズキ</t>
  </si>
  <si>
    <t>R010931578</t>
  </si>
  <si>
    <t>安部　栞奈</t>
  </si>
  <si>
    <t>アベ　カンナ</t>
  </si>
  <si>
    <t>R010909150</t>
  </si>
  <si>
    <t>飯村　雄大</t>
  </si>
  <si>
    <t>イイムラ　ユウダイ</t>
  </si>
  <si>
    <t>R010909136</t>
  </si>
  <si>
    <t>伊崎　亮</t>
  </si>
  <si>
    <t>イザキ　リョウ</t>
  </si>
  <si>
    <t>R010909173</t>
  </si>
  <si>
    <t>石上　智也</t>
  </si>
  <si>
    <t>イシガミ　トモヤ</t>
  </si>
  <si>
    <t>R010931581</t>
  </si>
  <si>
    <t>市原　愛莉</t>
  </si>
  <si>
    <t>イチハラ　アイリ</t>
  </si>
  <si>
    <t>R010931573</t>
  </si>
  <si>
    <t>伊藤　瑞</t>
  </si>
  <si>
    <t>イトウ　ミズキ</t>
  </si>
  <si>
    <t>R010909153</t>
  </si>
  <si>
    <t>井上　裕史</t>
  </si>
  <si>
    <t>イノウエ　ヒロシ</t>
  </si>
  <si>
    <t>R010909611</t>
  </si>
  <si>
    <t>今永　瑛仁</t>
  </si>
  <si>
    <t>イマナガ　エイト</t>
  </si>
  <si>
    <t>R010914549</t>
  </si>
  <si>
    <t>岩永　亮</t>
  </si>
  <si>
    <t>イワナガ　リョウ</t>
  </si>
  <si>
    <t>R010909162</t>
  </si>
  <si>
    <t>岩本　ハルキ</t>
  </si>
  <si>
    <t>イワモト　ハルキ</t>
  </si>
  <si>
    <t>R010909621</t>
  </si>
  <si>
    <t>卯花　慶太</t>
  </si>
  <si>
    <t>ウノハナ　ケイト</t>
  </si>
  <si>
    <t>R010931582</t>
  </si>
  <si>
    <t>大迫　弥桜</t>
  </si>
  <si>
    <t>オオサコ　ミオ</t>
  </si>
  <si>
    <t>R010909620</t>
  </si>
  <si>
    <t>オガワ　ユウト</t>
  </si>
  <si>
    <t>R010909145</t>
  </si>
  <si>
    <t>小野　哲平</t>
  </si>
  <si>
    <t>オノ　テッペイ</t>
  </si>
  <si>
    <t>R010931574</t>
  </si>
  <si>
    <t>小野　蓮華</t>
  </si>
  <si>
    <t>オノ　レンカ</t>
  </si>
  <si>
    <t>R010909144</t>
  </si>
  <si>
    <t>加藤　邦彦</t>
  </si>
  <si>
    <t>カトウ　クニヒコ</t>
  </si>
  <si>
    <t>R010909627</t>
  </si>
  <si>
    <t>川野　龍空</t>
  </si>
  <si>
    <t>カワノ　リク</t>
  </si>
  <si>
    <t>R010909615</t>
  </si>
  <si>
    <t>喜久里　怜央</t>
  </si>
  <si>
    <t>キクザト　レオ</t>
  </si>
  <si>
    <t>R010909170</t>
  </si>
  <si>
    <t>久保　琢弥</t>
  </si>
  <si>
    <t>クボ　タクヤ</t>
  </si>
  <si>
    <t>R010909613</t>
  </si>
  <si>
    <t>栗山　夕弦</t>
  </si>
  <si>
    <t>クリヤマ　ユヅル</t>
  </si>
  <si>
    <t>R010931575</t>
  </si>
  <si>
    <t>小泉　杏奈</t>
  </si>
  <si>
    <t>コイズミ　アンナ</t>
  </si>
  <si>
    <t>R010909146</t>
  </si>
  <si>
    <t>小嶋　蓮</t>
  </si>
  <si>
    <t>コジマ　レン</t>
  </si>
  <si>
    <t>R010909140</t>
  </si>
  <si>
    <t>兒玉　直樹</t>
  </si>
  <si>
    <t>コダマ　ナオキ</t>
  </si>
  <si>
    <t>R010909151</t>
  </si>
  <si>
    <t>小手川　海人</t>
  </si>
  <si>
    <t>コテガワ　カイト</t>
  </si>
  <si>
    <t>R010914550</t>
  </si>
  <si>
    <t>近藤　拓磨</t>
  </si>
  <si>
    <t>コンドウ　タクマ</t>
  </si>
  <si>
    <t>R010909612</t>
  </si>
  <si>
    <t>後藤　碧希</t>
  </si>
  <si>
    <t>ゴトウ　イツキ</t>
  </si>
  <si>
    <t>R010909147</t>
  </si>
  <si>
    <t>後藤　拓海</t>
  </si>
  <si>
    <t>ゴトウ　タクミ</t>
  </si>
  <si>
    <t>R010931580</t>
  </si>
  <si>
    <t>堺　彩実</t>
  </si>
  <si>
    <t>サカイ　アヤミ</t>
  </si>
  <si>
    <t>R010931577</t>
  </si>
  <si>
    <t>佐藤　礼佳</t>
  </si>
  <si>
    <t>サトウ　ライカ</t>
  </si>
  <si>
    <t>R010931584</t>
  </si>
  <si>
    <t>サンパイオ　ガルシア　マヌエラ</t>
  </si>
  <si>
    <t>サンパイオガルシア　マヌエラ</t>
  </si>
  <si>
    <t>R010931585</t>
  </si>
  <si>
    <t>篠原　美咲</t>
  </si>
  <si>
    <t>シノハラ　ミサキ</t>
  </si>
  <si>
    <t>R010914554</t>
  </si>
  <si>
    <t>柴田　宗俊</t>
  </si>
  <si>
    <t>シバタ　ムネトシ</t>
  </si>
  <si>
    <t>R010909624</t>
  </si>
  <si>
    <t>酒迎　瑛太</t>
  </si>
  <si>
    <t>シュゲイ　エイタ</t>
  </si>
  <si>
    <t>R010914559</t>
  </si>
  <si>
    <t>生野　咲</t>
  </si>
  <si>
    <t>ショウノ　サキ</t>
  </si>
  <si>
    <t>R010909614</t>
  </si>
  <si>
    <t>末廣　皇也</t>
  </si>
  <si>
    <t>スエヒロ　コウヤ</t>
  </si>
  <si>
    <t>R010909152</t>
  </si>
  <si>
    <t>清家　拓海</t>
  </si>
  <si>
    <t>セイケ　タクミ</t>
  </si>
  <si>
    <t>R010931571</t>
  </si>
  <si>
    <t>瀬下　遼子</t>
  </si>
  <si>
    <t>セシタ　リョウコ</t>
  </si>
  <si>
    <t>R010914557</t>
  </si>
  <si>
    <t>高尾　孝幸</t>
  </si>
  <si>
    <t>タカオ　タカユキ</t>
  </si>
  <si>
    <t>R010909141</t>
  </si>
  <si>
    <t>髙橋　昂希</t>
  </si>
  <si>
    <t>タカハシ　コウキ</t>
  </si>
  <si>
    <t>R010909616</t>
  </si>
  <si>
    <t>高畑　敦仁</t>
  </si>
  <si>
    <t>タカハタ　アツヒト</t>
  </si>
  <si>
    <t>R010914551</t>
  </si>
  <si>
    <t>高山　重徳</t>
  </si>
  <si>
    <t>タカヤマ　シゲノリ</t>
  </si>
  <si>
    <t>R010909139</t>
  </si>
  <si>
    <t>田嶋　一翔</t>
  </si>
  <si>
    <t>タシマ　カズト</t>
  </si>
  <si>
    <t>R010909138</t>
  </si>
  <si>
    <t>田中　貴大</t>
  </si>
  <si>
    <t>タナカ　タカヒロ</t>
  </si>
  <si>
    <t>R010914553</t>
  </si>
  <si>
    <t>田中　徹</t>
  </si>
  <si>
    <t>タナカ　トオル</t>
  </si>
  <si>
    <t>R010909619</t>
  </si>
  <si>
    <t>田中　頼愛</t>
  </si>
  <si>
    <t>タナカ　ライア</t>
  </si>
  <si>
    <t>R010909142</t>
  </si>
  <si>
    <t>谷口　達</t>
  </si>
  <si>
    <t>タニグチ　トオル</t>
  </si>
  <si>
    <t>R010921697</t>
  </si>
  <si>
    <t>鶴田　翔一</t>
  </si>
  <si>
    <t>ツルタ　ショウイチ</t>
  </si>
  <si>
    <t>R010909623</t>
  </si>
  <si>
    <t>戸田　将成</t>
  </si>
  <si>
    <t>トダ　ショウセイ</t>
  </si>
  <si>
    <t>R010914556</t>
  </si>
  <si>
    <t>中川路　功多</t>
  </si>
  <si>
    <t>ナカカワジ　コウタ</t>
  </si>
  <si>
    <t>R010909628</t>
  </si>
  <si>
    <t>中島　桜雅</t>
  </si>
  <si>
    <t>ナカシマ　オウガ</t>
  </si>
  <si>
    <t>R010925948</t>
  </si>
  <si>
    <t>中島　健</t>
  </si>
  <si>
    <t>ナカシマ　ケン</t>
  </si>
  <si>
    <t>R010820484</t>
  </si>
  <si>
    <t>中村　舜</t>
  </si>
  <si>
    <t>ナカムラ　シュン</t>
  </si>
  <si>
    <t>R010909154</t>
  </si>
  <si>
    <t>中山　蒼人</t>
  </si>
  <si>
    <t>ナカヤマ　アオト</t>
  </si>
  <si>
    <t>R010909158</t>
  </si>
  <si>
    <t>永田　泰啓</t>
  </si>
  <si>
    <t>ナガタ　ヤスアキ</t>
  </si>
  <si>
    <t>R010909157</t>
  </si>
  <si>
    <t>永野　拓実</t>
  </si>
  <si>
    <t>R010909149</t>
  </si>
  <si>
    <t>西村　颯音</t>
  </si>
  <si>
    <t>ニシムラ　ショウト</t>
  </si>
  <si>
    <t>R010931576</t>
  </si>
  <si>
    <t>二宮　蘭</t>
  </si>
  <si>
    <t>ニノミヤ　ラン</t>
  </si>
  <si>
    <t>R010914560</t>
  </si>
  <si>
    <t>丹生　良三</t>
  </si>
  <si>
    <t>ニュウ　リョウゾウ</t>
  </si>
  <si>
    <t>R010909610</t>
  </si>
  <si>
    <t>蓮輪　蒼真</t>
  </si>
  <si>
    <t>ハスワ　ソウマ</t>
  </si>
  <si>
    <t>R010909626</t>
  </si>
  <si>
    <t>幡手　蓮</t>
  </si>
  <si>
    <t>ハタデ　レン</t>
  </si>
  <si>
    <t>R010909155</t>
  </si>
  <si>
    <t>花川　龍生</t>
  </si>
  <si>
    <t>ハナカワ　リュウセイ</t>
  </si>
  <si>
    <t>R010909618</t>
  </si>
  <si>
    <t>東　蒼太</t>
  </si>
  <si>
    <t>ヒガシ　ソウタ</t>
  </si>
  <si>
    <t>R010931579</t>
  </si>
  <si>
    <t>匹田　心絆</t>
  </si>
  <si>
    <t>ヒキダ　ココナ</t>
  </si>
  <si>
    <t>R010914555</t>
  </si>
  <si>
    <t>平川　竜也</t>
  </si>
  <si>
    <t>ヒラカワ　タツヤ</t>
  </si>
  <si>
    <t>R010909159</t>
  </si>
  <si>
    <t>廣瀬　彩杜</t>
  </si>
  <si>
    <t>ヒロセ　アヤト</t>
  </si>
  <si>
    <t>R010909143</t>
  </si>
  <si>
    <t>廣瀬　瑠晟</t>
  </si>
  <si>
    <t>ヒロセ　ルイ</t>
  </si>
  <si>
    <t>R010909168</t>
  </si>
  <si>
    <t>樋渡　ひかる</t>
  </si>
  <si>
    <t>ヒワタシ　ヒカル</t>
  </si>
  <si>
    <t>R010909164</t>
  </si>
  <si>
    <t>福澤　潤</t>
  </si>
  <si>
    <t>フクザワ　ジュン</t>
  </si>
  <si>
    <t>R010914552</t>
  </si>
  <si>
    <t>福永　有基</t>
  </si>
  <si>
    <t>フクナガ　ユウキ</t>
  </si>
  <si>
    <t>R010909161</t>
  </si>
  <si>
    <t>藤塚　大翔</t>
  </si>
  <si>
    <t>フジツカ　ヒロト</t>
  </si>
  <si>
    <t>R010909172</t>
  </si>
  <si>
    <t>前田　響</t>
  </si>
  <si>
    <t>マエダ　ヒビキ</t>
  </si>
  <si>
    <t>R010909171</t>
  </si>
  <si>
    <t>前田　優作</t>
  </si>
  <si>
    <t>マエダ　ユウサク</t>
  </si>
  <si>
    <t>R010909176</t>
  </si>
  <si>
    <t>牧　優太</t>
  </si>
  <si>
    <t>マキ　ユウタ</t>
  </si>
  <si>
    <t>R010909177</t>
  </si>
  <si>
    <t>松田　篤諮</t>
  </si>
  <si>
    <t>マツダ　アツシ</t>
  </si>
  <si>
    <t>R010909148</t>
  </si>
  <si>
    <t>三浦　龍星</t>
  </si>
  <si>
    <t>ミウラ　リュウセイ</t>
  </si>
  <si>
    <t>R010909167</t>
  </si>
  <si>
    <t>南　怜</t>
  </si>
  <si>
    <t>ミナミ　レイ</t>
  </si>
  <si>
    <t>R010914548</t>
  </si>
  <si>
    <t>宮原　資</t>
  </si>
  <si>
    <t>ミヤハラ　タスク</t>
  </si>
  <si>
    <t>R010909137</t>
  </si>
  <si>
    <t>宮原　雄一</t>
  </si>
  <si>
    <t>ミヤハラ　ユウイチ</t>
  </si>
  <si>
    <t>R010909165</t>
  </si>
  <si>
    <t>村上　魁仁</t>
  </si>
  <si>
    <t>ムラカミ　カイト</t>
  </si>
  <si>
    <t>R010909622</t>
  </si>
  <si>
    <t>邑本　竜慎</t>
  </si>
  <si>
    <t>ムラモト　リュウシン</t>
  </si>
  <si>
    <t>R010909166</t>
  </si>
  <si>
    <t>本久　旭</t>
  </si>
  <si>
    <t>モトヒサ　アサヒ</t>
  </si>
  <si>
    <t>R010909156</t>
  </si>
  <si>
    <t>森山　大翔</t>
  </si>
  <si>
    <t>モリヤマ　ダイト</t>
  </si>
  <si>
    <t>R010909163</t>
  </si>
  <si>
    <t>山本　真央</t>
  </si>
  <si>
    <t>ヤマモト　マオ</t>
  </si>
  <si>
    <t>R010909169</t>
  </si>
  <si>
    <t>吉賀　陽真</t>
  </si>
  <si>
    <t>ヨシガ　ハルマ</t>
  </si>
  <si>
    <t>R010909617</t>
  </si>
  <si>
    <t>吉崎　斗立</t>
  </si>
  <si>
    <t>ヨシザキ　トウリ</t>
  </si>
  <si>
    <t>R010931572</t>
  </si>
  <si>
    <t>渡邊　恵美子</t>
  </si>
  <si>
    <t>ワタナベ　エミコ</t>
  </si>
  <si>
    <t>R010909175</t>
  </si>
  <si>
    <t>渡辺　啓伍</t>
  </si>
  <si>
    <t>ワタナベ　ケイゴ</t>
  </si>
  <si>
    <t>R010909160</t>
  </si>
  <si>
    <t>渡辺　哲哉</t>
  </si>
  <si>
    <t>ワタナベ　テツヤ</t>
  </si>
  <si>
    <t>R010914558</t>
  </si>
  <si>
    <t>渡邊　充</t>
  </si>
  <si>
    <t>ワタナベ　ミツル</t>
  </si>
  <si>
    <t>ツルハラ　キョウスケ</t>
  </si>
  <si>
    <t>伊藤　叶夢</t>
  </si>
  <si>
    <t>イトウ　トア</t>
  </si>
  <si>
    <t>中川路　颯</t>
  </si>
  <si>
    <t>ナカガワジ　ハヤテ</t>
  </si>
  <si>
    <t>高倉　圭惟</t>
  </si>
  <si>
    <t>タカクラ　カイ</t>
  </si>
  <si>
    <t>柾木　晴</t>
  </si>
  <si>
    <t>マサキ　ハル</t>
  </si>
  <si>
    <t>豊田　瑛士</t>
  </si>
  <si>
    <t>トヨダ　エイト</t>
  </si>
  <si>
    <t>佐々木　秀樹</t>
    <rPh sb="0" eb="3">
      <t>ササキ</t>
    </rPh>
    <rPh sb="4" eb="6">
      <t>ヒデキ</t>
    </rPh>
    <phoneticPr fontId="4"/>
  </si>
  <si>
    <t>末永　成久</t>
    <rPh sb="0" eb="1">
      <t>スエ</t>
    </rPh>
    <rPh sb="3" eb="5">
      <t>ナルヒサ</t>
    </rPh>
    <phoneticPr fontId="4"/>
  </si>
  <si>
    <t>河野　千恵子</t>
    <rPh sb="0" eb="2">
      <t>コウノ</t>
    </rPh>
    <rPh sb="3" eb="6">
      <t>チエコ</t>
    </rPh>
    <phoneticPr fontId="1"/>
  </si>
  <si>
    <t>岡部　司</t>
    <rPh sb="0" eb="2">
      <t>オカベ</t>
    </rPh>
    <rPh sb="3" eb="4">
      <t>ツカサ</t>
    </rPh>
    <phoneticPr fontId="1"/>
  </si>
  <si>
    <t>後藤　寿</t>
    <rPh sb="0" eb="2">
      <t>ゴトウ</t>
    </rPh>
    <rPh sb="3" eb="4">
      <t>ヒサシ</t>
    </rPh>
    <phoneticPr fontId="4"/>
  </si>
  <si>
    <t>荒牧　聡</t>
    <rPh sb="0" eb="2">
      <t>アラマキ</t>
    </rPh>
    <rPh sb="3" eb="4">
      <t>サトシ</t>
    </rPh>
    <phoneticPr fontId="4"/>
  </si>
  <si>
    <t>安東　信二</t>
    <rPh sb="0" eb="2">
      <t>アンドウ</t>
    </rPh>
    <rPh sb="3" eb="5">
      <t>シンジ</t>
    </rPh>
    <phoneticPr fontId="1"/>
  </si>
  <si>
    <t>レゾナック サッカー・ラグビー場　Aコート</t>
    <phoneticPr fontId="77"/>
  </si>
  <si>
    <t>「C」コート</t>
    <phoneticPr fontId="77"/>
  </si>
  <si>
    <t>「D」コート</t>
    <phoneticPr fontId="77"/>
  </si>
  <si>
    <t>クラサス サッカー・ラグビー場　サブA</t>
  </si>
  <si>
    <t>クラサス サッカー・ラグビー場　サブA</t>
    <phoneticPr fontId="77"/>
  </si>
  <si>
    <t>クラサス サッカー・ラグビー場　サブB</t>
  </si>
  <si>
    <t>クラサス サッカー・ラグビー場　サブB</t>
    <phoneticPr fontId="77"/>
  </si>
  <si>
    <t>６月２８日（日）</t>
    <rPh sb="6" eb="7">
      <t>ニチ</t>
    </rPh>
    <phoneticPr fontId="77"/>
  </si>
  <si>
    <t>A1</t>
    <phoneticPr fontId="77"/>
  </si>
  <si>
    <t>A2</t>
    <phoneticPr fontId="77"/>
  </si>
  <si>
    <t>A3</t>
    <phoneticPr fontId="77"/>
  </si>
  <si>
    <t>B1</t>
    <phoneticPr fontId="77"/>
  </si>
  <si>
    <t>B2</t>
    <phoneticPr fontId="77"/>
  </si>
  <si>
    <t>B3</t>
    <phoneticPr fontId="77"/>
  </si>
  <si>
    <t>C1</t>
    <phoneticPr fontId="77"/>
  </si>
  <si>
    <t>C2</t>
    <phoneticPr fontId="77"/>
  </si>
  <si>
    <t>C3</t>
    <phoneticPr fontId="77"/>
  </si>
  <si>
    <t>D1</t>
    <phoneticPr fontId="77"/>
  </si>
  <si>
    <t>D2</t>
    <phoneticPr fontId="77"/>
  </si>
  <si>
    <t>D3</t>
    <phoneticPr fontId="77"/>
  </si>
  <si>
    <t>E1</t>
    <phoneticPr fontId="77"/>
  </si>
  <si>
    <t>E2</t>
    <phoneticPr fontId="77"/>
  </si>
  <si>
    <t>E3</t>
    <phoneticPr fontId="77"/>
  </si>
  <si>
    <t>F1</t>
    <phoneticPr fontId="77"/>
  </si>
  <si>
    <t>F2</t>
    <phoneticPr fontId="77"/>
  </si>
  <si>
    <t>F3</t>
    <phoneticPr fontId="77"/>
  </si>
  <si>
    <t>G1</t>
    <phoneticPr fontId="77"/>
  </si>
  <si>
    <t>G2</t>
    <phoneticPr fontId="77"/>
  </si>
  <si>
    <t>G3</t>
    <phoneticPr fontId="77"/>
  </si>
  <si>
    <t>H1</t>
    <phoneticPr fontId="77"/>
  </si>
  <si>
    <t>H2</t>
    <phoneticPr fontId="77"/>
  </si>
  <si>
    <t>H3</t>
    <phoneticPr fontId="77"/>
  </si>
  <si>
    <t>６月２７日（土）</t>
    <phoneticPr fontId="77"/>
  </si>
  <si>
    <t>Match No：25
前半
後半
ＰＫ</t>
    <phoneticPr fontId="77"/>
  </si>
  <si>
    <t>Match No：26
前半
後半
ＰＫ</t>
    <phoneticPr fontId="77"/>
  </si>
  <si>
    <t>Match No：27
前半
後半
ＰＫ</t>
    <phoneticPr fontId="77"/>
  </si>
  <si>
    <t>Match No：28
前半
後半
ＰＫ</t>
    <phoneticPr fontId="77"/>
  </si>
  <si>
    <t>Match No：29
前半
後半
ＰＫ</t>
    <phoneticPr fontId="77"/>
  </si>
  <si>
    <t>Match No：30
前半
後半
ＰＫ</t>
    <phoneticPr fontId="77"/>
  </si>
  <si>
    <t>Match No：31
前半
後半
ＰＫ</t>
    <phoneticPr fontId="77"/>
  </si>
  <si>
    <t>Match No：32
前半
後半
ＰＫ</t>
    <phoneticPr fontId="77"/>
  </si>
  <si>
    <t>Match No：33
前半
後半
延前
延後
ＰＫ</t>
    <phoneticPr fontId="77"/>
  </si>
  <si>
    <r>
      <rPr>
        <sz val="10"/>
        <color indexed="2"/>
        <rFont val="Meiryo UI"/>
        <family val="3"/>
        <charset val="128"/>
      </rPr>
      <t>第15回</t>
    </r>
    <r>
      <rPr>
        <sz val="10"/>
        <rFont val="Meiryo UI"/>
        <family val="3"/>
        <charset val="128"/>
      </rPr>
      <t xml:space="preserve"> 全日本不動産協会杯争奪U-12サッカー大会【ラビットカップ】大分県大会</t>
    </r>
  </si>
  <si>
    <t>2026年(令和8年) 6月27日(土)・6月28日(日)</t>
  </si>
  <si>
    <r>
      <rPr>
        <sz val="10"/>
        <color indexed="2"/>
        <rFont val="Meiryo UI"/>
        <family val="3"/>
        <charset val="128"/>
      </rPr>
      <t>2026年(令和8年)</t>
    </r>
    <r>
      <rPr>
        <sz val="10"/>
        <rFont val="Meiryo UI"/>
        <family val="3"/>
        <charset val="128"/>
      </rPr>
      <t>度大分県サッカー協会に加盟登録された各地区代表チームであること。</t>
    </r>
  </si>
  <si>
    <t>(株)モルテン,スポーツデポ</t>
  </si>
  <si>
    <r>
      <t>試合規則は、「</t>
    </r>
    <r>
      <rPr>
        <sz val="10"/>
        <color indexed="2"/>
        <rFont val="Meiryo UI"/>
        <family val="3"/>
        <charset val="128"/>
      </rPr>
      <t>2025/26</t>
    </r>
    <r>
      <rPr>
        <sz val="10"/>
        <rFont val="Meiryo UI"/>
        <family val="3"/>
        <charset val="128"/>
      </rPr>
      <t>(公財)日本サッカー協会競技規則」及び「8人制サッカー競技規則」に準じる。
また、本大会の競技等に関し必要な事項は、以下のとおりとする。</t>
    </r>
  </si>
  <si>
    <t>大会期間中、暑熱対策としてWBGTの数値により「Cooling Break」や「飲水タイム」を取り入れ運営を行う。また、空費された時間はアディショナルタイムとして加算される。尚、雷雨など，試合の続行が不可能だと判断される場合は中断等、大会本部にて協議・判断し、臨機応変な対応をとる。</t>
  </si>
  <si>
    <r>
      <t xml:space="preserve"> KICK OFF(JFA ID)の大会(大会への参加申込)より申込願います(地区大会兼用)。
</t>
    </r>
    <r>
      <rPr>
        <sz val="10"/>
        <color indexed="2"/>
        <rFont val="Meiryo UI"/>
        <family val="3"/>
        <charset val="128"/>
      </rPr>
      <t>締め切り：4/22(水) 21:00  までに申込完了のこと。以降の変更は認めない。</t>
    </r>
    <r>
      <rPr>
        <sz val="10"/>
        <rFont val="Meiryo UI"/>
        <family val="3"/>
        <charset val="128"/>
      </rPr>
      <t xml:space="preserve">
</t>
    </r>
    <r>
      <rPr>
        <b/>
        <sz val="10"/>
        <color indexed="2"/>
        <rFont val="Meiryo UI"/>
        <family val="3"/>
        <charset val="128"/>
      </rPr>
      <t>※県大会出場チームについては6月17日(水)21:00まで変更を認める。</t>
    </r>
  </si>
  <si>
    <r>
      <t>【参加料】　</t>
    </r>
    <r>
      <rPr>
        <b/>
        <sz val="10"/>
        <color rgb="FF0000CC"/>
        <rFont val="Meiryo UI"/>
        <family val="3"/>
        <charset val="128"/>
      </rPr>
      <t xml:space="preserve">\12,100(税込)
</t>
    </r>
    <r>
      <rPr>
        <sz val="8"/>
        <rFont val="Meiryo UI"/>
        <family val="3"/>
        <charset val="128"/>
      </rPr>
      <t>※消費税　￥1,100含む</t>
    </r>
  </si>
  <si>
    <r>
      <t>※県大会の参加費振り込み期限は</t>
    </r>
    <r>
      <rPr>
        <b/>
        <sz val="10"/>
        <color indexed="2"/>
        <rFont val="Meiryo UI"/>
        <family val="3"/>
        <charset val="128"/>
      </rPr>
      <t>6/17(水)15:00</t>
    </r>
    <r>
      <rPr>
        <sz val="10"/>
        <rFont val="Meiryo UI"/>
        <family val="3"/>
        <charset val="128"/>
      </rPr>
      <t>までとする</t>
    </r>
  </si>
  <si>
    <t>大分銀行 南支店　普通 7537028　一般社団法人　大分県サッカー協会　会長　二階堂　雅士</t>
  </si>
  <si>
    <t>※振込は必ずチーム名で行うこと</t>
  </si>
  <si>
    <t>※期限内に、参加のための手続き及び参加料の振り込みができない場合は失格処分とし出場を認めない。</t>
  </si>
  <si>
    <t>（失格のチームが発生した場合は対象地域より補充を行うが、選出方法については地域委員会に一任する。）</t>
  </si>
  <si>
    <r>
      <t>同じ選手が、違うチームで登録及び出場はできない。移籍選手含め、</t>
    </r>
    <r>
      <rPr>
        <sz val="10"/>
        <color indexed="2"/>
        <rFont val="Meiryo UI"/>
        <family val="3"/>
        <charset val="128"/>
      </rPr>
      <t>4月22日（水）</t>
    </r>
    <r>
      <rPr>
        <sz val="10"/>
        <rFont val="Meiryo UI"/>
        <family val="3"/>
        <charset val="128"/>
      </rPr>
      <t>までに選手登録及び移籍手続きが
完了し、WEBエントリー申請ができることとする。加えて、年間を通じて同じチームで活動するチームであることとする。</t>
    </r>
  </si>
  <si>
    <t>(1)個人情報を大分県サッカー協会4種委員会に提出し、標記大会に出場することに同意する。</t>
  </si>
  <si>
    <t>(2)提出した名簿を4種委員会がチームとの連絡、及び選手チェックに利用することに同意する。</t>
  </si>
  <si>
    <t>6月27日(土)の予選リーグ会場は、大分スポーツ公園クラサスサッカー・ラグビー場　A・Bコート、6月28日(日)決勝トーナメントは大分スポーツ公園クラサスサッカー・ラグビー場　Aコートで実施します。
開会式を6月27日(土)　8：50～大分スポーツ公園クラサスサッカー・ラグビー場　Aコートにて実施しますので、チーム関係者は参加願います。　また、閉会式6月28日(日)決勝トーナメントは大分スポーツ公園クラサスサッカー・ラグビー場　Aコート決勝戦終了後に行いますので、優勝・準優勝・3位チームの関係者は参加願います。</t>
  </si>
  <si>
    <r>
      <t xml:space="preserve">流行性疾病、感染症等の事情により大会に出場できなくなった場合は速やかに大会事務局に連絡する事。
</t>
    </r>
    <r>
      <rPr>
        <sz val="10"/>
        <color indexed="2"/>
        <rFont val="Meiryo UI"/>
        <family val="3"/>
        <charset val="128"/>
      </rPr>
      <t>※感染症を発症後５日を経過、且つ解熱後２日を経過していない場合、また通学するクラスが学級閉鎖や臨時休校の場合、対象選手の参加はできません。</t>
    </r>
    <r>
      <rPr>
        <sz val="10"/>
        <rFont val="Meiryo UI"/>
        <family val="3"/>
        <charset val="128"/>
      </rPr>
      <t xml:space="preserve">
</t>
    </r>
    <r>
      <rPr>
        <u/>
        <sz val="10"/>
        <rFont val="Meiryo UI"/>
        <family val="3"/>
        <charset val="128"/>
      </rPr>
      <t>なお、チームが不参加の場合でも審判割当の責任は果たす事とする。</t>
    </r>
  </si>
  <si>
    <t>⑮</t>
  </si>
  <si>
    <t>大分スポーツ公園クラサスサッカー・ラグビー場　A・Bコート（サブA・サブB）</t>
    <phoneticPr fontId="77"/>
  </si>
  <si>
    <t>大分スポーツ公園クラサスサッカー・ラグビー場　サブA【A】【B】</t>
    <phoneticPr fontId="77"/>
  </si>
  <si>
    <t>大分スポーツ公園クラサスサッカー・ラグビー場　サブB【C】【D】</t>
    <phoneticPr fontId="77"/>
  </si>
  <si>
    <t>　予選リーグ会場：</t>
    <phoneticPr fontId="77"/>
  </si>
  <si>
    <t>　決勝トーナメント会場：</t>
    <phoneticPr fontId="77"/>
  </si>
  <si>
    <t>ベンチスタッフは、大会申込のスタッフ情報に申請した3名以内とし、JFA公認指導者ライセンスを有する事。</t>
    <phoneticPr fontId="77"/>
  </si>
  <si>
    <r>
      <t xml:space="preserve">※ベンチに入る指導者・選手は、あらかじめ明記した監督1名・その他役職者2名・選手8名まで。（指導者においては2名以上とする）それ以外の指導者・選手のベンチ入りは認めない。
</t>
    </r>
    <r>
      <rPr>
        <sz val="10"/>
        <color indexed="2"/>
        <rFont val="Meiryo UI"/>
        <family val="3"/>
        <charset val="128"/>
      </rPr>
      <t>ベンチ入りする指導者は、D級以上の有資格者とし指導者を識別するためのIDプレートを大会本部より配布する。また、選手への戦術的な指示やコーチングを行う際は必ずIDプレートを着用すること。但し、D級以上の有資格者が1名の場合、怪我等救護対応を行うための無資格者1名（大会申込のスタッフ情報に申請している方、不在時は保護者でも可。※ベンチの後方に待機のこと）のベンチ入りを認めるが戦術的指示は認めない。</t>
    </r>
    <phoneticPr fontId="77"/>
  </si>
  <si>
    <t>雷、台風、気温上昇、積雪等の自然災害時には、JFAの「熱中症ガイドラインの改正」や「サッカー活動中における落雷事故防止対策」に則り対応するとともに、可能な限り限られた範囲内で最大限大会を実施する。実施不可能と判断された場合は、大会本部において対応を決定する。対応策がない場合は、抽選で決定する。</t>
    <phoneticPr fontId="77"/>
  </si>
  <si>
    <t>　　　ベンチに入る指導者・選手は、あらかじめ明記した監督1名・その他役職者2名・選手8名まで。（指導者においては2名以上とする）それ以外の指導者・選手のベンチ入り</t>
    <phoneticPr fontId="77"/>
  </si>
  <si>
    <t>　　　は認めない。ベンチスタッフは、大会申込のスタッフ情報に申請した3名以内とし、JFA公認指導者ライセンスを有する事。ベンチ入りする指導者は、D級以上の有資格者とし</t>
    <phoneticPr fontId="77"/>
  </si>
  <si>
    <t>　　　指導者を識別するためのIDプレートを大会本部より配布する。また、選手への戦術的な指示やコーチングを行う際は必ずIDプレートを着用すること。</t>
    <phoneticPr fontId="77"/>
  </si>
  <si>
    <t>　　　但し、D級以上の有資格者が1名の場合、怪我等救護対応を行うための無資格者1名（大会申込のスタッフ情報に申請している方、不在時は保護者でも可。※ベンチの</t>
    <phoneticPr fontId="77"/>
  </si>
  <si>
    <t>　　　後方に待機のこと）のベンチ入りを認めるが戦術的指示は認めない。</t>
    <phoneticPr fontId="77"/>
  </si>
  <si>
    <t>　　⑤雷、台風、気温上昇、積雪等の自然災害時には、JFAの「熱中症ガイドラインの改正」や「サッカー活動中における落雷事故防止対策」に則り対応するとともに、可能な限り</t>
    <phoneticPr fontId="77"/>
  </si>
  <si>
    <t>　　　限られた範囲内で最大限大会を実施する。実施不可能と判断された場合は、大会本部において対応を決定する。対応策がない場合は、抽選で決定する。</t>
    <phoneticPr fontId="77"/>
  </si>
  <si>
    <t>　　①大会期間中は、常に選手証及び、指導者資格証、審判資格証を携帯し、必要に応じて提示すること。</t>
    <phoneticPr fontId="77"/>
  </si>
  <si>
    <t>①大会期間中は、常に選手証及び、指導者資格証、審判資格証を携帯し、必要に応じて提示すること。</t>
    <phoneticPr fontId="77"/>
  </si>
  <si>
    <t>2026年度　第4種委員会目標</t>
    <rPh sb="4" eb="6">
      <t>ネンド</t>
    </rPh>
    <rPh sb="7" eb="8">
      <t>ダイ</t>
    </rPh>
    <phoneticPr fontId="77"/>
  </si>
  <si>
    <r>
      <t>②</t>
    </r>
    <r>
      <rPr>
        <sz val="9"/>
        <color rgb="FFFF0000"/>
        <rFont val="HG丸ｺﾞｼｯｸM-PRO"/>
        <family val="3"/>
        <charset val="128"/>
      </rPr>
      <t>本大会実施要項　12）その他　を、役員・保護者に周知徹底</t>
    </r>
    <r>
      <rPr>
        <sz val="9"/>
        <rFont val="HG丸ｺﾞｼｯｸM-PRO"/>
        <family val="3"/>
      </rPr>
      <t>し、</t>
    </r>
    <r>
      <rPr>
        <sz val="9"/>
        <color theme="1"/>
        <rFont val="HG丸ｺﾞｼｯｸM-PRO"/>
        <family val="3"/>
        <charset val="128"/>
      </rPr>
      <t>大会運営及び感染症対策等に協力すること。</t>
    </r>
    <rPh sb="35" eb="36">
      <t>オヨ</t>
    </rPh>
    <rPh sb="37" eb="40">
      <t>カンセンショウ</t>
    </rPh>
    <rPh sb="40" eb="42">
      <t>タイサク</t>
    </rPh>
    <rPh sb="42" eb="43">
      <t>トウ</t>
    </rPh>
    <phoneticPr fontId="81"/>
  </si>
  <si>
    <t>ベンチに入る指導者・選手は、あらかじめ明記した監督1名・その他役職者2名・選手8名まで。（指導者においては2名以上と</t>
  </si>
  <si>
    <t>する）それ以外の指導者・選手のベンチ入りは認めない。ベンチスタッフは、大会申込のスタッフ情報に申請した3名以内と</t>
  </si>
  <si>
    <t>し、JFA公認指導者ライセンスを有する事。ベンチ入りする指導者は、D級以上の有資格者とし指導者を識別するためのIDプ</t>
  </si>
  <si>
    <t>レートを大会本部より配布する。また、選手への戦術的な指示やコーチングを行う際は必ずIDプレートを着用すること。但し、</t>
  </si>
  <si>
    <t>D級以上の有資格者が1名の場合、怪我等救護対応を行うための無資格者1名（大会申込のスタッフ情報に申請している方、不在</t>
  </si>
  <si>
    <t>時は保護者でも可。※ベンチの後方に待機のこと）のベンチ入りを認めるが戦術的指示は認めない。</t>
  </si>
  <si>
    <t>以下のように整列し、本部側に礼をした後、プレーの開始方法を確認する。</t>
    <phoneticPr fontId="77"/>
  </si>
  <si>
    <t>日出サッカースポーツ少年団</t>
  </si>
  <si>
    <t>ＳＯＬ　ＦＵＴＥＢＯＬ　ＣＬＵＢＥ　Ｍａｇｉａ</t>
  </si>
  <si>
    <t>ドリームキッズフットボールクラブＦ</t>
  </si>
  <si>
    <t>2026年　6月28日（日）</t>
    <rPh sb="12" eb="13">
      <t>ニチ</t>
    </rPh>
    <phoneticPr fontId="77"/>
  </si>
  <si>
    <t>第15回
全日本不動産協会杯争奪U-12サッカー大会
【ラビットカップ】大分県大会</t>
    <phoneticPr fontId="77"/>
  </si>
  <si>
    <t>大分県大分スポーツ公園
クラサス サッカー・ラグビー場
サブA【A】</t>
    <phoneticPr fontId="77"/>
  </si>
  <si>
    <t>サブA</t>
    <phoneticPr fontId="77"/>
  </si>
  <si>
    <t>サブB</t>
    <phoneticPr fontId="77"/>
  </si>
  <si>
    <t>大分スポーツ公園クラサスサッカー・ラグビー場　Aコート（サブA）（Aコート/Bコート）</t>
    <phoneticPr fontId="77"/>
  </si>
  <si>
    <t>大分スポーツ公園クラサスサッカー・ラグビー場　Bコート（サブB）（Cコート/Dコート）</t>
    <phoneticPr fontId="7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</si>
</sst>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mm/dd;@"/>
    <numFmt numFmtId="177" formatCode="0.0_ "/>
  </numFmts>
  <fonts count="95" x14ac:knownFonts="1">
    <font>
      <sz val="11"/>
      <color theme="1"/>
      <name val="ＭＳ Ｐゴシック"/>
    </font>
    <font>
      <sz val="12"/>
      <name val="ＭＳ Ｐゴシック"/>
      <family val="3"/>
      <charset val="128"/>
    </font>
    <font>
      <sz val="12"/>
      <color indexed="65"/>
      <name val="ＭＳ Ｐゴシック"/>
      <family val="3"/>
      <charset val="128"/>
    </font>
    <font>
      <u/>
      <sz val="8.5"/>
      <color rgb="FF0000D4"/>
      <name val="ＭＳ 明朝"/>
      <family val="1"/>
      <charset val="128"/>
    </font>
    <font>
      <u/>
      <sz val="11"/>
      <color rgb="FF0000D4"/>
      <name val="ＭＳ Ｐゴシック"/>
      <family val="3"/>
      <charset val="128"/>
    </font>
    <font>
      <sz val="11"/>
      <name val="ＭＳ Ｐゴシック"/>
      <family val="3"/>
      <charset val="128"/>
    </font>
    <font>
      <b/>
      <sz val="12"/>
      <name val="ＭＳ Ｐゴシック"/>
      <family val="3"/>
      <charset val="128"/>
    </font>
    <font>
      <sz val="11"/>
      <color theme="1"/>
      <name val="Arial"/>
      <family val="2"/>
      <scheme val="minor"/>
    </font>
    <font>
      <sz val="8.5"/>
      <name val="ＭＳ 明朝"/>
      <family val="1"/>
      <charset val="128"/>
    </font>
    <font>
      <sz val="12"/>
      <name val="ＭＳ 明朝"/>
      <family val="1"/>
      <charset val="128"/>
    </font>
    <font>
      <sz val="12"/>
      <color indexed="60"/>
      <name val="ＭＳ Ｐゴシック"/>
      <family val="3"/>
      <charset val="128"/>
    </font>
    <font>
      <sz val="11"/>
      <name val="Meiryo UI"/>
      <family val="3"/>
      <charset val="128"/>
    </font>
    <font>
      <sz val="14"/>
      <name val="Meiryo UI"/>
      <family val="3"/>
      <charset val="128"/>
    </font>
    <font>
      <sz val="11"/>
      <color theme="1"/>
      <name val="Meiryo UI"/>
      <family val="3"/>
      <charset val="128"/>
    </font>
    <font>
      <b/>
      <sz val="10"/>
      <name val="Meiryo UI"/>
      <family val="3"/>
      <charset val="128"/>
    </font>
    <font>
      <sz val="12"/>
      <name val="Meiryo UI"/>
      <family val="3"/>
      <charset val="128"/>
    </font>
    <font>
      <sz val="12"/>
      <color theme="1"/>
      <name val="Meiryo UI"/>
      <family val="3"/>
      <charset val="128"/>
    </font>
    <font>
      <b/>
      <sz val="11"/>
      <name val="Meiryo UI"/>
      <family val="3"/>
      <charset val="128"/>
    </font>
    <font>
      <sz val="11"/>
      <color indexed="2"/>
      <name val="Meiryo UI"/>
      <family val="3"/>
      <charset val="128"/>
    </font>
    <font>
      <sz val="10"/>
      <name val="Meiryo UI"/>
      <family val="3"/>
      <charset val="128"/>
    </font>
    <font>
      <u/>
      <sz val="12"/>
      <name val="Meiryo UI"/>
      <family val="3"/>
      <charset val="128"/>
    </font>
    <font>
      <u/>
      <sz val="10"/>
      <name val="Meiryo UI"/>
      <family val="3"/>
      <charset val="128"/>
    </font>
    <font>
      <sz val="10"/>
      <color indexed="2"/>
      <name val="Meiryo UI"/>
      <family val="3"/>
      <charset val="128"/>
    </font>
    <font>
      <b/>
      <sz val="10"/>
      <color indexed="2"/>
      <name val="Meiryo UI"/>
      <family val="3"/>
      <charset val="128"/>
    </font>
    <font>
      <sz val="11"/>
      <name val="HG丸ｺﾞｼｯｸM-PRO"/>
      <family val="3"/>
      <charset val="128"/>
    </font>
    <font>
      <b/>
      <sz val="11"/>
      <name val="HG丸ｺﾞｼｯｸM-PRO"/>
      <family val="3"/>
      <charset val="128"/>
    </font>
    <font>
      <b/>
      <u/>
      <sz val="18"/>
      <name val="ＭＳ Ｐゴシック"/>
      <family val="3"/>
      <charset val="128"/>
    </font>
    <font>
      <b/>
      <sz val="14"/>
      <name val="ＭＳ Ｐゴシック"/>
      <family val="3"/>
      <charset val="128"/>
    </font>
    <font>
      <b/>
      <sz val="12"/>
      <name val="HG丸ｺﾞｼｯｸM-PRO"/>
      <family val="3"/>
      <charset val="128"/>
    </font>
    <font>
      <sz val="12"/>
      <name val="HGP創英角ｺﾞｼｯｸUB"/>
      <family val="3"/>
      <charset val="128"/>
    </font>
    <font>
      <b/>
      <sz val="11"/>
      <name val="ＭＳ Ｐゴシック"/>
      <family val="3"/>
      <charset val="128"/>
    </font>
    <font>
      <sz val="9"/>
      <name val="HG丸ｺﾞｼｯｸM-PRO"/>
      <family val="3"/>
      <charset val="128"/>
    </font>
    <font>
      <b/>
      <sz val="9"/>
      <name val="HG丸ｺﾞｼｯｸM-PRO"/>
      <family val="3"/>
      <charset val="128"/>
    </font>
    <font>
      <sz val="10"/>
      <color indexed="2"/>
      <name val="HG丸ｺﾞｼｯｸM-PRO"/>
      <family val="3"/>
      <charset val="128"/>
    </font>
    <font>
      <sz val="10"/>
      <name val="HG丸ｺﾞｼｯｸM-PRO"/>
      <family val="3"/>
      <charset val="128"/>
    </font>
    <font>
      <sz val="6"/>
      <name val="HG丸ｺﾞｼｯｸM-PRO"/>
      <family val="3"/>
      <charset val="128"/>
    </font>
    <font>
      <sz val="12"/>
      <name val="HG丸ｺﾞｼｯｸM-PRO"/>
      <family val="3"/>
      <charset val="128"/>
    </font>
    <font>
      <sz val="9"/>
      <name val="Meiryo UI"/>
      <family val="3"/>
      <charset val="128"/>
    </font>
    <font>
      <b/>
      <sz val="12"/>
      <name val="Meiryo UI"/>
      <family val="3"/>
      <charset val="128"/>
    </font>
    <font>
      <b/>
      <sz val="20"/>
      <color theme="1"/>
      <name val="Meiryo UI"/>
      <family val="3"/>
      <charset val="128"/>
    </font>
    <font>
      <sz val="14"/>
      <color indexed="2"/>
      <name val="Meiryo UI"/>
      <family val="3"/>
      <charset val="128"/>
    </font>
    <font>
      <sz val="14"/>
      <color theme="1"/>
      <name val="Meiryo UI"/>
      <family val="3"/>
      <charset val="128"/>
    </font>
    <font>
      <sz val="20"/>
      <color theme="1"/>
      <name val="Meiryo UI"/>
      <family val="3"/>
      <charset val="128"/>
    </font>
    <font>
      <b/>
      <sz val="24"/>
      <color theme="1"/>
      <name val="Meiryo UI"/>
      <family val="3"/>
      <charset val="128"/>
    </font>
    <font>
      <b/>
      <sz val="18"/>
      <color theme="1"/>
      <name val="Meiryo UI"/>
      <family val="3"/>
      <charset val="128"/>
    </font>
    <font>
      <sz val="9"/>
      <color theme="1"/>
      <name val="Meiryo UI"/>
      <family val="3"/>
      <charset val="128"/>
    </font>
    <font>
      <b/>
      <sz val="14"/>
      <color theme="1"/>
      <name val="Meiryo UI"/>
      <family val="3"/>
      <charset val="128"/>
    </font>
    <font>
      <b/>
      <sz val="14"/>
      <name val="Meiryo UI"/>
      <family val="3"/>
      <charset val="128"/>
    </font>
    <font>
      <sz val="22"/>
      <name val="Meiryo UI"/>
      <family val="3"/>
      <charset val="128"/>
    </font>
    <font>
      <sz val="18"/>
      <color theme="1"/>
      <name val="Meiryo UI"/>
      <family val="3"/>
      <charset val="128"/>
    </font>
    <font>
      <sz val="8"/>
      <color theme="1"/>
      <name val="Meiryo UI"/>
      <family val="3"/>
      <charset val="128"/>
    </font>
    <font>
      <sz val="22"/>
      <color theme="1"/>
      <name val="Meiryo UI"/>
      <family val="3"/>
      <charset val="128"/>
    </font>
    <font>
      <sz val="16"/>
      <color theme="1"/>
      <name val="Meiryo UI"/>
      <family val="3"/>
      <charset val="128"/>
    </font>
    <font>
      <sz val="10"/>
      <color theme="1"/>
      <name val="Meiryo UI"/>
      <family val="3"/>
      <charset val="128"/>
    </font>
    <font>
      <b/>
      <sz val="12"/>
      <color theme="1"/>
      <name val="Meiryo UI"/>
      <family val="3"/>
      <charset val="128"/>
    </font>
    <font>
      <sz val="12"/>
      <color theme="0" tint="-0.249977111117893"/>
      <name val="Meiryo UI"/>
      <family val="3"/>
      <charset val="128"/>
    </font>
    <font>
      <b/>
      <sz val="12"/>
      <color theme="0" tint="-0.249977111117893"/>
      <name val="Meiryo UI"/>
      <family val="3"/>
      <charset val="128"/>
    </font>
    <font>
      <b/>
      <sz val="20"/>
      <color indexed="2"/>
      <name val="Meiryo UI"/>
      <family val="3"/>
      <charset val="128"/>
    </font>
    <font>
      <sz val="16"/>
      <color theme="1"/>
      <name val="ＭＳ Ｐゴシック"/>
      <family val="3"/>
      <charset val="128"/>
    </font>
    <font>
      <b/>
      <sz val="16"/>
      <color theme="1"/>
      <name val="ＭＳ Ｐゴシック"/>
      <family val="3"/>
      <charset val="128"/>
    </font>
    <font>
      <b/>
      <sz val="11"/>
      <color theme="1"/>
      <name val="ＭＳ Ｐゴシック"/>
      <family val="3"/>
      <charset val="128"/>
    </font>
    <font>
      <sz val="18"/>
      <color theme="1"/>
      <name val="ＭＳ Ｐゴシック"/>
      <family val="3"/>
      <charset val="128"/>
    </font>
    <font>
      <b/>
      <sz val="11"/>
      <color theme="1"/>
      <name val="Meiryo UI"/>
      <family val="3"/>
      <charset val="128"/>
    </font>
    <font>
      <b/>
      <sz val="20"/>
      <name val="ＭＳ Ｐゴシック"/>
      <family val="3"/>
      <charset val="128"/>
    </font>
    <font>
      <sz val="20"/>
      <name val="ＭＳ Ｐゴシック"/>
      <family val="3"/>
      <charset val="128"/>
    </font>
    <font>
      <sz val="14"/>
      <color theme="1"/>
      <name val="ＭＳ Ｐゴシック"/>
      <family val="3"/>
      <charset val="128"/>
    </font>
    <font>
      <sz val="12"/>
      <color theme="1"/>
      <name val="ＭＳ Ｐゴシック"/>
      <family val="3"/>
      <charset val="128"/>
    </font>
    <font>
      <sz val="14"/>
      <name val="ＭＳ Ｐゴシック"/>
      <family val="3"/>
      <charset val="128"/>
    </font>
    <font>
      <sz val="10"/>
      <color theme="1"/>
      <name val="ＭＳ Ｐゴシック"/>
      <family val="3"/>
      <charset val="128"/>
    </font>
    <font>
      <b/>
      <sz val="18"/>
      <name val="ＭＳ Ｐゴシック"/>
      <family val="3"/>
      <charset val="128"/>
    </font>
    <font>
      <sz val="14"/>
      <name val="Arial"/>
      <family val="2"/>
    </font>
    <font>
      <sz val="16"/>
      <name val="ＭＳ Ｐゴシック"/>
      <family val="3"/>
      <charset val="128"/>
    </font>
    <font>
      <sz val="9"/>
      <color theme="1"/>
      <name val="Arial"/>
      <family val="2"/>
      <scheme val="minor"/>
    </font>
    <font>
      <b/>
      <sz val="11"/>
      <color indexed="2"/>
      <name val="Meiryo UI"/>
      <family val="3"/>
      <charset val="128"/>
    </font>
    <font>
      <b/>
      <u/>
      <sz val="11"/>
      <name val="Meiryo UI"/>
      <family val="3"/>
      <charset val="128"/>
    </font>
    <font>
      <u/>
      <sz val="11"/>
      <name val="Meiryo UI"/>
      <family val="3"/>
      <charset val="128"/>
    </font>
    <font>
      <sz val="11"/>
      <color theme="1"/>
      <name val="ＭＳ Ｐゴシック"/>
      <family val="3"/>
      <charset val="128"/>
    </font>
    <font>
      <sz val="6"/>
      <name val="ＭＳ Ｐゴシック"/>
      <family val="3"/>
      <charset val="128"/>
    </font>
    <font>
      <sz val="10"/>
      <color theme="1"/>
      <name val="Meiryo UI"/>
      <family val="3"/>
    </font>
    <font>
      <sz val="11"/>
      <name val="ＭＳ Ｐゴシック"/>
      <family val="3"/>
    </font>
    <font>
      <sz val="12"/>
      <name val="HGP創英角ｺﾞｼｯｸUB"/>
      <family val="3"/>
    </font>
    <font>
      <sz val="6"/>
      <name val="ＭＳ Ｐゴシック"/>
      <family val="3"/>
    </font>
    <font>
      <sz val="11"/>
      <name val="HG丸ｺﾞｼｯｸM-PRO"/>
      <family val="3"/>
    </font>
    <font>
      <sz val="9"/>
      <name val="HG丸ｺﾞｼｯｸM-PRO"/>
      <family val="3"/>
    </font>
    <font>
      <sz val="9"/>
      <color rgb="FFFF0000"/>
      <name val="HG丸ｺﾞｼｯｸM-PRO"/>
      <family val="3"/>
      <charset val="128"/>
    </font>
    <font>
      <b/>
      <sz val="12"/>
      <color rgb="FFFF0000"/>
      <name val="Meiryo UI"/>
      <family val="3"/>
      <charset val="128"/>
    </font>
    <font>
      <b/>
      <sz val="12"/>
      <color rgb="FF0000FF"/>
      <name val="Meiryo UI"/>
      <family val="3"/>
      <charset val="128"/>
    </font>
    <font>
      <b/>
      <sz val="11"/>
      <color rgb="FF0000FF"/>
      <name val="Meiryo UI"/>
      <family val="3"/>
      <charset val="128"/>
    </font>
    <font>
      <b/>
      <sz val="11"/>
      <color rgb="FFFF0000"/>
      <name val="Meiryo UI"/>
      <family val="3"/>
      <charset val="128"/>
    </font>
    <font>
      <b/>
      <sz val="10"/>
      <color rgb="FF0000CC"/>
      <name val="Meiryo UI"/>
      <family val="3"/>
      <charset val="128"/>
    </font>
    <font>
      <sz val="8"/>
      <name val="Meiryo UI"/>
      <family val="3"/>
      <charset val="128"/>
    </font>
    <font>
      <u/>
      <sz val="10"/>
      <color indexed="2"/>
      <name val="Meiryo UI"/>
      <family val="3"/>
      <charset val="128"/>
    </font>
    <font>
      <b/>
      <sz val="12"/>
      <color indexed="2"/>
      <name val="Meiryo UI"/>
      <family val="3"/>
      <charset val="128"/>
    </font>
    <font>
      <sz val="10"/>
      <color rgb="FFFF0000"/>
      <name val="HG丸ｺﾞｼｯｸM-PRO"/>
      <family val="3"/>
      <charset val="128"/>
    </font>
    <font>
      <sz val="9"/>
      <color theme="1"/>
      <name val="HG丸ｺﾞｼｯｸM-PRO"/>
      <family val="3"/>
      <charset val="128"/>
    </font>
  </fonts>
  <fills count="20">
    <fill>
      <patternFill patternType="none"/>
    </fill>
    <fill>
      <patternFill patternType="gray125"/>
    </fill>
    <fill>
      <patternFill patternType="solid">
        <fgColor indexed="65"/>
      </patternFill>
    </fill>
    <fill>
      <patternFill patternType="solid">
        <fgColor indexed="47"/>
        <bgColor indexed="47"/>
      </patternFill>
    </fill>
    <fill>
      <patternFill patternType="solid">
        <fgColor indexed="26"/>
        <bgColor indexed="26"/>
      </patternFill>
    </fill>
    <fill>
      <patternFill patternType="solid">
        <fgColor indexed="27"/>
        <bgColor indexed="27"/>
      </patternFill>
    </fill>
    <fill>
      <patternFill patternType="solid">
        <fgColor indexed="22"/>
        <bgColor indexed="22"/>
      </patternFill>
    </fill>
    <fill>
      <patternFill patternType="solid">
        <fgColor indexed="29"/>
        <bgColor indexed="29"/>
      </patternFill>
    </fill>
    <fill>
      <patternFill patternType="solid">
        <fgColor indexed="43"/>
        <bgColor indexed="43"/>
      </patternFill>
    </fill>
    <fill>
      <patternFill patternType="solid">
        <fgColor indexed="44"/>
        <bgColor indexed="44"/>
      </patternFill>
    </fill>
    <fill>
      <patternFill patternType="solid">
        <fgColor indexed="49"/>
        <bgColor indexed="49"/>
      </patternFill>
    </fill>
    <fill>
      <patternFill patternType="solid">
        <fgColor indexed="5"/>
        <bgColor indexed="5"/>
      </patternFill>
    </fill>
    <fill>
      <patternFill patternType="solid">
        <fgColor indexed="42"/>
        <bgColor indexed="42"/>
      </patternFill>
    </fill>
    <fill>
      <patternFill patternType="solid">
        <fgColor indexed="45"/>
        <bgColor indexed="45"/>
      </patternFill>
    </fill>
    <fill>
      <patternFill patternType="solid">
        <fgColor theme="0" tint="-0.499984740745262"/>
        <bgColor theme="0" tint="-0.499984740745262"/>
      </patternFill>
    </fill>
    <fill>
      <patternFill patternType="solid">
        <fgColor theme="0" tint="-0.249977111117893"/>
        <bgColor theme="0" tint="-0.249977111117893"/>
      </patternFill>
    </fill>
    <fill>
      <patternFill patternType="solid">
        <fgColor rgb="FFFFFF00"/>
        <bgColor indexed="64"/>
      </patternFill>
    </fill>
    <fill>
      <patternFill patternType="solid">
        <fgColor theme="0" tint="-0.499984740745262"/>
        <bgColor indexed="64"/>
      </patternFill>
    </fill>
    <fill>
      <patternFill patternType="solid">
        <fgColor theme="0" tint="-0.499984740745262"/>
        <bgColor indexed="43"/>
      </patternFill>
    </fill>
    <fill>
      <patternFill patternType="solid">
        <fgColor indexed="5"/>
      </patternFill>
    </fill>
  </fills>
  <borders count="171">
    <border>
      <left/>
      <right/>
      <top/>
      <bottom/>
      <diagonal/>
    </border>
    <border>
      <left/>
      <right/>
      <top style="thin">
        <color indexed="49"/>
      </top>
      <bottom style="double">
        <color indexed="49"/>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medium">
        <color auto="1"/>
      </top>
      <bottom style="medium">
        <color auto="1"/>
      </bottom>
      <diagonal/>
    </border>
    <border>
      <left style="thin">
        <color auto="1"/>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medium">
        <color auto="1"/>
      </top>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right/>
      <top/>
      <bottom style="dotted">
        <color auto="1"/>
      </bottom>
      <diagonal/>
    </border>
    <border>
      <left style="hair">
        <color auto="1"/>
      </left>
      <right style="hair">
        <color auto="1"/>
      </right>
      <top style="hair">
        <color auto="1"/>
      </top>
      <bottom style="hair">
        <color auto="1"/>
      </bottom>
      <diagonal/>
    </border>
    <border>
      <left style="thin">
        <color auto="1"/>
      </left>
      <right style="thin">
        <color auto="1"/>
      </right>
      <top style="thin">
        <color auto="1"/>
      </top>
      <bottom/>
      <diagonal/>
    </border>
    <border diagonalUp="1">
      <left/>
      <right/>
      <top/>
      <bottom/>
      <diagonal style="thin">
        <color auto="1"/>
      </diagonal>
    </border>
    <border diagonalDown="1">
      <left/>
      <right/>
      <top/>
      <bottom/>
      <diagonal style="thin">
        <color auto="1"/>
      </diagonal>
    </border>
    <border>
      <left/>
      <right style="hair">
        <color auto="1"/>
      </right>
      <top style="hair">
        <color auto="1"/>
      </top>
      <bottom style="hair">
        <color auto="1"/>
      </bottom>
      <diagonal/>
    </border>
    <border diagonalUp="1">
      <left/>
      <right/>
      <top/>
      <bottom style="thin">
        <color auto="1"/>
      </bottom>
      <diagonal style="thin">
        <color auto="1"/>
      </diagonal>
    </border>
    <border>
      <left style="thin">
        <color auto="1"/>
      </left>
      <right/>
      <top style="thin">
        <color auto="1"/>
      </top>
      <bottom/>
      <diagonal/>
    </border>
    <border>
      <left/>
      <right style="thin">
        <color auto="1"/>
      </right>
      <top style="thin">
        <color auto="1"/>
      </top>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thin">
        <color auto="1"/>
      </left>
      <right/>
      <top style="thin">
        <color auto="1"/>
      </top>
      <bottom style="thin">
        <color auto="1"/>
      </bottom>
      <diagonal/>
    </border>
    <border>
      <left style="medium">
        <color auto="1"/>
      </left>
      <right style="hair">
        <color auto="1"/>
      </right>
      <top style="medium">
        <color auto="1"/>
      </top>
      <bottom style="medium">
        <color auto="1"/>
      </bottom>
      <diagonal/>
    </border>
    <border>
      <left style="hair">
        <color auto="1"/>
      </left>
      <right style="hair">
        <color auto="1"/>
      </right>
      <top style="medium">
        <color auto="1"/>
      </top>
      <bottom style="medium">
        <color auto="1"/>
      </bottom>
      <diagonal/>
    </border>
    <border>
      <left style="hair">
        <color auto="1"/>
      </left>
      <right style="medium">
        <color auto="1"/>
      </right>
      <top style="medium">
        <color auto="1"/>
      </top>
      <bottom style="medium">
        <color auto="1"/>
      </bottom>
      <diagonal/>
    </border>
    <border>
      <left style="thin">
        <color auto="1"/>
      </left>
      <right style="thin">
        <color auto="1"/>
      </right>
      <top style="medium">
        <color auto="1"/>
      </top>
      <bottom/>
      <diagonal/>
    </border>
    <border>
      <left style="thin">
        <color auto="1"/>
      </left>
      <right style="medium">
        <color auto="1"/>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bottom style="thin">
        <color auto="1"/>
      </bottom>
      <diagonal/>
    </border>
    <border>
      <left/>
      <right style="medium">
        <color auto="1"/>
      </right>
      <top/>
      <bottom style="thin">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style="thin">
        <color auto="1"/>
      </left>
      <right style="double">
        <color auto="1"/>
      </right>
      <top style="medium">
        <color auto="1"/>
      </top>
      <bottom style="medium">
        <color auto="1"/>
      </bottom>
      <diagonal/>
    </border>
    <border>
      <left style="thin">
        <color auto="1"/>
      </left>
      <right style="double">
        <color auto="1"/>
      </right>
      <top/>
      <bottom style="thin">
        <color auto="1"/>
      </bottom>
      <diagonal/>
    </border>
    <border>
      <left/>
      <right style="double">
        <color auto="1"/>
      </right>
      <top/>
      <bottom style="thin">
        <color auto="1"/>
      </bottom>
      <diagonal/>
    </border>
    <border>
      <left style="thin">
        <color auto="1"/>
      </left>
      <right/>
      <top/>
      <bottom/>
      <diagonal/>
    </border>
    <border>
      <left style="thin">
        <color auto="1"/>
      </left>
      <right style="double">
        <color auto="1"/>
      </right>
      <top style="thin">
        <color auto="1"/>
      </top>
      <bottom style="thin">
        <color auto="1"/>
      </bottom>
      <diagonal/>
    </border>
    <border>
      <left/>
      <right/>
      <top style="thin">
        <color auto="1"/>
      </top>
      <bottom style="thin">
        <color auto="1"/>
      </bottom>
      <diagonal/>
    </border>
    <border>
      <left/>
      <right style="double">
        <color auto="1"/>
      </right>
      <top style="thin">
        <color auto="1"/>
      </top>
      <bottom style="thin">
        <color auto="1"/>
      </bottom>
      <diagonal/>
    </border>
    <border>
      <left style="thin">
        <color auto="1"/>
      </left>
      <right style="double">
        <color auto="1"/>
      </right>
      <top style="thin">
        <color auto="1"/>
      </top>
      <bottom style="medium">
        <color auto="1"/>
      </bottom>
      <diagonal/>
    </border>
    <border>
      <left/>
      <right style="double">
        <color auto="1"/>
      </right>
      <top style="thin">
        <color auto="1"/>
      </top>
      <bottom style="medium">
        <color auto="1"/>
      </bottom>
      <diagonal/>
    </border>
    <border>
      <left/>
      <right style="double">
        <color auto="1"/>
      </right>
      <top/>
      <bottom/>
      <diagonal/>
    </border>
    <border>
      <left/>
      <right style="medium">
        <color auto="1"/>
      </right>
      <top/>
      <bottom style="medium">
        <color auto="1"/>
      </bottom>
      <diagonal/>
    </border>
    <border>
      <left/>
      <right style="double">
        <color auto="1"/>
      </right>
      <top/>
      <bottom style="medium">
        <color auto="1"/>
      </bottom>
      <diagonal/>
    </border>
    <border>
      <left style="thin">
        <color auto="1"/>
      </left>
      <right/>
      <top style="medium">
        <color auto="1"/>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double">
        <color auto="1"/>
      </right>
      <top style="medium">
        <color auto="1"/>
      </top>
      <bottom style="thin">
        <color auto="1"/>
      </bottom>
      <diagonal/>
    </border>
    <border>
      <left/>
      <right style="medium">
        <color auto="1"/>
      </right>
      <top style="medium">
        <color auto="1"/>
      </top>
      <bottom style="thin">
        <color auto="1"/>
      </bottom>
      <diagonal/>
    </border>
    <border>
      <left/>
      <right style="thin">
        <color auto="1"/>
      </right>
      <top/>
      <bottom/>
      <diagonal/>
    </border>
    <border>
      <left style="medium">
        <color auto="1"/>
      </left>
      <right/>
      <top style="medium">
        <color auto="1"/>
      </top>
      <bottom style="dashed">
        <color auto="1"/>
      </bottom>
      <diagonal/>
    </border>
    <border>
      <left/>
      <right style="thin">
        <color auto="1"/>
      </right>
      <top style="medium">
        <color auto="1"/>
      </top>
      <bottom style="dashed">
        <color auto="1"/>
      </bottom>
      <diagonal/>
    </border>
    <border>
      <left style="thin">
        <color auto="1"/>
      </left>
      <right style="thin">
        <color auto="1"/>
      </right>
      <top style="medium">
        <color auto="1"/>
      </top>
      <bottom style="dotted">
        <color auto="1"/>
      </bottom>
      <diagonal/>
    </border>
    <border>
      <left style="thin">
        <color auto="1"/>
      </left>
      <right/>
      <top style="medium">
        <color auto="1"/>
      </top>
      <bottom style="dotted">
        <color auto="1"/>
      </bottom>
      <diagonal/>
    </border>
    <border>
      <left/>
      <right/>
      <top style="medium">
        <color auto="1"/>
      </top>
      <bottom style="dotted">
        <color auto="1"/>
      </bottom>
      <diagonal/>
    </border>
    <border>
      <left/>
      <right style="thin">
        <color auto="1"/>
      </right>
      <top style="medium">
        <color auto="1"/>
      </top>
      <bottom style="dotted">
        <color auto="1"/>
      </bottom>
      <diagonal/>
    </border>
    <border>
      <left style="thin">
        <color auto="1"/>
      </left>
      <right/>
      <top style="medium">
        <color auto="1"/>
      </top>
      <bottom/>
      <diagonal/>
    </border>
    <border>
      <left/>
      <right style="double">
        <color auto="1"/>
      </right>
      <top style="medium">
        <color auto="1"/>
      </top>
      <bottom/>
      <diagonal/>
    </border>
    <border>
      <left/>
      <right/>
      <top style="medium">
        <color auto="1"/>
      </top>
      <bottom style="dashed">
        <color auto="1"/>
      </bottom>
      <diagonal/>
    </border>
    <border>
      <left style="medium">
        <color auto="1"/>
      </left>
      <right/>
      <top/>
      <bottom style="medium">
        <color auto="1"/>
      </bottom>
      <diagonal/>
    </border>
    <border>
      <left style="medium">
        <color auto="1"/>
      </left>
      <right/>
      <top style="dashed">
        <color auto="1"/>
      </top>
      <bottom style="medium">
        <color auto="1"/>
      </bottom>
      <diagonal/>
    </border>
    <border>
      <left/>
      <right style="thin">
        <color auto="1"/>
      </right>
      <top style="dashed">
        <color auto="1"/>
      </top>
      <bottom style="medium">
        <color auto="1"/>
      </bottom>
      <diagonal/>
    </border>
    <border>
      <left style="thin">
        <color auto="1"/>
      </left>
      <right/>
      <top style="dotted">
        <color auto="1"/>
      </top>
      <bottom style="medium">
        <color auto="1"/>
      </bottom>
      <diagonal/>
    </border>
    <border>
      <left/>
      <right/>
      <top style="dotted">
        <color auto="1"/>
      </top>
      <bottom style="medium">
        <color auto="1"/>
      </bottom>
      <diagonal/>
    </border>
    <border>
      <left/>
      <right style="thin">
        <color auto="1"/>
      </right>
      <top style="dotted">
        <color auto="1"/>
      </top>
      <bottom style="medium">
        <color auto="1"/>
      </bottom>
      <diagonal/>
    </border>
    <border>
      <left style="thin">
        <color auto="1"/>
      </left>
      <right/>
      <top/>
      <bottom style="medium">
        <color auto="1"/>
      </bottom>
      <diagonal/>
    </border>
    <border>
      <left/>
      <right/>
      <top style="dashed">
        <color auto="1"/>
      </top>
      <bottom style="medium">
        <color auto="1"/>
      </bottom>
      <diagonal/>
    </border>
    <border>
      <left/>
      <right style="thin">
        <color auto="1"/>
      </right>
      <top style="medium">
        <color auto="1"/>
      </top>
      <bottom/>
      <diagonal/>
    </border>
    <border>
      <left style="thin">
        <color auto="1"/>
      </left>
      <right style="thin">
        <color auto="1"/>
      </right>
      <top/>
      <bottom/>
      <diagonal/>
    </border>
    <border>
      <left/>
      <right/>
      <top style="dotted">
        <color auto="1"/>
      </top>
      <bottom style="thin">
        <color auto="1"/>
      </bottom>
      <diagonal/>
    </border>
    <border>
      <left style="medium">
        <color auto="1"/>
      </left>
      <right/>
      <top style="thin">
        <color auto="1"/>
      </top>
      <bottom style="dotted">
        <color auto="1"/>
      </bottom>
      <diagonal/>
    </border>
    <border>
      <left/>
      <right/>
      <top style="thin">
        <color auto="1"/>
      </top>
      <bottom style="dotted">
        <color auto="1"/>
      </bottom>
      <diagonal/>
    </border>
    <border>
      <left/>
      <right style="thin">
        <color auto="1"/>
      </right>
      <top style="thin">
        <color auto="1"/>
      </top>
      <bottom style="dotted">
        <color auto="1"/>
      </bottom>
      <diagonal/>
    </border>
    <border>
      <left style="thin">
        <color auto="1"/>
      </left>
      <right/>
      <top style="thin">
        <color auto="1"/>
      </top>
      <bottom style="dotted">
        <color auto="1"/>
      </bottom>
      <diagonal/>
    </border>
    <border>
      <left/>
      <right style="thin">
        <color auto="1"/>
      </right>
      <top/>
      <bottom style="medium">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right style="medium">
        <color auto="1"/>
      </right>
      <top style="thin">
        <color auto="1"/>
      </top>
      <bottom style="thin">
        <color auto="1"/>
      </bottom>
      <diagonal/>
    </border>
    <border>
      <left style="medium">
        <color auto="1"/>
      </left>
      <right/>
      <top/>
      <bottom style="double">
        <color auto="1"/>
      </bottom>
      <diagonal/>
    </border>
    <border>
      <left/>
      <right/>
      <top/>
      <bottom style="double">
        <color auto="1"/>
      </bottom>
      <diagonal/>
    </border>
    <border>
      <left/>
      <right style="medium">
        <color auto="1"/>
      </right>
      <top/>
      <bottom style="double">
        <color auto="1"/>
      </bottom>
      <diagonal/>
    </border>
    <border>
      <left style="medium">
        <color auto="1"/>
      </left>
      <right/>
      <top style="double">
        <color auto="1"/>
      </top>
      <bottom style="hair">
        <color auto="1"/>
      </bottom>
      <diagonal/>
    </border>
    <border>
      <left/>
      <right/>
      <top style="double">
        <color auto="1"/>
      </top>
      <bottom style="hair">
        <color auto="1"/>
      </bottom>
      <diagonal/>
    </border>
    <border>
      <left style="hair">
        <color auto="1"/>
      </left>
      <right style="hair">
        <color auto="1"/>
      </right>
      <top style="double">
        <color auto="1"/>
      </top>
      <bottom/>
      <diagonal/>
    </border>
    <border>
      <left/>
      <right style="medium">
        <color auto="1"/>
      </right>
      <top style="double">
        <color auto="1"/>
      </top>
      <bottom style="hair">
        <color auto="1"/>
      </bottom>
      <diagonal/>
    </border>
    <border>
      <left style="medium">
        <color auto="1"/>
      </left>
      <right/>
      <top/>
      <bottom style="hair">
        <color auto="1"/>
      </bottom>
      <diagonal/>
    </border>
    <border>
      <left/>
      <right/>
      <top/>
      <bottom style="hair">
        <color auto="1"/>
      </bottom>
      <diagonal/>
    </border>
    <border>
      <left style="hair">
        <color auto="1"/>
      </left>
      <right style="hair">
        <color auto="1"/>
      </right>
      <top/>
      <bottom/>
      <diagonal/>
    </border>
    <border>
      <left/>
      <right style="medium">
        <color auto="1"/>
      </right>
      <top/>
      <bottom style="hair">
        <color auto="1"/>
      </bottom>
      <diagonal/>
    </border>
    <border>
      <left style="hair">
        <color auto="1"/>
      </left>
      <right style="hair">
        <color auto="1"/>
      </right>
      <top/>
      <bottom style="medium">
        <color auto="1"/>
      </bottom>
      <diagonal/>
    </border>
    <border>
      <left style="medium">
        <color auto="1"/>
      </left>
      <right/>
      <top style="hair">
        <color auto="1"/>
      </top>
      <bottom style="hair">
        <color auto="1"/>
      </bottom>
      <diagonal/>
    </border>
    <border>
      <left/>
      <right/>
      <top style="hair">
        <color auto="1"/>
      </top>
      <bottom style="hair">
        <color auto="1"/>
      </bottom>
      <diagonal/>
    </border>
    <border>
      <left/>
      <right style="medium">
        <color auto="1"/>
      </right>
      <top style="hair">
        <color auto="1"/>
      </top>
      <bottom style="hair">
        <color auto="1"/>
      </bottom>
      <diagonal/>
    </border>
    <border>
      <left style="medium">
        <color auto="1"/>
      </left>
      <right/>
      <top style="hair">
        <color auto="1"/>
      </top>
      <bottom style="medium">
        <color auto="1"/>
      </bottom>
      <diagonal/>
    </border>
    <border>
      <left/>
      <right/>
      <top style="hair">
        <color auto="1"/>
      </top>
      <bottom style="medium">
        <color auto="1"/>
      </bottom>
      <diagonal/>
    </border>
    <border>
      <left/>
      <right style="medium">
        <color auto="1"/>
      </right>
      <top style="hair">
        <color auto="1"/>
      </top>
      <bottom style="medium">
        <color auto="1"/>
      </bottom>
      <diagonal/>
    </border>
    <border>
      <left style="medium">
        <color auto="1"/>
      </left>
      <right/>
      <top style="hair">
        <color auto="1"/>
      </top>
      <bottom style="double">
        <color auto="1"/>
      </bottom>
      <diagonal/>
    </border>
    <border>
      <left/>
      <right/>
      <top style="hair">
        <color auto="1"/>
      </top>
      <bottom style="double">
        <color auto="1"/>
      </bottom>
      <diagonal/>
    </border>
    <border>
      <left style="hair">
        <color auto="1"/>
      </left>
      <right style="hair">
        <color auto="1"/>
      </right>
      <top/>
      <bottom style="double">
        <color auto="1"/>
      </bottom>
      <diagonal/>
    </border>
    <border>
      <left/>
      <right style="medium">
        <color auto="1"/>
      </right>
      <top style="hair">
        <color auto="1"/>
      </top>
      <bottom style="double">
        <color auto="1"/>
      </bottom>
      <diagonal/>
    </border>
    <border>
      <left style="hair">
        <color auto="1"/>
      </left>
      <right/>
      <top style="medium">
        <color auto="1"/>
      </top>
      <bottom/>
      <diagonal/>
    </border>
    <border>
      <left style="hair">
        <color auto="1"/>
      </left>
      <right/>
      <top/>
      <bottom style="thin">
        <color auto="1"/>
      </bottom>
      <diagonal/>
    </border>
    <border>
      <left style="hair">
        <color auto="1"/>
      </left>
      <right/>
      <top/>
      <bottom/>
      <diagonal/>
    </border>
    <border>
      <left style="hair">
        <color auto="1"/>
      </left>
      <right/>
      <top style="thin">
        <color auto="1"/>
      </top>
      <bottom style="thin">
        <color auto="1"/>
      </bottom>
      <diagonal/>
    </border>
    <border>
      <left style="thin">
        <color auto="1"/>
      </left>
      <right style="hair">
        <color auto="1"/>
      </right>
      <top style="thin">
        <color auto="1"/>
      </top>
      <bottom/>
      <diagonal/>
    </border>
    <border>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style="thin">
        <color auto="1"/>
      </right>
      <top style="thin">
        <color auto="1"/>
      </top>
      <bottom style="thin">
        <color auto="1"/>
      </bottom>
      <diagonal/>
    </border>
    <border>
      <left style="hair">
        <color auto="1"/>
      </left>
      <right/>
      <top style="thin">
        <color auto="1"/>
      </top>
      <bottom style="hair">
        <color auto="1"/>
      </bottom>
      <diagonal/>
    </border>
    <border>
      <left/>
      <right style="thin">
        <color auto="1"/>
      </right>
      <top style="thin">
        <color auto="1"/>
      </top>
      <bottom style="hair">
        <color auto="1"/>
      </bottom>
      <diagonal/>
    </border>
    <border>
      <left/>
      <right style="hair">
        <color auto="1"/>
      </right>
      <top style="thin">
        <color auto="1"/>
      </top>
      <bottom/>
      <diagonal/>
    </border>
    <border>
      <left style="hair">
        <color auto="1"/>
      </left>
      <right/>
      <top style="thin">
        <color auto="1"/>
      </top>
      <bottom/>
      <diagonal/>
    </border>
    <border>
      <left style="thin">
        <color auto="1"/>
      </left>
      <right style="hair">
        <color auto="1"/>
      </right>
      <top/>
      <bottom/>
      <diagonal/>
    </border>
    <border>
      <left style="hair">
        <color auto="1"/>
      </left>
      <right/>
      <top style="hair">
        <color auto="1"/>
      </top>
      <bottom style="hair">
        <color auto="1"/>
      </bottom>
      <diagonal/>
    </border>
    <border>
      <left/>
      <right style="thin">
        <color auto="1"/>
      </right>
      <top style="hair">
        <color auto="1"/>
      </top>
      <bottom style="hair">
        <color auto="1"/>
      </bottom>
      <diagonal/>
    </border>
    <border>
      <left/>
      <right style="hair">
        <color auto="1"/>
      </right>
      <top/>
      <bottom/>
      <diagonal/>
    </border>
    <border>
      <left style="thin">
        <color auto="1"/>
      </left>
      <right style="hair">
        <color auto="1"/>
      </right>
      <top/>
      <bottom style="thin">
        <color auto="1"/>
      </bottom>
      <diagonal/>
    </border>
    <border>
      <left style="hair">
        <color auto="1"/>
      </left>
      <right/>
      <top style="hair">
        <color auto="1"/>
      </top>
      <bottom style="thin">
        <color auto="1"/>
      </bottom>
      <diagonal/>
    </border>
    <border>
      <left/>
      <right style="thin">
        <color auto="1"/>
      </right>
      <top style="hair">
        <color auto="1"/>
      </top>
      <bottom style="thin">
        <color auto="1"/>
      </bottom>
      <diagonal/>
    </border>
    <border>
      <left/>
      <right style="hair">
        <color auto="1"/>
      </right>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auto="1"/>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diagonal/>
    </border>
    <border>
      <left style="medium">
        <color indexed="64"/>
      </left>
      <right style="medium">
        <color indexed="64"/>
      </right>
      <top style="thin">
        <color auto="1"/>
      </top>
      <bottom style="medium">
        <color indexed="64"/>
      </bottom>
      <diagonal/>
    </border>
    <border>
      <left style="medium">
        <color indexed="64"/>
      </left>
      <right style="medium">
        <color indexed="64"/>
      </right>
      <top style="medium">
        <color auto="1"/>
      </top>
      <bottom/>
      <diagonal/>
    </border>
    <border>
      <left style="medium">
        <color indexed="64"/>
      </left>
      <right style="medium">
        <color indexed="64"/>
      </right>
      <top/>
      <bottom/>
      <diagonal/>
    </border>
    <border>
      <left style="medium">
        <color indexed="64"/>
      </left>
      <right style="medium">
        <color indexed="64"/>
      </right>
      <top/>
      <bottom style="medium">
        <color auto="1"/>
      </bottom>
      <diagonal/>
    </border>
    <border>
      <left style="thin">
        <color auto="1"/>
      </left>
      <right style="medium">
        <color auto="1"/>
      </right>
      <top style="medium">
        <color auto="1"/>
      </top>
      <bottom/>
      <diagonal/>
    </border>
    <border>
      <left/>
      <right style="hair">
        <color auto="1"/>
      </right>
      <top style="hair">
        <color auto="1"/>
      </top>
      <bottom/>
      <diagonal/>
    </border>
    <border>
      <left/>
      <right style="hair">
        <color auto="1"/>
      </right>
      <top/>
      <bottom style="hair">
        <color auto="1"/>
      </bottom>
      <diagonal/>
    </border>
  </borders>
  <cellStyleXfs count="47">
    <xf numFmtId="0" fontId="0" fillId="0" borderId="0"/>
    <xf numFmtId="0" fontId="1" fillId="2" borderId="0" applyNumberFormat="0" applyBorder="0" applyProtection="0"/>
    <xf numFmtId="0" fontId="1" fillId="3" borderId="0" applyNumberFormat="0" applyBorder="0" applyProtection="0"/>
    <xf numFmtId="0" fontId="1" fillId="4" borderId="0" applyNumberFormat="0" applyBorder="0" applyProtection="0"/>
    <xf numFmtId="0" fontId="1" fillId="2" borderId="0" applyNumberFormat="0" applyBorder="0" applyProtection="0"/>
    <xf numFmtId="0" fontId="1" fillId="5" borderId="0" applyNumberFormat="0" applyBorder="0" applyProtection="0"/>
    <xf numFmtId="0" fontId="1" fillId="3" borderId="0" applyNumberFormat="0" applyBorder="0" applyProtection="0"/>
    <xf numFmtId="0" fontId="1" fillId="6" borderId="0" applyNumberFormat="0" applyBorder="0" applyProtection="0"/>
    <xf numFmtId="0" fontId="1" fillId="7" borderId="0" applyNumberFormat="0" applyBorder="0" applyProtection="0"/>
    <xf numFmtId="0" fontId="1" fillId="8" borderId="0" applyNumberFormat="0" applyBorder="0" applyProtection="0"/>
    <xf numFmtId="0" fontId="1" fillId="6" borderId="0" applyNumberFormat="0" applyBorder="0" applyProtection="0"/>
    <xf numFmtId="0" fontId="1" fillId="9" borderId="0" applyNumberFormat="0" applyBorder="0" applyProtection="0"/>
    <xf numFmtId="0" fontId="1" fillId="3" borderId="0" applyNumberFormat="0" applyBorder="0" applyProtection="0"/>
    <xf numFmtId="0" fontId="2" fillId="10" borderId="0" applyNumberFormat="0" applyBorder="0" applyProtection="0"/>
    <xf numFmtId="0" fontId="2" fillId="7" borderId="0" applyNumberFormat="0" applyBorder="0" applyProtection="0"/>
    <xf numFmtId="0" fontId="2" fillId="8" borderId="0" applyNumberFormat="0" applyBorder="0" applyProtection="0"/>
    <xf numFmtId="0" fontId="2" fillId="6" borderId="0" applyNumberFormat="0" applyBorder="0" applyProtection="0"/>
    <xf numFmtId="0" fontId="2" fillId="10" borderId="0" applyNumberFormat="0" applyBorder="0" applyProtection="0"/>
    <xf numFmtId="0" fontId="2" fillId="3" borderId="0" applyNumberFormat="0" applyBorder="0" applyProtection="0"/>
    <xf numFmtId="0" fontId="3" fillId="0" borderId="0" applyNumberFormat="0" applyFill="0" applyBorder="0" applyProtection="0">
      <alignment vertical="top"/>
      <protection locked="0"/>
    </xf>
    <xf numFmtId="0" fontId="4" fillId="0" borderId="0" applyNumberFormat="0" applyFill="0" applyBorder="0" applyProtection="0">
      <alignment vertical="top"/>
      <protection locked="0"/>
    </xf>
    <xf numFmtId="38" fontId="5" fillId="0" borderId="0" applyFont="0" applyFill="0" applyBorder="0" applyProtection="0">
      <alignment vertical="center"/>
    </xf>
    <xf numFmtId="0" fontId="6" fillId="0" borderId="1" applyNumberFormat="0" applyFill="0" applyProtection="0"/>
    <xf numFmtId="6" fontId="5" fillId="0" borderId="0" applyFont="0" applyFill="0" applyBorder="0" applyProtection="0">
      <alignment vertical="center"/>
    </xf>
    <xf numFmtId="0" fontId="7" fillId="0" borderId="0">
      <alignment vertical="center"/>
    </xf>
    <xf numFmtId="0" fontId="7" fillId="0" borderId="0">
      <alignment vertical="center"/>
    </xf>
    <xf numFmtId="0" fontId="7" fillId="0" borderId="0"/>
    <xf numFmtId="0" fontId="5" fillId="0" borderId="0">
      <alignment vertical="center"/>
    </xf>
    <xf numFmtId="0" fontId="5" fillId="0" borderId="0"/>
    <xf numFmtId="0" fontId="7" fillId="0" borderId="0">
      <alignment vertical="center"/>
    </xf>
    <xf numFmtId="0" fontId="5" fillId="0" borderId="0"/>
    <xf numFmtId="0" fontId="5" fillId="0" borderId="0"/>
    <xf numFmtId="0" fontId="5" fillId="0" borderId="0">
      <alignment vertical="center"/>
    </xf>
    <xf numFmtId="0" fontId="7"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7" fillId="0" borderId="0">
      <alignment vertical="center"/>
    </xf>
    <xf numFmtId="0" fontId="8" fillId="0" borderId="0"/>
    <xf numFmtId="0" fontId="9" fillId="0" borderId="0"/>
    <xf numFmtId="0" fontId="5" fillId="0" borderId="0">
      <alignment vertical="center"/>
    </xf>
    <xf numFmtId="0" fontId="5" fillId="0" borderId="0"/>
    <xf numFmtId="0" fontId="5" fillId="0" borderId="0">
      <alignment vertical="center"/>
    </xf>
    <xf numFmtId="0" fontId="5" fillId="0" borderId="0">
      <alignment vertical="center"/>
    </xf>
    <xf numFmtId="0" fontId="10" fillId="8" borderId="0" applyNumberFormat="0" applyBorder="0" applyProtection="0"/>
    <xf numFmtId="0" fontId="79" fillId="0" borderId="0">
      <alignment vertical="center"/>
    </xf>
  </cellStyleXfs>
  <cellXfs count="1006">
    <xf numFmtId="0" fontId="0" fillId="0" borderId="0" xfId="0"/>
    <xf numFmtId="0" fontId="11" fillId="0" borderId="0" xfId="0" applyFont="1" applyAlignment="1">
      <alignment vertical="center"/>
    </xf>
    <xf numFmtId="0" fontId="11" fillId="0" borderId="0" xfId="0" applyFont="1" applyAlignment="1">
      <alignment horizontal="center" vertical="center"/>
    </xf>
    <xf numFmtId="0" fontId="12" fillId="0" borderId="0" xfId="0" applyFont="1" applyAlignment="1">
      <alignment horizontal="center" vertical="center"/>
    </xf>
    <xf numFmtId="0" fontId="13" fillId="0" borderId="0" xfId="0" quotePrefix="1" applyFont="1" applyAlignment="1">
      <alignment horizontal="right" vertical="center"/>
    </xf>
    <xf numFmtId="0" fontId="13" fillId="0" borderId="0" xfId="0" applyFont="1" applyAlignment="1">
      <alignment vertical="center"/>
    </xf>
    <xf numFmtId="0" fontId="11" fillId="0" borderId="0" xfId="0" applyFont="1" applyAlignment="1">
      <alignment horizontal="right" vertical="center"/>
    </xf>
    <xf numFmtId="0" fontId="11" fillId="0" borderId="0" xfId="0" quotePrefix="1" applyFont="1" applyAlignment="1">
      <alignment horizontal="right" vertical="center"/>
    </xf>
    <xf numFmtId="0" fontId="14" fillId="0" borderId="0" xfId="0" applyFont="1" applyAlignment="1">
      <alignment vertical="center"/>
    </xf>
    <xf numFmtId="0" fontId="15" fillId="0" borderId="0" xfId="0" applyFont="1" applyAlignment="1">
      <alignment vertical="center"/>
    </xf>
    <xf numFmtId="0" fontId="15" fillId="0" borderId="0" xfId="0" applyFont="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5" xfId="0" applyFont="1" applyBorder="1" applyAlignment="1">
      <alignment horizontal="center" vertical="center" shrinkToFit="1"/>
    </xf>
    <xf numFmtId="0" fontId="11" fillId="0" borderId="6" xfId="0" applyFont="1" applyBorder="1" applyAlignment="1">
      <alignment horizontal="center" vertical="center"/>
    </xf>
    <xf numFmtId="0" fontId="16" fillId="0" borderId="8" xfId="0" applyFont="1" applyBorder="1" applyAlignment="1">
      <alignment vertical="center" shrinkToFit="1"/>
    </xf>
    <xf numFmtId="176" fontId="16" fillId="0" borderId="8" xfId="0" applyNumberFormat="1" applyFont="1" applyBorder="1" applyAlignment="1">
      <alignment horizontal="center" vertical="center" shrinkToFit="1"/>
    </xf>
    <xf numFmtId="0" fontId="16" fillId="0" borderId="9" xfId="0" applyFont="1" applyBorder="1" applyAlignment="1">
      <alignment horizontal="center" vertical="center"/>
    </xf>
    <xf numFmtId="0" fontId="16" fillId="0" borderId="0" xfId="0" applyFont="1" applyAlignment="1">
      <alignment horizontal="center" vertical="center"/>
    </xf>
    <xf numFmtId="176" fontId="15" fillId="0" borderId="12" xfId="0" applyNumberFormat="1" applyFont="1" applyBorder="1" applyAlignment="1">
      <alignment horizontal="center" vertical="center" shrinkToFit="1"/>
    </xf>
    <xf numFmtId="0" fontId="15" fillId="0" borderId="13" xfId="0" applyFont="1" applyBorder="1" applyAlignment="1">
      <alignment horizontal="center" vertical="center"/>
    </xf>
    <xf numFmtId="0" fontId="16" fillId="0" borderId="14" xfId="0" applyFont="1" applyBorder="1" applyAlignment="1">
      <alignment vertical="center" shrinkToFit="1"/>
    </xf>
    <xf numFmtId="176" fontId="16" fillId="0" borderId="14" xfId="0" applyNumberFormat="1" applyFont="1" applyBorder="1" applyAlignment="1">
      <alignment horizontal="center" vertical="center" shrinkToFit="1"/>
    </xf>
    <xf numFmtId="0" fontId="16" fillId="0" borderId="15" xfId="0" applyFont="1" applyBorder="1" applyAlignment="1">
      <alignment horizontal="center" vertical="center"/>
    </xf>
    <xf numFmtId="176" fontId="15" fillId="0" borderId="14" xfId="0" applyNumberFormat="1" applyFont="1" applyBorder="1" applyAlignment="1">
      <alignment horizontal="center" vertical="center" shrinkToFit="1"/>
    </xf>
    <xf numFmtId="0" fontId="15" fillId="0" borderId="15" xfId="0" applyFont="1" applyBorder="1" applyAlignment="1">
      <alignment horizontal="center" vertical="center"/>
    </xf>
    <xf numFmtId="176" fontId="15" fillId="0" borderId="19" xfId="0" applyNumberFormat="1" applyFont="1" applyBorder="1" applyAlignment="1">
      <alignment horizontal="center" vertical="center" shrinkToFit="1"/>
    </xf>
    <xf numFmtId="0" fontId="15" fillId="0" borderId="20" xfId="0" applyFont="1" applyBorder="1" applyAlignment="1">
      <alignment horizontal="center" vertical="center"/>
    </xf>
    <xf numFmtId="0" fontId="16" fillId="0" borderId="12" xfId="0" applyFont="1" applyBorder="1" applyAlignment="1">
      <alignment vertical="center" shrinkToFit="1"/>
    </xf>
    <xf numFmtId="0" fontId="16" fillId="0" borderId="19" xfId="0" applyFont="1" applyBorder="1" applyAlignment="1">
      <alignment vertical="center" shrinkToFit="1"/>
    </xf>
    <xf numFmtId="0" fontId="16" fillId="0" borderId="2" xfId="0" applyFont="1" applyBorder="1" applyAlignment="1">
      <alignment horizontal="center" vertical="center" shrinkToFit="1"/>
    </xf>
    <xf numFmtId="0" fontId="16" fillId="0" borderId="3" xfId="0" applyFont="1" applyBorder="1" applyAlignment="1">
      <alignment vertical="center" shrinkToFit="1"/>
    </xf>
    <xf numFmtId="0" fontId="15" fillId="0" borderId="6" xfId="0" applyFont="1" applyBorder="1" applyAlignment="1">
      <alignment horizontal="center" vertical="center"/>
    </xf>
    <xf numFmtId="176" fontId="16" fillId="0" borderId="19" xfId="0" applyNumberFormat="1" applyFont="1" applyBorder="1" applyAlignment="1">
      <alignment horizontal="center" vertical="center" shrinkToFit="1"/>
    </xf>
    <xf numFmtId="0" fontId="16" fillId="0" borderId="20" xfId="0" applyFont="1" applyBorder="1" applyAlignment="1">
      <alignment horizontal="center" vertical="center"/>
    </xf>
    <xf numFmtId="176" fontId="15" fillId="0" borderId="3" xfId="0" applyNumberFormat="1" applyFont="1" applyBorder="1" applyAlignment="1">
      <alignment horizontal="center" vertical="center" shrinkToFit="1"/>
    </xf>
    <xf numFmtId="0" fontId="13" fillId="0" borderId="0" xfId="0" applyFont="1" applyAlignment="1">
      <alignment horizontal="right" vertical="center"/>
    </xf>
    <xf numFmtId="0" fontId="13" fillId="0" borderId="0" xfId="0" applyFont="1" applyAlignment="1">
      <alignment horizontal="center" vertical="center"/>
    </xf>
    <xf numFmtId="56" fontId="16" fillId="0" borderId="3" xfId="0" applyNumberFormat="1" applyFont="1" applyBorder="1" applyAlignment="1">
      <alignment vertical="center" shrinkToFit="1"/>
    </xf>
    <xf numFmtId="0" fontId="17" fillId="0" borderId="0" xfId="0" applyFont="1" applyAlignment="1">
      <alignment vertical="center"/>
    </xf>
    <xf numFmtId="0" fontId="18" fillId="0" borderId="0" xfId="0" applyFont="1" applyAlignment="1">
      <alignment vertical="center"/>
    </xf>
    <xf numFmtId="0" fontId="18" fillId="0" borderId="0" xfId="0" applyFont="1" applyAlignment="1">
      <alignment horizontal="left" vertical="center"/>
    </xf>
    <xf numFmtId="0" fontId="11" fillId="0" borderId="14" xfId="0" applyFont="1" applyBorder="1" applyAlignment="1">
      <alignment vertical="center"/>
    </xf>
    <xf numFmtId="0" fontId="19" fillId="0" borderId="0" xfId="25" applyFont="1" applyAlignment="1">
      <alignment vertical="top"/>
    </xf>
    <xf numFmtId="0" fontId="21" fillId="0" borderId="0" xfId="25" applyFont="1" applyAlignment="1">
      <alignment horizontal="center" vertical="top"/>
    </xf>
    <xf numFmtId="0" fontId="19" fillId="0" borderId="0" xfId="25" applyFont="1" applyAlignment="1">
      <alignment horizontal="left" vertical="top"/>
    </xf>
    <xf numFmtId="0" fontId="19" fillId="0" borderId="0" xfId="25" applyFont="1" applyAlignment="1">
      <alignment horizontal="left" vertical="top" shrinkToFit="1"/>
    </xf>
    <xf numFmtId="0" fontId="19" fillId="0" borderId="0" xfId="25" applyFont="1" applyAlignment="1">
      <alignment horizontal="center" vertical="top"/>
    </xf>
    <xf numFmtId="0" fontId="19" fillId="0" borderId="0" xfId="0" applyFont="1" applyAlignment="1">
      <alignment vertical="top"/>
    </xf>
    <xf numFmtId="0" fontId="19" fillId="0" borderId="0" xfId="0" applyFont="1" applyAlignment="1">
      <alignment horizontal="left" vertical="top"/>
    </xf>
    <xf numFmtId="0" fontId="19" fillId="0" borderId="0" xfId="0" applyFont="1" applyAlignment="1">
      <alignment horizontal="center" vertical="top"/>
    </xf>
    <xf numFmtId="0" fontId="14" fillId="0" borderId="0" xfId="0" applyFont="1" applyAlignment="1">
      <alignment vertical="top"/>
    </xf>
    <xf numFmtId="0" fontId="14" fillId="0" borderId="0" xfId="25" applyFont="1" applyAlignment="1">
      <alignment horizontal="left" vertical="top"/>
    </xf>
    <xf numFmtId="0" fontId="14" fillId="0" borderId="0" xfId="25" applyFont="1" applyAlignment="1">
      <alignment vertical="top"/>
    </xf>
    <xf numFmtId="0" fontId="23" fillId="0" borderId="0" xfId="0" applyFont="1" applyAlignment="1">
      <alignment vertical="top"/>
    </xf>
    <xf numFmtId="0" fontId="11" fillId="0" borderId="0" xfId="28" applyFont="1" applyAlignment="1">
      <alignment vertical="center"/>
    </xf>
    <xf numFmtId="0" fontId="11" fillId="0" borderId="0" xfId="28" applyFont="1" applyAlignment="1">
      <alignment horizontal="center" vertical="center"/>
    </xf>
    <xf numFmtId="0" fontId="13" fillId="0" borderId="0" xfId="29" applyFont="1">
      <alignment vertical="center"/>
    </xf>
    <xf numFmtId="0" fontId="11" fillId="0" borderId="0" xfId="28" applyFont="1" applyAlignment="1">
      <alignment horizontal="left" vertical="center"/>
    </xf>
    <xf numFmtId="0" fontId="11" fillId="0" borderId="2" xfId="28" applyFont="1" applyBorder="1" applyAlignment="1">
      <alignment horizontal="center" vertical="center"/>
    </xf>
    <xf numFmtId="0" fontId="11" fillId="0" borderId="3" xfId="28" applyFont="1" applyBorder="1" applyAlignment="1">
      <alignment horizontal="center" vertical="center"/>
    </xf>
    <xf numFmtId="0" fontId="11" fillId="0" borderId="6" xfId="28" applyFont="1" applyBorder="1" applyAlignment="1">
      <alignment horizontal="center" vertical="center"/>
    </xf>
    <xf numFmtId="0" fontId="0" fillId="0" borderId="21" xfId="28" applyFont="1" applyBorder="1" applyAlignment="1">
      <alignment horizontal="center" vertical="center"/>
    </xf>
    <xf numFmtId="0" fontId="5" fillId="8" borderId="14" xfId="28" applyFill="1" applyBorder="1" applyAlignment="1">
      <alignment horizontal="center" vertical="center"/>
    </xf>
    <xf numFmtId="0" fontId="5" fillId="0" borderId="14" xfId="28" applyBorder="1" applyAlignment="1">
      <alignment horizontal="center" vertical="center"/>
    </xf>
    <xf numFmtId="0" fontId="5" fillId="0" borderId="15" xfId="28" applyBorder="1" applyAlignment="1">
      <alignment horizontal="center" vertical="center"/>
    </xf>
    <xf numFmtId="0" fontId="0" fillId="0" borderId="23" xfId="28" applyFont="1" applyBorder="1" applyAlignment="1">
      <alignment horizontal="center" vertical="center"/>
    </xf>
    <xf numFmtId="0" fontId="5" fillId="8" borderId="19" xfId="28" applyFill="1" applyBorder="1" applyAlignment="1">
      <alignment horizontal="center" vertical="center"/>
    </xf>
    <xf numFmtId="0" fontId="5" fillId="0" borderId="19" xfId="28" applyBorder="1" applyAlignment="1">
      <alignment horizontal="center" vertical="center"/>
    </xf>
    <xf numFmtId="0" fontId="5" fillId="0" borderId="20" xfId="28" applyBorder="1" applyAlignment="1">
      <alignment horizontal="center" vertical="center"/>
    </xf>
    <xf numFmtId="0" fontId="37" fillId="0" borderId="0" xfId="29" applyFont="1" applyAlignment="1">
      <alignment horizontal="center" vertical="center"/>
    </xf>
    <xf numFmtId="0" fontId="37" fillId="0" borderId="0" xfId="29" applyFont="1">
      <alignment vertical="center"/>
    </xf>
    <xf numFmtId="0" fontId="5" fillId="0" borderId="0" xfId="28" applyAlignment="1">
      <alignment horizontal="center" vertical="center"/>
    </xf>
    <xf numFmtId="0" fontId="11" fillId="0" borderId="0" xfId="43" applyFont="1">
      <alignment vertical="center"/>
    </xf>
    <xf numFmtId="0" fontId="11" fillId="0" borderId="0" xfId="43" applyFont="1" applyAlignment="1">
      <alignment horizontal="right" vertical="center"/>
    </xf>
    <xf numFmtId="0" fontId="11" fillId="0" borderId="0" xfId="43" applyFont="1" applyAlignment="1">
      <alignment horizontal="center" vertical="center"/>
    </xf>
    <xf numFmtId="0" fontId="11" fillId="0" borderId="0" xfId="0" applyFont="1" applyAlignment="1">
      <alignment horizontal="center"/>
    </xf>
    <xf numFmtId="0" fontId="11" fillId="0" borderId="0" xfId="0" applyFont="1"/>
    <xf numFmtId="0" fontId="38" fillId="0" borderId="0" xfId="43" applyFont="1" applyAlignment="1">
      <alignment horizontal="center" vertical="center"/>
    </xf>
    <xf numFmtId="0" fontId="11" fillId="12" borderId="0" xfId="43" applyFont="1" applyFill="1" applyAlignment="1">
      <alignment horizontal="center" vertical="center"/>
    </xf>
    <xf numFmtId="0" fontId="11" fillId="0" borderId="25" xfId="0" applyFont="1" applyBorder="1" applyAlignment="1">
      <alignment shrinkToFit="1"/>
    </xf>
    <xf numFmtId="0" fontId="11" fillId="0" borderId="0" xfId="0" applyFont="1" applyAlignment="1">
      <alignment shrinkToFit="1"/>
    </xf>
    <xf numFmtId="0" fontId="11" fillId="0" borderId="0" xfId="43" applyFont="1" applyAlignment="1">
      <alignment horizontal="center" vertical="center" shrinkToFit="1"/>
    </xf>
    <xf numFmtId="0" fontId="11" fillId="0" borderId="0" xfId="43" applyFont="1" applyAlignment="1">
      <alignment horizontal="left" vertical="center" shrinkToFit="1"/>
    </xf>
    <xf numFmtId="0" fontId="11" fillId="0" borderId="29" xfId="0" applyFont="1" applyBorder="1" applyAlignment="1">
      <alignment shrinkToFit="1"/>
    </xf>
    <xf numFmtId="0" fontId="37" fillId="0" borderId="0" xfId="43" applyFont="1" applyAlignment="1">
      <alignment horizontal="center" vertical="center" shrinkToFit="1"/>
    </xf>
    <xf numFmtId="0" fontId="37" fillId="0" borderId="0" xfId="43" applyFont="1" applyAlignment="1">
      <alignment horizontal="left" vertical="center" shrinkToFit="1"/>
    </xf>
    <xf numFmtId="0" fontId="37" fillId="0" borderId="33" xfId="43" applyFont="1" applyBorder="1" applyAlignment="1">
      <alignment horizontal="left" vertical="center" shrinkToFit="1"/>
    </xf>
    <xf numFmtId="0" fontId="11" fillId="0" borderId="0" xfId="43" applyFont="1" applyAlignment="1">
      <alignment horizontal="right" vertical="center" shrinkToFit="1"/>
    </xf>
    <xf numFmtId="0" fontId="11" fillId="0" borderId="0" xfId="43" applyFont="1" applyAlignment="1">
      <alignment vertical="center" shrinkToFit="1"/>
    </xf>
    <xf numFmtId="0" fontId="11" fillId="13" borderId="0" xfId="0" applyFont="1" applyFill="1" applyAlignment="1">
      <alignment horizontal="center" vertical="center"/>
    </xf>
    <xf numFmtId="0" fontId="16" fillId="0" borderId="25" xfId="0" applyFont="1" applyBorder="1" applyAlignment="1">
      <alignment horizontal="center" vertical="center" shrinkToFit="1"/>
    </xf>
    <xf numFmtId="56" fontId="11" fillId="0" borderId="0" xfId="43" applyNumberFormat="1" applyFont="1">
      <alignment vertical="center"/>
    </xf>
    <xf numFmtId="20" fontId="11" fillId="0" borderId="0" xfId="43" applyNumberFormat="1" applyFont="1">
      <alignment vertical="center"/>
    </xf>
    <xf numFmtId="0" fontId="11" fillId="11" borderId="0" xfId="0" applyFont="1" applyFill="1" applyAlignment="1">
      <alignment horizontal="center" vertical="center"/>
    </xf>
    <xf numFmtId="0" fontId="18" fillId="11" borderId="0" xfId="0" applyFont="1" applyFill="1" applyAlignment="1">
      <alignment vertical="center"/>
    </xf>
    <xf numFmtId="0" fontId="11" fillId="11" borderId="0" xfId="0" applyFont="1" applyFill="1" applyAlignment="1">
      <alignment shrinkToFit="1"/>
    </xf>
    <xf numFmtId="0" fontId="11" fillId="11" borderId="0" xfId="43" applyFont="1" applyFill="1">
      <alignment vertical="center"/>
    </xf>
    <xf numFmtId="0" fontId="11" fillId="11" borderId="0" xfId="43" applyFont="1" applyFill="1" applyAlignment="1">
      <alignment horizontal="center" vertical="center"/>
    </xf>
    <xf numFmtId="0" fontId="11" fillId="11" borderId="0" xfId="0" applyFont="1" applyFill="1"/>
    <xf numFmtId="0" fontId="18" fillId="11" borderId="0" xfId="0" applyFont="1" applyFill="1"/>
    <xf numFmtId="0" fontId="11" fillId="11" borderId="0" xfId="0" applyFont="1" applyFill="1" applyAlignment="1">
      <alignment horizontal="center"/>
    </xf>
    <xf numFmtId="0" fontId="18" fillId="11" borderId="0" xfId="0" applyFont="1" applyFill="1" applyAlignment="1">
      <alignment horizontal="left"/>
    </xf>
    <xf numFmtId="0" fontId="39" fillId="0" borderId="0" xfId="0" applyFont="1" applyAlignment="1">
      <alignment vertical="center"/>
    </xf>
    <xf numFmtId="49" fontId="40" fillId="0" borderId="0" xfId="0" applyNumberFormat="1" applyFont="1" applyAlignment="1">
      <alignment horizontal="right" vertical="center" wrapText="1"/>
    </xf>
    <xf numFmtId="49" fontId="40" fillId="0" borderId="0" xfId="0" applyNumberFormat="1" applyFont="1" applyAlignment="1">
      <alignment horizontal="right" vertical="top"/>
    </xf>
    <xf numFmtId="49" fontId="41" fillId="0" borderId="0" xfId="0" applyNumberFormat="1" applyFont="1" applyAlignment="1">
      <alignment horizontal="right" vertical="center" wrapText="1"/>
    </xf>
    <xf numFmtId="0" fontId="41" fillId="0" borderId="0" xfId="0" applyFont="1" applyAlignment="1">
      <alignment vertical="center" wrapText="1"/>
    </xf>
    <xf numFmtId="49" fontId="41" fillId="0" borderId="0" xfId="0" applyNumberFormat="1" applyFont="1" applyAlignment="1">
      <alignment horizontal="right" vertical="top"/>
    </xf>
    <xf numFmtId="0" fontId="41" fillId="0" borderId="0" xfId="0" applyFont="1" applyAlignment="1">
      <alignment vertical="top" wrapText="1"/>
    </xf>
    <xf numFmtId="0" fontId="41" fillId="0" borderId="0" xfId="0" applyFont="1" applyAlignment="1">
      <alignment vertical="center"/>
    </xf>
    <xf numFmtId="49" fontId="41" fillId="0" borderId="36" xfId="0" applyNumberFormat="1" applyFont="1" applyBorder="1" applyAlignment="1">
      <alignment horizontal="right" vertical="center" wrapText="1"/>
    </xf>
    <xf numFmtId="0" fontId="41" fillId="0" borderId="36" xfId="0" applyFont="1" applyBorder="1" applyAlignment="1">
      <alignment vertical="center"/>
    </xf>
    <xf numFmtId="0" fontId="41" fillId="0" borderId="36" xfId="0" applyFont="1" applyBorder="1" applyAlignment="1">
      <alignment vertical="top" wrapText="1"/>
    </xf>
    <xf numFmtId="0" fontId="42" fillId="0" borderId="0" xfId="0" applyFont="1" applyAlignment="1">
      <alignment vertical="center"/>
    </xf>
    <xf numFmtId="0" fontId="43" fillId="0" borderId="0" xfId="0" applyFont="1" applyAlignment="1">
      <alignment vertical="center"/>
    </xf>
    <xf numFmtId="0" fontId="43" fillId="0" borderId="37" xfId="0" applyFont="1" applyBorder="1" applyAlignment="1">
      <alignment vertical="center"/>
    </xf>
    <xf numFmtId="0" fontId="43" fillId="0" borderId="38" xfId="0" applyFont="1" applyBorder="1" applyAlignment="1">
      <alignment horizontal="center" vertical="center"/>
    </xf>
    <xf numFmtId="0" fontId="43" fillId="0" borderId="39" xfId="0" applyFont="1" applyBorder="1" applyAlignment="1">
      <alignment vertical="center"/>
    </xf>
    <xf numFmtId="0" fontId="43" fillId="0" borderId="38" xfId="0" applyFont="1" applyBorder="1" applyAlignment="1">
      <alignment vertical="center"/>
    </xf>
    <xf numFmtId="0" fontId="43" fillId="0" borderId="37" xfId="0" applyFont="1" applyBorder="1" applyAlignment="1">
      <alignment vertical="center" shrinkToFit="1"/>
    </xf>
    <xf numFmtId="0" fontId="43" fillId="0" borderId="39" xfId="0" applyFont="1" applyBorder="1" applyAlignment="1">
      <alignment vertical="center" shrinkToFit="1"/>
    </xf>
    <xf numFmtId="0" fontId="13" fillId="0" borderId="0" xfId="0" applyFont="1" applyAlignment="1">
      <alignment vertical="center" shrinkToFit="1"/>
    </xf>
    <xf numFmtId="0" fontId="13" fillId="0" borderId="40" xfId="0" applyFont="1" applyBorder="1" applyAlignment="1">
      <alignment vertical="center" shrinkToFit="1"/>
    </xf>
    <xf numFmtId="0" fontId="13" fillId="0" borderId="8" xfId="0" applyFont="1" applyBorder="1" applyAlignment="1">
      <alignment horizontal="center" vertical="center" shrinkToFit="1"/>
    </xf>
    <xf numFmtId="0" fontId="13" fillId="0" borderId="41" xfId="0" applyFont="1" applyBorder="1" applyAlignment="1">
      <alignment horizontal="center" vertical="center" shrinkToFit="1"/>
    </xf>
    <xf numFmtId="0" fontId="13" fillId="0" borderId="40" xfId="0" applyFont="1" applyBorder="1" applyAlignment="1">
      <alignment horizontal="center" vertical="center" shrinkToFit="1"/>
    </xf>
    <xf numFmtId="0" fontId="13" fillId="0" borderId="23" xfId="0" applyFont="1" applyBorder="1" applyAlignment="1">
      <alignment horizontal="center" vertical="center" shrinkToFit="1"/>
    </xf>
    <xf numFmtId="0" fontId="13" fillId="0" borderId="36" xfId="0" applyFont="1" applyBorder="1" applyAlignment="1">
      <alignment horizontal="center" vertical="center" shrinkToFit="1"/>
    </xf>
    <xf numFmtId="0" fontId="13" fillId="0" borderId="20" xfId="0" applyFont="1" applyBorder="1" applyAlignment="1">
      <alignment horizontal="center" vertical="center" shrinkToFit="1"/>
    </xf>
    <xf numFmtId="0" fontId="16" fillId="0" borderId="14" xfId="0" applyFont="1" applyBorder="1" applyAlignment="1">
      <alignment horizontal="center" vertical="center" shrinkToFit="1"/>
    </xf>
    <xf numFmtId="0" fontId="16" fillId="0" borderId="45" xfId="0" applyFont="1" applyBorder="1" applyAlignment="1">
      <alignment horizontal="center" vertical="center"/>
    </xf>
    <xf numFmtId="0" fontId="45" fillId="0" borderId="42" xfId="0" applyFont="1" applyBorder="1" applyAlignment="1">
      <alignment horizontal="center" vertical="center"/>
    </xf>
    <xf numFmtId="20" fontId="13" fillId="0" borderId="0" xfId="0" applyNumberFormat="1" applyFont="1" applyAlignment="1">
      <alignment vertical="center"/>
    </xf>
    <xf numFmtId="0" fontId="49" fillId="0" borderId="0" xfId="0" applyFont="1" applyAlignment="1">
      <alignment vertical="center"/>
    </xf>
    <xf numFmtId="0" fontId="50" fillId="0" borderId="0" xfId="0" applyFont="1" applyAlignment="1">
      <alignment horizontal="center" vertical="center" wrapText="1" shrinkToFit="1"/>
    </xf>
    <xf numFmtId="0" fontId="13" fillId="0" borderId="0" xfId="40" applyFont="1" applyAlignment="1">
      <alignment horizontal="center" vertical="center"/>
    </xf>
    <xf numFmtId="0" fontId="16" fillId="0" borderId="0" xfId="40" applyFont="1" applyAlignment="1">
      <alignment horizontal="center" vertical="center"/>
    </xf>
    <xf numFmtId="0" fontId="13" fillId="0" borderId="0" xfId="44" applyFont="1">
      <alignment vertical="center"/>
    </xf>
    <xf numFmtId="0" fontId="13" fillId="0" borderId="0" xfId="42" applyFont="1" applyAlignment="1">
      <alignment horizontal="center" vertical="center"/>
    </xf>
    <xf numFmtId="0" fontId="51" fillId="0" borderId="0" xfId="42" applyFont="1" applyAlignment="1">
      <alignment vertical="center"/>
    </xf>
    <xf numFmtId="0" fontId="41" fillId="0" borderId="0" xfId="42" applyFont="1" applyAlignment="1">
      <alignment horizontal="center" vertical="center"/>
    </xf>
    <xf numFmtId="0" fontId="41" fillId="0" borderId="0" xfId="42" applyFont="1" applyAlignment="1">
      <alignment vertical="center"/>
    </xf>
    <xf numFmtId="0" fontId="41" fillId="0" borderId="40" xfId="42" applyFont="1" applyBorder="1" applyAlignment="1">
      <alignment vertical="center" shrinkToFit="1"/>
    </xf>
    <xf numFmtId="0" fontId="41" fillId="0" borderId="0" xfId="42" applyFont="1" applyAlignment="1">
      <alignment vertical="center" shrinkToFit="1"/>
    </xf>
    <xf numFmtId="0" fontId="41" fillId="0" borderId="72" xfId="42" applyFont="1" applyBorder="1" applyAlignment="1">
      <alignment vertical="center" shrinkToFit="1"/>
    </xf>
    <xf numFmtId="0" fontId="41" fillId="0" borderId="41" xfId="42" applyFont="1" applyBorder="1" applyAlignment="1">
      <alignment vertical="center" shrinkToFit="1"/>
    </xf>
    <xf numFmtId="0" fontId="49" fillId="0" borderId="0" xfId="40" applyFont="1" applyAlignment="1">
      <alignment horizontal="left" vertical="center"/>
    </xf>
    <xf numFmtId="0" fontId="16" fillId="0" borderId="40" xfId="40" applyFont="1" applyBorder="1" applyAlignment="1">
      <alignment horizontal="center" vertical="center"/>
    </xf>
    <xf numFmtId="0" fontId="16" fillId="0" borderId="72" xfId="40" applyFont="1" applyBorder="1" applyAlignment="1">
      <alignment horizontal="center" vertical="center"/>
    </xf>
    <xf numFmtId="0" fontId="16" fillId="0" borderId="41" xfId="40" applyFont="1" applyBorder="1" applyAlignment="1">
      <alignment horizontal="center" vertical="center"/>
    </xf>
    <xf numFmtId="0" fontId="13" fillId="0" borderId="40" xfId="44" applyFont="1" applyBorder="1">
      <alignment vertical="center"/>
    </xf>
    <xf numFmtId="0" fontId="13" fillId="0" borderId="41" xfId="40" applyFont="1" applyBorder="1" applyAlignment="1">
      <alignment horizontal="center" vertical="center"/>
    </xf>
    <xf numFmtId="0" fontId="16" fillId="0" borderId="74" xfId="40" applyFont="1" applyBorder="1" applyAlignment="1">
      <alignment horizontal="center" vertical="center"/>
    </xf>
    <xf numFmtId="0" fontId="41" fillId="0" borderId="40" xfId="42" applyFont="1" applyBorder="1" applyAlignment="1">
      <alignment horizontal="center" vertical="center"/>
    </xf>
    <xf numFmtId="0" fontId="41" fillId="0" borderId="80" xfId="42" applyFont="1" applyBorder="1" applyAlignment="1">
      <alignment vertical="center"/>
    </xf>
    <xf numFmtId="0" fontId="16" fillId="0" borderId="85" xfId="40" applyFont="1" applyBorder="1" applyAlignment="1">
      <alignment horizontal="center" vertical="center" shrinkToFit="1"/>
    </xf>
    <xf numFmtId="0" fontId="52" fillId="0" borderId="0" xfId="40" applyFont="1" applyAlignment="1">
      <alignment horizontal="center" vertical="center"/>
    </xf>
    <xf numFmtId="0" fontId="52" fillId="0" borderId="94" xfId="40" applyFont="1" applyBorder="1" applyAlignment="1">
      <alignment horizontal="center" vertical="center" shrinkToFit="1"/>
    </xf>
    <xf numFmtId="0" fontId="52" fillId="0" borderId="0" xfId="44" applyFont="1">
      <alignment vertical="center"/>
    </xf>
    <xf numFmtId="20" fontId="52" fillId="0" borderId="0" xfId="44" applyNumberFormat="1" applyFont="1">
      <alignment vertical="center"/>
    </xf>
    <xf numFmtId="0" fontId="16" fillId="0" borderId="0" xfId="40" applyFont="1" applyAlignment="1">
      <alignment vertical="center" shrinkToFit="1"/>
    </xf>
    <xf numFmtId="0" fontId="16" fillId="0" borderId="0" xfId="40" applyFont="1" applyAlignment="1">
      <alignment horizontal="center" vertical="center" shrinkToFit="1"/>
    </xf>
    <xf numFmtId="0" fontId="52" fillId="0" borderId="0" xfId="40" applyFont="1" applyAlignment="1">
      <alignment vertical="center" shrinkToFit="1"/>
    </xf>
    <xf numFmtId="0" fontId="52" fillId="0" borderId="0" xfId="40" applyFont="1" applyAlignment="1">
      <alignment horizontal="center" vertical="center" shrinkToFit="1"/>
    </xf>
    <xf numFmtId="0" fontId="16" fillId="0" borderId="0" xfId="40" applyFont="1" applyAlignment="1">
      <alignment vertical="center"/>
    </xf>
    <xf numFmtId="0" fontId="16" fillId="0" borderId="0" xfId="40" applyFont="1" applyAlignment="1">
      <alignment horizontal="right" vertical="center"/>
    </xf>
    <xf numFmtId="0" fontId="16" fillId="0" borderId="14" xfId="40" applyFont="1" applyBorder="1" applyAlignment="1">
      <alignment horizontal="center" vertical="center"/>
    </xf>
    <xf numFmtId="0" fontId="16" fillId="0" borderId="14" xfId="40" applyFont="1" applyBorder="1" applyAlignment="1" applyProtection="1">
      <alignment horizontal="center" vertical="center"/>
      <protection locked="0"/>
    </xf>
    <xf numFmtId="0" fontId="53" fillId="0" borderId="14" xfId="40" applyFont="1" applyBorder="1" applyAlignment="1">
      <alignment horizontal="center" vertical="center"/>
    </xf>
    <xf numFmtId="0" fontId="16" fillId="0" borderId="4" xfId="40" applyFont="1" applyBorder="1" applyAlignment="1">
      <alignment horizontal="center" vertical="center" shrinkToFit="1"/>
    </xf>
    <xf numFmtId="0" fontId="16" fillId="0" borderId="3" xfId="40" applyFont="1" applyBorder="1" applyAlignment="1">
      <alignment horizontal="center" vertical="center" wrapText="1" shrinkToFit="1"/>
    </xf>
    <xf numFmtId="0" fontId="16" fillId="0" borderId="3" xfId="40" applyFont="1" applyBorder="1" applyAlignment="1">
      <alignment horizontal="center" vertical="center" shrinkToFit="1"/>
    </xf>
    <xf numFmtId="0" fontId="16" fillId="15" borderId="42" xfId="40" applyFont="1" applyFill="1" applyBorder="1" applyAlignment="1">
      <alignment horizontal="center" vertical="center" shrinkToFit="1"/>
    </xf>
    <xf numFmtId="0" fontId="16" fillId="15" borderId="43" xfId="40" applyFont="1" applyFill="1" applyBorder="1" applyAlignment="1">
      <alignment horizontal="center" vertical="center" shrinkToFit="1"/>
    </xf>
    <xf numFmtId="0" fontId="16" fillId="15" borderId="98" xfId="40" applyFont="1" applyFill="1" applyBorder="1" applyAlignment="1">
      <alignment horizontal="center" vertical="center" shrinkToFit="1"/>
    </xf>
    <xf numFmtId="0" fontId="16" fillId="0" borderId="84" xfId="40" applyFont="1" applyBorder="1" applyAlignment="1">
      <alignment horizontal="center" vertical="center" shrinkToFit="1"/>
    </xf>
    <xf numFmtId="0" fontId="16" fillId="0" borderId="86" xfId="40" applyFont="1" applyBorder="1" applyAlignment="1">
      <alignment horizontal="center" vertical="center" shrinkToFit="1"/>
    </xf>
    <xf numFmtId="0" fontId="16" fillId="15" borderId="0" xfId="40" applyFont="1" applyFill="1" applyAlignment="1">
      <alignment horizontal="center" vertical="center" shrinkToFit="1"/>
    </xf>
    <xf numFmtId="0" fontId="16" fillId="15" borderId="80" xfId="40" applyFont="1" applyFill="1" applyBorder="1" applyAlignment="1">
      <alignment horizontal="center" vertical="center" shrinkToFit="1"/>
    </xf>
    <xf numFmtId="0" fontId="16" fillId="0" borderId="34" xfId="40" applyFont="1" applyBorder="1" applyAlignment="1">
      <alignment horizontal="center" vertical="center" shrinkToFit="1"/>
    </xf>
    <xf numFmtId="0" fontId="16" fillId="15" borderId="57" xfId="40" applyFont="1" applyFill="1" applyBorder="1" applyAlignment="1">
      <alignment horizontal="center" vertical="center" shrinkToFit="1"/>
    </xf>
    <xf numFmtId="0" fontId="54" fillId="15" borderId="33" xfId="40" applyFont="1" applyFill="1" applyBorder="1" applyAlignment="1">
      <alignment horizontal="center" vertical="center" shrinkToFit="1"/>
    </xf>
    <xf numFmtId="0" fontId="13" fillId="15" borderId="35" xfId="40" applyFont="1" applyFill="1" applyBorder="1" applyAlignment="1">
      <alignment horizontal="center" vertical="center" shrinkToFit="1"/>
    </xf>
    <xf numFmtId="0" fontId="54" fillId="0" borderId="0" xfId="40" applyFont="1" applyAlignment="1">
      <alignment horizontal="center" vertical="center" shrinkToFit="1"/>
    </xf>
    <xf numFmtId="0" fontId="16" fillId="0" borderId="35" xfId="40" applyFont="1" applyBorder="1" applyAlignment="1">
      <alignment horizontal="center" vertical="center" shrinkToFit="1"/>
    </xf>
    <xf numFmtId="0" fontId="16" fillId="0" borderId="33" xfId="40" applyFont="1" applyBorder="1" applyAlignment="1">
      <alignment horizontal="center" vertical="center" shrinkToFit="1"/>
    </xf>
    <xf numFmtId="0" fontId="54" fillId="0" borderId="100" xfId="40" applyFont="1" applyBorder="1" applyAlignment="1">
      <alignment horizontal="center" vertical="center" shrinkToFit="1"/>
    </xf>
    <xf numFmtId="0" fontId="16" fillId="15" borderId="33" xfId="40" applyFont="1" applyFill="1" applyBorder="1" applyAlignment="1">
      <alignment horizontal="center" vertical="center" shrinkToFit="1"/>
    </xf>
    <xf numFmtId="0" fontId="16" fillId="0" borderId="101" xfId="40" applyFont="1" applyBorder="1" applyAlignment="1">
      <alignment horizontal="center" vertical="center" shrinkToFit="1"/>
    </xf>
    <xf numFmtId="0" fontId="16" fillId="0" borderId="102" xfId="40" applyFont="1" applyBorder="1" applyAlignment="1">
      <alignment horizontal="center" vertical="center" shrinkToFit="1"/>
    </xf>
    <xf numFmtId="0" fontId="16" fillId="0" borderId="103" xfId="40" applyFont="1" applyBorder="1" applyAlignment="1">
      <alignment horizontal="center" vertical="center" shrinkToFit="1"/>
    </xf>
    <xf numFmtId="0" fontId="16" fillId="15" borderId="31" xfId="40" applyFont="1" applyFill="1" applyBorder="1" applyAlignment="1">
      <alignment horizontal="center" vertical="center" shrinkToFit="1"/>
    </xf>
    <xf numFmtId="0" fontId="16" fillId="15" borderId="55" xfId="40" applyFont="1" applyFill="1" applyBorder="1" applyAlignment="1">
      <alignment horizontal="center" vertical="center" shrinkToFit="1"/>
    </xf>
    <xf numFmtId="0" fontId="16" fillId="15" borderId="32" xfId="40" applyFont="1" applyFill="1" applyBorder="1" applyAlignment="1">
      <alignment horizontal="center" vertical="center" shrinkToFit="1"/>
    </xf>
    <xf numFmtId="0" fontId="16" fillId="0" borderId="104" xfId="40" applyFont="1" applyBorder="1" applyAlignment="1">
      <alignment horizontal="center" vertical="center" shrinkToFit="1"/>
    </xf>
    <xf numFmtId="0" fontId="16" fillId="0" borderId="24" xfId="40" applyFont="1" applyBorder="1" applyAlignment="1">
      <alignment horizontal="center" vertical="center" shrinkToFit="1"/>
    </xf>
    <xf numFmtId="0" fontId="16" fillId="0" borderId="57" xfId="40" applyFont="1" applyBorder="1" applyAlignment="1">
      <alignment horizontal="center" vertical="center" shrinkToFit="1"/>
    </xf>
    <xf numFmtId="0" fontId="16" fillId="15" borderId="34" xfId="40" applyFont="1" applyFill="1" applyBorder="1" applyAlignment="1">
      <alignment horizontal="center" vertical="center" shrinkToFit="1"/>
    </xf>
    <xf numFmtId="0" fontId="16" fillId="15" borderId="35" xfId="40" applyFont="1" applyFill="1" applyBorder="1" applyAlignment="1">
      <alignment horizontal="center" vertical="center" shrinkToFit="1"/>
    </xf>
    <xf numFmtId="0" fontId="16" fillId="0" borderId="34" xfId="40" applyFont="1" applyBorder="1" applyAlignment="1" applyProtection="1">
      <alignment horizontal="center" vertical="center" shrinkToFit="1"/>
      <protection locked="0"/>
    </xf>
    <xf numFmtId="0" fontId="16" fillId="0" borderId="35" xfId="40" applyFont="1" applyBorder="1" applyAlignment="1" applyProtection="1">
      <alignment horizontal="center" vertical="center" shrinkToFit="1"/>
      <protection locked="0"/>
    </xf>
    <xf numFmtId="0" fontId="16" fillId="0" borderId="90" xfId="40" applyFont="1" applyBorder="1" applyAlignment="1">
      <alignment horizontal="center" vertical="center" shrinkToFit="1"/>
    </xf>
    <xf numFmtId="0" fontId="54" fillId="0" borderId="36" xfId="40" applyFont="1" applyBorder="1" applyAlignment="1">
      <alignment horizontal="center" vertical="center" shrinkToFit="1"/>
    </xf>
    <xf numFmtId="0" fontId="16" fillId="0" borderId="105" xfId="40" applyFont="1" applyBorder="1" applyAlignment="1">
      <alignment horizontal="center" vertical="center" shrinkToFit="1"/>
    </xf>
    <xf numFmtId="0" fontId="16" fillId="0" borderId="96" xfId="40" applyFont="1" applyBorder="1" applyAlignment="1" applyProtection="1">
      <alignment horizontal="center" vertical="center" shrinkToFit="1"/>
      <protection locked="0"/>
    </xf>
    <xf numFmtId="0" fontId="16" fillId="0" borderId="105" xfId="40" applyFont="1" applyBorder="1" applyAlignment="1" applyProtection="1">
      <alignment horizontal="center" vertical="center" shrinkToFit="1"/>
      <protection locked="0"/>
    </xf>
    <xf numFmtId="0" fontId="16" fillId="15" borderId="96" xfId="40" applyFont="1" applyFill="1" applyBorder="1" applyAlignment="1">
      <alignment horizontal="center" vertical="center" shrinkToFit="1"/>
    </xf>
    <xf numFmtId="0" fontId="54" fillId="15" borderId="36" xfId="40" applyFont="1" applyFill="1" applyBorder="1" applyAlignment="1">
      <alignment horizontal="center" vertical="center" shrinkToFit="1"/>
    </xf>
    <xf numFmtId="0" fontId="16" fillId="15" borderId="105" xfId="40" applyFont="1" applyFill="1" applyBorder="1" applyAlignment="1">
      <alignment horizontal="center" vertical="center" shrinkToFit="1"/>
    </xf>
    <xf numFmtId="0" fontId="16" fillId="0" borderId="36" xfId="40" applyFont="1" applyBorder="1" applyAlignment="1">
      <alignment horizontal="center" vertical="center" shrinkToFit="1"/>
    </xf>
    <xf numFmtId="0" fontId="13" fillId="0" borderId="0" xfId="40" applyFont="1" applyAlignment="1">
      <alignment horizontal="center" vertical="center" shrinkToFit="1"/>
    </xf>
    <xf numFmtId="0" fontId="13" fillId="0" borderId="0" xfId="44" applyFont="1" applyAlignment="1">
      <alignment vertical="center" shrinkToFit="1"/>
    </xf>
    <xf numFmtId="0" fontId="0" fillId="0" borderId="0" xfId="0" applyAlignment="1">
      <alignment horizontal="center" vertical="center"/>
    </xf>
    <xf numFmtId="0" fontId="58" fillId="0" borderId="0" xfId="0" applyFont="1" applyAlignment="1">
      <alignment horizontal="center" vertical="center"/>
    </xf>
    <xf numFmtId="0" fontId="59" fillId="0" borderId="0" xfId="41" applyFont="1">
      <alignment vertical="center"/>
    </xf>
    <xf numFmtId="0" fontId="60" fillId="0" borderId="0" xfId="41" applyFont="1">
      <alignment vertical="center"/>
    </xf>
    <xf numFmtId="0" fontId="0" fillId="0" borderId="0" xfId="0" applyAlignment="1">
      <alignment vertical="center"/>
    </xf>
    <xf numFmtId="0" fontId="60" fillId="0" borderId="0" xfId="41" applyFont="1" applyAlignment="1">
      <alignment horizontal="center" vertical="center"/>
    </xf>
    <xf numFmtId="0" fontId="0" fillId="8" borderId="106" xfId="0" applyFill="1" applyBorder="1" applyAlignment="1">
      <alignment horizontal="center" vertical="center"/>
    </xf>
    <xf numFmtId="0" fontId="0" fillId="8" borderId="109" xfId="0" applyFill="1" applyBorder="1" applyAlignment="1">
      <alignment horizontal="center" vertical="center"/>
    </xf>
    <xf numFmtId="0" fontId="0" fillId="8" borderId="111" xfId="0" applyFill="1" applyBorder="1" applyAlignment="1">
      <alignment horizontal="center" vertical="center"/>
    </xf>
    <xf numFmtId="0" fontId="0" fillId="0" borderId="14" xfId="0" applyBorder="1" applyAlignment="1">
      <alignment horizontal="center" vertical="center"/>
    </xf>
    <xf numFmtId="0" fontId="0" fillId="0" borderId="43" xfId="0" applyBorder="1" applyAlignment="1">
      <alignment horizontal="center" vertical="center"/>
    </xf>
    <xf numFmtId="0" fontId="0" fillId="0" borderId="14" xfId="0" applyBorder="1" applyAlignment="1">
      <alignment horizontal="center" vertical="center" wrapText="1"/>
    </xf>
    <xf numFmtId="0" fontId="0" fillId="0" borderId="116" xfId="0" applyBorder="1" applyAlignment="1">
      <alignment horizontal="center" vertical="center"/>
    </xf>
    <xf numFmtId="20" fontId="0" fillId="0" borderId="118" xfId="0" applyNumberFormat="1" applyBorder="1" applyAlignment="1">
      <alignment horizontal="center" vertical="center"/>
    </xf>
    <xf numFmtId="0" fontId="0" fillId="0" borderId="119" xfId="0" applyBorder="1" applyAlignment="1">
      <alignment horizontal="center" vertical="center"/>
    </xf>
    <xf numFmtId="0" fontId="0" fillId="6" borderId="120" xfId="0" applyFill="1" applyBorder="1" applyAlignment="1">
      <alignment horizontal="center" vertical="center"/>
    </xf>
    <xf numFmtId="0" fontId="0" fillId="0" borderId="121" xfId="0" applyBorder="1" applyAlignment="1">
      <alignment horizontal="center" vertical="center"/>
    </xf>
    <xf numFmtId="20" fontId="0" fillId="0" borderId="122" xfId="0" applyNumberFormat="1" applyBorder="1" applyAlignment="1">
      <alignment horizontal="center" vertical="center"/>
    </xf>
    <xf numFmtId="0" fontId="0" fillId="8" borderId="123" xfId="0" applyFill="1" applyBorder="1" applyAlignment="1">
      <alignment horizontal="center" vertical="center"/>
    </xf>
    <xf numFmtId="0" fontId="0" fillId="0" borderId="123" xfId="0" applyBorder="1" applyAlignment="1">
      <alignment horizontal="center" vertical="center"/>
    </xf>
    <xf numFmtId="0" fontId="0" fillId="6" borderId="124" xfId="0" applyFill="1" applyBorder="1" applyAlignment="1">
      <alignment horizontal="center" vertical="center"/>
    </xf>
    <xf numFmtId="0" fontId="0" fillId="8" borderId="125" xfId="0" applyFill="1" applyBorder="1" applyAlignment="1">
      <alignment horizontal="center" vertical="center"/>
    </xf>
    <xf numFmtId="20" fontId="0" fillId="0" borderId="90" xfId="0" applyNumberFormat="1" applyBorder="1" applyAlignment="1">
      <alignment horizontal="center" vertical="center"/>
    </xf>
    <xf numFmtId="0" fontId="0" fillId="8" borderId="36" xfId="0" applyFill="1" applyBorder="1" applyAlignment="1">
      <alignment horizontal="center" vertical="center"/>
    </xf>
    <xf numFmtId="0" fontId="0" fillId="0" borderId="36" xfId="0" applyBorder="1" applyAlignment="1">
      <alignment horizontal="center" vertical="center"/>
    </xf>
    <xf numFmtId="0" fontId="0" fillId="6" borderId="126" xfId="0" applyFill="1" applyBorder="1" applyAlignment="1">
      <alignment horizontal="center" vertical="center"/>
    </xf>
    <xf numFmtId="0" fontId="0" fillId="8" borderId="73" xfId="0" applyFill="1" applyBorder="1" applyAlignment="1">
      <alignment horizontal="center" vertical="center"/>
    </xf>
    <xf numFmtId="0" fontId="0" fillId="0" borderId="14" xfId="0" applyBorder="1" applyAlignment="1">
      <alignment horizontal="center" vertical="center" shrinkToFit="1"/>
    </xf>
    <xf numFmtId="0" fontId="0" fillId="8" borderId="14" xfId="0" applyFill="1" applyBorder="1" applyAlignment="1">
      <alignment horizontal="center" vertical="center" shrinkToFit="1"/>
    </xf>
    <xf numFmtId="0" fontId="0" fillId="8" borderId="45" xfId="0" applyFill="1" applyBorder="1" applyAlignment="1">
      <alignment horizontal="center" vertical="center" shrinkToFit="1"/>
    </xf>
    <xf numFmtId="20" fontId="0" fillId="0" borderId="127" xfId="0" applyNumberFormat="1" applyBorder="1" applyAlignment="1">
      <alignment horizontal="center" vertical="center"/>
    </xf>
    <xf numFmtId="0" fontId="0" fillId="8" borderId="128" xfId="0" applyFill="1" applyBorder="1" applyAlignment="1">
      <alignment horizontal="center" vertical="center"/>
    </xf>
    <xf numFmtId="0" fontId="0" fillId="0" borderId="128" xfId="0" applyBorder="1" applyAlignment="1">
      <alignment horizontal="center" vertical="center"/>
    </xf>
    <xf numFmtId="0" fontId="0" fillId="8" borderId="129" xfId="0" applyFill="1" applyBorder="1" applyAlignment="1">
      <alignment horizontal="center" vertical="center"/>
    </xf>
    <xf numFmtId="20" fontId="0" fillId="0" borderId="130" xfId="0" applyNumberFormat="1" applyBorder="1" applyAlignment="1">
      <alignment horizontal="center" vertical="center"/>
    </xf>
    <xf numFmtId="0" fontId="0" fillId="8" borderId="131" xfId="0" applyFill="1" applyBorder="1" applyAlignment="1">
      <alignment horizontal="center" vertical="center"/>
    </xf>
    <xf numFmtId="0" fontId="0" fillId="0" borderId="131" xfId="0" applyBorder="1" applyAlignment="1">
      <alignment horizontal="center" vertical="center"/>
    </xf>
    <xf numFmtId="0" fontId="0" fillId="8" borderId="132" xfId="0" applyFill="1" applyBorder="1" applyAlignment="1">
      <alignment horizontal="center" vertical="center"/>
    </xf>
    <xf numFmtId="20" fontId="0" fillId="0" borderId="0" xfId="0" applyNumberFormat="1" applyAlignment="1">
      <alignment horizontal="center" vertical="center"/>
    </xf>
    <xf numFmtId="0" fontId="0" fillId="0" borderId="0" xfId="41" applyFont="1">
      <alignment vertical="center"/>
    </xf>
    <xf numFmtId="0" fontId="46" fillId="0" borderId="0" xfId="0" applyFont="1" applyAlignment="1">
      <alignment vertical="center"/>
    </xf>
    <xf numFmtId="0" fontId="49" fillId="0" borderId="0" xfId="0" applyFont="1" applyAlignment="1">
      <alignment horizontal="center" vertical="center"/>
    </xf>
    <xf numFmtId="0" fontId="13" fillId="0" borderId="45" xfId="0" applyFont="1" applyBorder="1" applyAlignment="1">
      <alignment horizontal="center" vertical="center"/>
    </xf>
    <xf numFmtId="0" fontId="13" fillId="0" borderId="68" xfId="0" applyFont="1" applyBorder="1" applyAlignment="1">
      <alignment horizontal="center" vertical="center" wrapText="1"/>
    </xf>
    <xf numFmtId="0" fontId="52" fillId="0" borderId="0" xfId="0" applyFont="1" applyAlignment="1">
      <alignment vertical="center" shrinkToFit="1"/>
    </xf>
    <xf numFmtId="0" fontId="52" fillId="0" borderId="0" xfId="0" applyFont="1" applyAlignment="1">
      <alignment vertical="center"/>
    </xf>
    <xf numFmtId="0" fontId="13" fillId="0" borderId="0" xfId="0" applyFont="1" applyAlignment="1">
      <alignment horizontal="center" vertical="center" shrinkToFit="1"/>
    </xf>
    <xf numFmtId="0" fontId="13" fillId="0" borderId="41" xfId="0" applyFont="1" applyBorder="1" applyAlignment="1">
      <alignment vertical="center"/>
    </xf>
    <xf numFmtId="0" fontId="13" fillId="0" borderId="90" xfId="0" applyFont="1" applyBorder="1" applyAlignment="1">
      <alignment vertical="center"/>
    </xf>
    <xf numFmtId="0" fontId="13" fillId="0" borderId="36" xfId="0" applyFont="1" applyBorder="1" applyAlignment="1">
      <alignment vertical="center"/>
    </xf>
    <xf numFmtId="0" fontId="13" fillId="0" borderId="73" xfId="0" applyFont="1" applyBorder="1" applyAlignment="1">
      <alignment vertical="center"/>
    </xf>
    <xf numFmtId="0" fontId="41" fillId="0" borderId="42" xfId="0" applyFont="1" applyBorder="1" applyAlignment="1">
      <alignment horizontal="center" vertical="center"/>
    </xf>
    <xf numFmtId="0" fontId="41" fillId="0" borderId="43" xfId="0" applyFont="1" applyBorder="1" applyAlignment="1">
      <alignment horizontal="center" vertical="center"/>
    </xf>
    <xf numFmtId="0" fontId="13" fillId="0" borderId="43" xfId="0" applyFont="1" applyBorder="1" applyAlignment="1">
      <alignment vertical="center"/>
    </xf>
    <xf numFmtId="0" fontId="41" fillId="0" borderId="44" xfId="0" applyFont="1" applyBorder="1" applyAlignment="1">
      <alignment horizontal="center" vertical="center"/>
    </xf>
    <xf numFmtId="0" fontId="52" fillId="0" borderId="0" xfId="0" applyFont="1" applyAlignment="1">
      <alignment horizontal="left" vertical="center"/>
    </xf>
    <xf numFmtId="0" fontId="13" fillId="0" borderId="31" xfId="0" applyFont="1" applyBorder="1" applyAlignment="1">
      <alignment vertical="center"/>
    </xf>
    <xf numFmtId="0" fontId="13" fillId="0" borderId="55" xfId="0" applyFont="1" applyBorder="1" applyAlignment="1">
      <alignment vertical="center"/>
    </xf>
    <xf numFmtId="0" fontId="13" fillId="0" borderId="55" xfId="0" applyFont="1" applyBorder="1" applyAlignment="1">
      <alignment horizontal="center" vertical="center"/>
    </xf>
    <xf numFmtId="0" fontId="13" fillId="0" borderId="32" xfId="0" applyFont="1" applyBorder="1" applyAlignment="1">
      <alignment horizontal="center" vertical="center"/>
    </xf>
    <xf numFmtId="0" fontId="13" fillId="0" borderId="66" xfId="0" applyFont="1" applyBorder="1" applyAlignment="1">
      <alignment vertical="center"/>
    </xf>
    <xf numFmtId="0" fontId="62" fillId="0" borderId="0" xfId="0" applyFont="1" applyAlignment="1">
      <alignment horizontal="center" vertical="center"/>
    </xf>
    <xf numFmtId="0" fontId="13" fillId="0" borderId="35" xfId="0" applyFont="1" applyBorder="1" applyAlignment="1">
      <alignment horizontal="center" vertical="center"/>
    </xf>
    <xf numFmtId="0" fontId="13" fillId="0" borderId="33" xfId="0" applyFont="1" applyBorder="1" applyAlignment="1">
      <alignment vertical="center"/>
    </xf>
    <xf numFmtId="0" fontId="13" fillId="0" borderId="45" xfId="0" applyFont="1" applyBorder="1" applyAlignment="1">
      <alignment horizontal="center" vertical="center" shrinkToFit="1"/>
    </xf>
    <xf numFmtId="0" fontId="13" fillId="0" borderId="55" xfId="0" applyFont="1" applyBorder="1" applyAlignment="1">
      <alignment horizontal="center" vertical="center" shrinkToFit="1"/>
    </xf>
    <xf numFmtId="18" fontId="41" fillId="0" borderId="0" xfId="0" quotePrefix="1" applyNumberFormat="1" applyFont="1" applyAlignment="1">
      <alignment horizontal="right" vertical="center"/>
    </xf>
    <xf numFmtId="0" fontId="41" fillId="0" borderId="45" xfId="0" applyFont="1" applyBorder="1" applyAlignment="1">
      <alignment horizontal="left" vertical="center"/>
    </xf>
    <xf numFmtId="0" fontId="13" fillId="0" borderId="45" xfId="0" applyFont="1" applyBorder="1" applyAlignment="1">
      <alignment vertical="center"/>
    </xf>
    <xf numFmtId="0" fontId="62" fillId="0" borderId="0" xfId="0" applyFont="1" applyAlignment="1">
      <alignment vertical="center"/>
    </xf>
    <xf numFmtId="0" fontId="62" fillId="0" borderId="31" xfId="0" applyFont="1" applyBorder="1" applyAlignment="1">
      <alignment vertical="center"/>
    </xf>
    <xf numFmtId="0" fontId="62" fillId="0" borderId="32" xfId="0" applyFont="1" applyBorder="1" applyAlignment="1">
      <alignment horizontal="center" vertical="center"/>
    </xf>
    <xf numFmtId="0" fontId="62" fillId="0" borderId="66" xfId="0" applyFont="1" applyBorder="1" applyAlignment="1">
      <alignment vertical="center"/>
    </xf>
    <xf numFmtId="0" fontId="62" fillId="0" borderId="80" xfId="0" applyFont="1" applyBorder="1" applyAlignment="1">
      <alignment horizontal="center" vertical="center"/>
    </xf>
    <xf numFmtId="0" fontId="52" fillId="0" borderId="45" xfId="0" applyFont="1" applyBorder="1" applyAlignment="1">
      <alignment vertical="center"/>
    </xf>
    <xf numFmtId="0" fontId="52" fillId="0" borderId="0" xfId="0" applyFont="1" applyAlignment="1">
      <alignment horizontal="center" vertical="center"/>
    </xf>
    <xf numFmtId="0" fontId="13" fillId="0" borderId="33" xfId="0" applyFont="1" applyBorder="1" applyAlignment="1">
      <alignment horizontal="center" vertical="center"/>
    </xf>
    <xf numFmtId="0" fontId="13" fillId="0" borderId="0" xfId="0" applyFont="1" applyAlignment="1">
      <alignment horizontal="center" vertical="center" wrapText="1"/>
    </xf>
    <xf numFmtId="0" fontId="13" fillId="0" borderId="80" xfId="0" applyFont="1" applyBorder="1" applyAlignment="1">
      <alignment vertical="center"/>
    </xf>
    <xf numFmtId="0" fontId="13" fillId="0" borderId="34" xfId="0" applyFont="1" applyBorder="1" applyAlignment="1">
      <alignment vertical="center"/>
    </xf>
    <xf numFmtId="0" fontId="13" fillId="0" borderId="35" xfId="0" applyFont="1" applyBorder="1" applyAlignment="1">
      <alignment vertical="center"/>
    </xf>
    <xf numFmtId="0" fontId="42" fillId="0" borderId="0" xfId="0" applyFont="1" applyAlignment="1">
      <alignment horizontal="center" vertical="center"/>
    </xf>
    <xf numFmtId="0" fontId="41" fillId="0" borderId="0" xfId="0" applyFont="1" applyAlignment="1">
      <alignment horizontal="center" vertical="center"/>
    </xf>
    <xf numFmtId="0" fontId="0" fillId="0" borderId="120" xfId="0" applyBorder="1" applyAlignment="1">
      <alignment horizontal="center" vertical="center"/>
    </xf>
    <xf numFmtId="0" fontId="0" fillId="8" borderId="128" xfId="0" applyFill="1" applyBorder="1" applyAlignment="1">
      <alignment horizontal="center" vertical="center" shrinkToFit="1"/>
    </xf>
    <xf numFmtId="0" fontId="0" fillId="0" borderId="124" xfId="0" applyBorder="1" applyAlignment="1">
      <alignment horizontal="center" vertical="center"/>
    </xf>
    <xf numFmtId="0" fontId="0" fillId="8" borderId="129" xfId="0" applyFill="1" applyBorder="1" applyAlignment="1">
      <alignment horizontal="center" vertical="center" shrinkToFit="1"/>
    </xf>
    <xf numFmtId="20" fontId="0" fillId="0" borderId="133" xfId="0" applyNumberFormat="1" applyBorder="1" applyAlignment="1">
      <alignment horizontal="center" vertical="center"/>
    </xf>
    <xf numFmtId="0" fontId="0" fillId="8" borderId="134" xfId="0" applyFill="1" applyBorder="1" applyAlignment="1">
      <alignment horizontal="center" vertical="center"/>
    </xf>
    <xf numFmtId="0" fontId="0" fillId="0" borderId="134" xfId="0" applyBorder="1" applyAlignment="1">
      <alignment horizontal="center" vertical="center"/>
    </xf>
    <xf numFmtId="0" fontId="0" fillId="0" borderId="135" xfId="0" applyBorder="1" applyAlignment="1">
      <alignment horizontal="center" vertical="center"/>
    </xf>
    <xf numFmtId="0" fontId="0" fillId="8" borderId="136" xfId="0" applyFill="1" applyBorder="1" applyAlignment="1">
      <alignment horizontal="center" vertical="center"/>
    </xf>
    <xf numFmtId="0" fontId="0" fillId="0" borderId="126" xfId="0" applyBorder="1" applyAlignment="1">
      <alignment horizontal="center" vertical="center"/>
    </xf>
    <xf numFmtId="0" fontId="0" fillId="14" borderId="14" xfId="0" applyFill="1" applyBorder="1" applyAlignment="1">
      <alignment horizontal="center" vertical="center" shrinkToFit="1"/>
    </xf>
    <xf numFmtId="0" fontId="5" fillId="0" borderId="0" xfId="37" applyAlignment="1">
      <alignment horizontal="center" vertical="center"/>
    </xf>
    <xf numFmtId="0" fontId="5" fillId="0" borderId="0" xfId="37" applyAlignment="1">
      <alignment vertical="center"/>
    </xf>
    <xf numFmtId="0" fontId="5" fillId="0" borderId="36" xfId="37" applyBorder="1" applyAlignment="1">
      <alignment horizontal="center" vertical="center"/>
    </xf>
    <xf numFmtId="0" fontId="66" fillId="0" borderId="43" xfId="37" applyFont="1" applyBorder="1" applyAlignment="1">
      <alignment horizontal="center" vertical="center" shrinkToFit="1"/>
    </xf>
    <xf numFmtId="0" fontId="66" fillId="0" borderId="98" xfId="37" applyFont="1" applyBorder="1" applyAlignment="1">
      <alignment horizontal="center" vertical="center" shrinkToFit="1"/>
    </xf>
    <xf numFmtId="0" fontId="65" fillId="0" borderId="75" xfId="37" applyFont="1" applyBorder="1" applyAlignment="1">
      <alignment horizontal="center" vertical="center" shrinkToFit="1"/>
    </xf>
    <xf numFmtId="0" fontId="65" fillId="0" borderId="11" xfId="37" applyFont="1" applyBorder="1" applyAlignment="1">
      <alignment horizontal="center" vertical="center" shrinkToFit="1"/>
    </xf>
    <xf numFmtId="0" fontId="66" fillId="0" borderId="87" xfId="37" applyFont="1" applyBorder="1" applyAlignment="1">
      <alignment horizontal="center" vertical="center" shrinkToFit="1"/>
    </xf>
    <xf numFmtId="0" fontId="65" fillId="0" borderId="87" xfId="37" applyFont="1" applyBorder="1" applyAlignment="1">
      <alignment horizontal="center" vertical="center" shrinkToFit="1"/>
    </xf>
    <xf numFmtId="0" fontId="65" fillId="0" borderId="31" xfId="37" applyFont="1" applyBorder="1" applyAlignment="1">
      <alignment horizontal="center" vertical="center" shrinkToFit="1"/>
    </xf>
    <xf numFmtId="0" fontId="65" fillId="0" borderId="32" xfId="37" applyFont="1" applyBorder="1" applyAlignment="1">
      <alignment horizontal="center" vertical="center" shrinkToFit="1"/>
    </xf>
    <xf numFmtId="0" fontId="65" fillId="0" borderId="34" xfId="37" applyFont="1" applyBorder="1" applyAlignment="1">
      <alignment horizontal="center" vertical="center" shrinkToFit="1"/>
    </xf>
    <xf numFmtId="0" fontId="65" fillId="0" borderId="35" xfId="37" applyFont="1" applyBorder="1" applyAlignment="1">
      <alignment horizontal="center" vertical="center" shrinkToFit="1"/>
    </xf>
    <xf numFmtId="0" fontId="65" fillId="0" borderId="66" xfId="37" applyFont="1" applyBorder="1" applyAlignment="1">
      <alignment horizontal="center" vertical="center" shrinkToFit="1"/>
    </xf>
    <xf numFmtId="0" fontId="65" fillId="0" borderId="16" xfId="37" applyFont="1" applyBorder="1" applyAlignment="1">
      <alignment horizontal="center" vertical="center" shrinkToFit="1"/>
    </xf>
    <xf numFmtId="0" fontId="67" fillId="0" borderId="0" xfId="37" applyFont="1" applyAlignment="1">
      <alignment horizontal="center" vertical="center" shrinkToFit="1"/>
    </xf>
    <xf numFmtId="0" fontId="67" fillId="0" borderId="0" xfId="37" applyFont="1" applyAlignment="1">
      <alignment vertical="center" shrinkToFit="1"/>
    </xf>
    <xf numFmtId="0" fontId="65" fillId="0" borderId="141" xfId="37" applyFont="1" applyBorder="1" applyAlignment="1">
      <alignment horizontal="center" vertical="center" shrinkToFit="1"/>
    </xf>
    <xf numFmtId="0" fontId="65" fillId="0" borderId="142" xfId="37" applyFont="1" applyBorder="1" applyAlignment="1">
      <alignment horizontal="center" vertical="center" shrinkToFit="1"/>
    </xf>
    <xf numFmtId="0" fontId="65" fillId="0" borderId="143" xfId="37" applyFont="1" applyBorder="1" applyAlignment="1">
      <alignment horizontal="center" vertical="center" shrinkToFit="1"/>
    </xf>
    <xf numFmtId="0" fontId="65" fillId="0" borderId="144" xfId="37" applyFont="1" applyBorder="1" applyAlignment="1">
      <alignment horizontal="center" vertical="center" shrinkToFit="1"/>
    </xf>
    <xf numFmtId="0" fontId="65" fillId="0" borderId="55" xfId="37" applyFont="1" applyBorder="1" applyAlignment="1">
      <alignment vertical="center"/>
    </xf>
    <xf numFmtId="0" fontId="65" fillId="0" borderId="0" xfId="37" applyFont="1" applyAlignment="1">
      <alignment vertical="center"/>
    </xf>
    <xf numFmtId="0" fontId="65" fillId="0" borderId="147" xfId="37" applyFont="1" applyBorder="1" applyAlignment="1">
      <alignment vertical="center"/>
    </xf>
    <xf numFmtId="0" fontId="65" fillId="0" borderId="148" xfId="37" applyFont="1" applyBorder="1" applyAlignment="1">
      <alignment vertical="center"/>
    </xf>
    <xf numFmtId="0" fontId="65" fillId="0" borderId="56" xfId="37" applyFont="1" applyBorder="1" applyAlignment="1">
      <alignment vertical="center"/>
    </xf>
    <xf numFmtId="0" fontId="65" fillId="0" borderId="80" xfId="37" applyFont="1" applyBorder="1" applyAlignment="1">
      <alignment horizontal="center" vertical="center" shrinkToFit="1"/>
    </xf>
    <xf numFmtId="0" fontId="65" fillId="0" borderId="149" xfId="37" applyFont="1" applyBorder="1" applyAlignment="1">
      <alignment horizontal="center" vertical="center" shrinkToFit="1"/>
    </xf>
    <xf numFmtId="0" fontId="65" fillId="0" borderId="153" xfId="37" applyFont="1" applyBorder="1" applyAlignment="1">
      <alignment horizontal="center" vertical="center" shrinkToFit="1"/>
    </xf>
    <xf numFmtId="0" fontId="65" fillId="0" borderId="33" xfId="37" applyFont="1" applyBorder="1" applyAlignment="1">
      <alignment vertical="center"/>
    </xf>
    <xf numFmtId="0" fontId="65" fillId="0" borderId="156" xfId="37" applyFont="1" applyBorder="1" applyAlignment="1">
      <alignment vertical="center"/>
    </xf>
    <xf numFmtId="0" fontId="65" fillId="0" borderId="138" xfId="37" applyFont="1" applyBorder="1" applyAlignment="1">
      <alignment vertical="center"/>
    </xf>
    <xf numFmtId="0" fontId="65" fillId="0" borderId="58" xfId="37" applyFont="1" applyBorder="1" applyAlignment="1">
      <alignment vertical="center"/>
    </xf>
    <xf numFmtId="0" fontId="67" fillId="0" borderId="54" xfId="37" applyFont="1" applyBorder="1" applyAlignment="1">
      <alignment horizontal="center" vertical="center" shrinkToFit="1"/>
    </xf>
    <xf numFmtId="0" fontId="67" fillId="0" borderId="55" xfId="37" applyFont="1" applyBorder="1" applyAlignment="1">
      <alignment horizontal="center" vertical="center" shrinkToFit="1"/>
    </xf>
    <xf numFmtId="0" fontId="67" fillId="0" borderId="32" xfId="37" applyFont="1" applyBorder="1" applyAlignment="1">
      <alignment horizontal="center" vertical="center" shrinkToFit="1"/>
    </xf>
    <xf numFmtId="0" fontId="67" fillId="0" borderId="14" xfId="37" applyFont="1" applyBorder="1" applyAlignment="1">
      <alignment horizontal="center" vertical="center" shrinkToFit="1"/>
    </xf>
    <xf numFmtId="0" fontId="67" fillId="0" borderId="45" xfId="37" applyFont="1" applyBorder="1" applyAlignment="1">
      <alignment horizontal="center" vertical="center" shrinkToFit="1"/>
    </xf>
    <xf numFmtId="0" fontId="67" fillId="0" borderId="16" xfId="37" applyFont="1" applyBorder="1" applyAlignment="1">
      <alignment horizontal="center" vertical="center" shrinkToFit="1"/>
    </xf>
    <xf numFmtId="0" fontId="67" fillId="0" borderId="31" xfId="37" applyFont="1" applyBorder="1" applyAlignment="1">
      <alignment horizontal="center" vertical="center" shrinkToFit="1"/>
    </xf>
    <xf numFmtId="0" fontId="67" fillId="0" borderId="56" xfId="37" applyFont="1" applyBorder="1" applyAlignment="1">
      <alignment horizontal="center" vertical="center" shrinkToFit="1"/>
    </xf>
    <xf numFmtId="0" fontId="67" fillId="0" borderId="40" xfId="37" applyFont="1" applyBorder="1" applyAlignment="1">
      <alignment horizontal="center" vertical="center" shrinkToFit="1"/>
    </xf>
    <xf numFmtId="0" fontId="67" fillId="0" borderId="80" xfId="37" applyFont="1" applyBorder="1" applyAlignment="1">
      <alignment horizontal="center" vertical="center" shrinkToFit="1"/>
    </xf>
    <xf numFmtId="0" fontId="67" fillId="0" borderId="66" xfId="37" applyFont="1" applyBorder="1" applyAlignment="1">
      <alignment horizontal="center" vertical="center" shrinkToFit="1"/>
    </xf>
    <xf numFmtId="0" fontId="67" fillId="0" borderId="41" xfId="37" applyFont="1" applyBorder="1" applyAlignment="1">
      <alignment horizontal="center" vertical="center" shrinkToFit="1"/>
    </xf>
    <xf numFmtId="0" fontId="67" fillId="0" borderId="57" xfId="37" applyFont="1" applyBorder="1" applyAlignment="1">
      <alignment horizontal="center" vertical="center" shrinkToFit="1"/>
    </xf>
    <xf numFmtId="0" fontId="67" fillId="0" borderId="33" xfId="37" applyFont="1" applyBorder="1" applyAlignment="1">
      <alignment horizontal="center" vertical="center" shrinkToFit="1"/>
    </xf>
    <xf numFmtId="0" fontId="67" fillId="0" borderId="35" xfId="37" applyFont="1" applyBorder="1" applyAlignment="1">
      <alignment horizontal="center" vertical="center" shrinkToFit="1"/>
    </xf>
    <xf numFmtId="0" fontId="67" fillId="0" borderId="34" xfId="37" applyFont="1" applyBorder="1" applyAlignment="1">
      <alignment horizontal="center" vertical="center" shrinkToFit="1"/>
    </xf>
    <xf numFmtId="0" fontId="67" fillId="0" borderId="58" xfId="37" applyFont="1" applyBorder="1" applyAlignment="1">
      <alignment horizontal="center" vertical="center" shrinkToFit="1"/>
    </xf>
    <xf numFmtId="0" fontId="67" fillId="0" borderId="157" xfId="37" applyFont="1" applyBorder="1" applyAlignment="1">
      <alignment horizontal="center" vertical="center" shrinkToFit="1"/>
    </xf>
    <xf numFmtId="0" fontId="67" fillId="0" borderId="114" xfId="37" applyFont="1" applyBorder="1" applyAlignment="1">
      <alignment horizontal="center" vertical="center" shrinkToFit="1"/>
    </xf>
    <xf numFmtId="0" fontId="67" fillId="0" borderId="26" xfId="37" applyFont="1" applyBorder="1" applyAlignment="1">
      <alignment horizontal="center" vertical="center" shrinkToFit="1"/>
    </xf>
    <xf numFmtId="0" fontId="67" fillId="0" borderId="68" xfId="37" applyFont="1" applyBorder="1" applyAlignment="1">
      <alignment horizontal="center" vertical="center" shrinkToFit="1"/>
    </xf>
    <xf numFmtId="0" fontId="67" fillId="0" borderId="45" xfId="37" applyFont="1" applyBorder="1" applyAlignment="1">
      <alignment vertical="center"/>
    </xf>
    <xf numFmtId="0" fontId="67" fillId="0" borderId="16" xfId="37" applyFont="1" applyBorder="1" applyAlignment="1">
      <alignment vertical="center"/>
    </xf>
    <xf numFmtId="0" fontId="67" fillId="0" borderId="68" xfId="37" applyFont="1" applyBorder="1" applyAlignment="1">
      <alignment vertical="center"/>
    </xf>
    <xf numFmtId="0" fontId="67" fillId="0" borderId="14" xfId="37" applyFont="1" applyBorder="1" applyAlignment="1">
      <alignment vertical="center"/>
    </xf>
    <xf numFmtId="0" fontId="67" fillId="0" borderId="99" xfId="37" applyFont="1" applyBorder="1" applyAlignment="1">
      <alignment horizontal="center" vertical="center" shrinkToFit="1"/>
    </xf>
    <xf numFmtId="0" fontId="67" fillId="0" borderId="32" xfId="37" applyFont="1" applyBorder="1" applyAlignment="1">
      <alignment vertical="center"/>
    </xf>
    <xf numFmtId="0" fontId="67" fillId="0" borderId="0" xfId="37" applyFont="1" applyAlignment="1">
      <alignment vertical="center"/>
    </xf>
    <xf numFmtId="0" fontId="67" fillId="0" borderId="26" xfId="37" applyFont="1" applyBorder="1" applyAlignment="1">
      <alignment vertical="center"/>
    </xf>
    <xf numFmtId="0" fontId="67" fillId="0" borderId="8" xfId="37" applyFont="1" applyBorder="1" applyAlignment="1">
      <alignment horizontal="center" vertical="center" shrinkToFit="1"/>
    </xf>
    <xf numFmtId="0" fontId="67" fillId="0" borderId="0" xfId="37" applyFont="1" applyAlignment="1">
      <alignment horizontal="center" vertical="center"/>
    </xf>
    <xf numFmtId="0" fontId="67" fillId="0" borderId="157" xfId="37" applyFont="1" applyBorder="1" applyAlignment="1">
      <alignment horizontal="center" vertical="center"/>
    </xf>
    <xf numFmtId="0" fontId="67" fillId="0" borderId="16" xfId="37" applyFont="1" applyBorder="1" applyAlignment="1">
      <alignment horizontal="center" vertical="center"/>
    </xf>
    <xf numFmtId="0" fontId="67" fillId="0" borderId="45" xfId="28" applyFont="1" applyBorder="1" applyAlignment="1">
      <alignment vertical="center"/>
    </xf>
    <xf numFmtId="0" fontId="67" fillId="11" borderId="14" xfId="37" applyFont="1" applyFill="1" applyBorder="1" applyAlignment="1">
      <alignment horizontal="center" vertical="center"/>
    </xf>
    <xf numFmtId="0" fontId="67" fillId="0" borderId="15" xfId="37" applyFont="1" applyBorder="1" applyAlignment="1">
      <alignment horizontal="center" vertical="center"/>
    </xf>
    <xf numFmtId="0" fontId="67" fillId="0" borderId="45" xfId="28" applyFont="1" applyBorder="1" applyAlignment="1">
      <alignment vertical="center" shrinkToFit="1"/>
    </xf>
    <xf numFmtId="0" fontId="67" fillId="11" borderId="14" xfId="28" applyFont="1" applyFill="1" applyBorder="1" applyAlignment="1">
      <alignment horizontal="center" vertical="center" shrinkToFit="1"/>
    </xf>
    <xf numFmtId="0" fontId="67" fillId="0" borderId="68" xfId="37" applyFont="1" applyBorder="1" applyAlignment="1">
      <alignment horizontal="center" vertical="center"/>
    </xf>
    <xf numFmtId="0" fontId="67" fillId="0" borderId="35" xfId="37" applyFont="1" applyBorder="1" applyAlignment="1">
      <alignment horizontal="center" vertical="center"/>
    </xf>
    <xf numFmtId="0" fontId="67" fillId="0" borderId="57" xfId="37" applyFont="1" applyBorder="1" applyAlignment="1">
      <alignment horizontal="center" vertical="center"/>
    </xf>
    <xf numFmtId="0" fontId="67" fillId="0" borderId="80" xfId="37" applyFont="1" applyBorder="1" applyAlignment="1">
      <alignment horizontal="center" vertical="center"/>
    </xf>
    <xf numFmtId="0" fontId="67" fillId="0" borderId="33" xfId="37" applyFont="1" applyBorder="1" applyAlignment="1">
      <alignment horizontal="center" vertical="center"/>
    </xf>
    <xf numFmtId="0" fontId="67" fillId="0" borderId="58" xfId="37" applyFont="1" applyBorder="1" applyAlignment="1">
      <alignment horizontal="center" vertical="center"/>
    </xf>
    <xf numFmtId="0" fontId="67" fillId="0" borderId="42" xfId="37" applyFont="1" applyBorder="1" applyAlignment="1">
      <alignment horizontal="center" vertical="center" shrinkToFit="1"/>
    </xf>
    <xf numFmtId="0" fontId="67" fillId="0" borderId="43" xfId="37" applyFont="1" applyBorder="1" applyAlignment="1">
      <alignment horizontal="center" vertical="center" shrinkToFit="1"/>
    </xf>
    <xf numFmtId="0" fontId="67" fillId="0" borderId="44" xfId="37" applyFont="1" applyBorder="1" applyAlignment="1">
      <alignment horizontal="center" vertical="center" shrinkToFit="1"/>
    </xf>
    <xf numFmtId="0" fontId="67" fillId="0" borderId="90" xfId="37" applyFont="1" applyBorder="1" applyAlignment="1">
      <alignment horizontal="center" vertical="center" shrinkToFit="1"/>
    </xf>
    <xf numFmtId="0" fontId="67" fillId="0" borderId="36" xfId="37" applyFont="1" applyBorder="1" applyAlignment="1">
      <alignment horizontal="center" vertical="center" shrinkToFit="1"/>
    </xf>
    <xf numFmtId="0" fontId="67" fillId="0" borderId="44" xfId="37" applyFont="1" applyBorder="1" applyAlignment="1">
      <alignment horizontal="center" vertical="center"/>
    </xf>
    <xf numFmtId="0" fontId="67" fillId="0" borderId="41" xfId="37" applyFont="1" applyBorder="1" applyAlignment="1">
      <alignment horizontal="center" vertical="center"/>
    </xf>
    <xf numFmtId="0" fontId="67" fillId="0" borderId="73" xfId="37" applyFont="1" applyBorder="1" applyAlignment="1">
      <alignment horizontal="center" vertical="center"/>
    </xf>
    <xf numFmtId="0" fontId="70" fillId="0" borderId="158" xfId="37" applyFont="1" applyBorder="1" applyAlignment="1">
      <alignment horizontal="center" vertical="center" shrinkToFit="1"/>
    </xf>
    <xf numFmtId="0" fontId="70" fillId="0" borderId="62" xfId="37" applyFont="1" applyBorder="1" applyAlignment="1">
      <alignment horizontal="center" vertical="center" shrinkToFit="1"/>
    </xf>
    <xf numFmtId="0" fontId="67" fillId="0" borderId="62" xfId="37" applyFont="1" applyBorder="1" applyAlignment="1">
      <alignment horizontal="center" vertical="center" shrinkToFit="1"/>
    </xf>
    <xf numFmtId="0" fontId="67" fillId="0" borderId="159" xfId="37" applyFont="1" applyBorder="1" applyAlignment="1">
      <alignment horizontal="center" vertical="center" shrinkToFit="1"/>
    </xf>
    <xf numFmtId="0" fontId="67" fillId="0" borderId="0" xfId="0" applyFont="1" applyAlignment="1">
      <alignment horizontal="center" vertical="center" shrinkToFit="1"/>
    </xf>
    <xf numFmtId="0" fontId="5" fillId="0" borderId="0" xfId="0" applyFont="1" applyAlignment="1">
      <alignment horizontal="center" vertical="center"/>
    </xf>
    <xf numFmtId="0" fontId="5" fillId="0" borderId="36" xfId="0" applyFont="1" applyBorder="1" applyAlignment="1">
      <alignment horizontal="center" vertical="center"/>
    </xf>
    <xf numFmtId="0" fontId="67" fillId="0" borderId="0" xfId="0" applyFont="1" applyAlignment="1">
      <alignment horizontal="center" vertical="center"/>
    </xf>
    <xf numFmtId="0" fontId="67" fillId="0" borderId="77" xfId="0" applyFont="1" applyBorder="1" applyAlignment="1">
      <alignment horizontal="center" vertical="center"/>
    </xf>
    <xf numFmtId="0" fontId="67" fillId="0" borderId="79" xfId="0" applyFont="1" applyBorder="1" applyAlignment="1">
      <alignment horizontal="center" vertical="center"/>
    </xf>
    <xf numFmtId="0" fontId="67" fillId="0" borderId="0" xfId="30" applyFont="1" applyAlignment="1">
      <alignment horizontal="center" vertical="center"/>
    </xf>
    <xf numFmtId="0" fontId="5" fillId="0" borderId="0" xfId="30" applyAlignment="1">
      <alignment horizontal="center" vertical="center"/>
    </xf>
    <xf numFmtId="0" fontId="7" fillId="0" borderId="0" xfId="29" applyAlignment="1">
      <alignment horizontal="center" vertical="center"/>
    </xf>
    <xf numFmtId="0" fontId="72" fillId="0" borderId="0" xfId="29" applyFont="1">
      <alignment vertical="center"/>
    </xf>
    <xf numFmtId="0" fontId="72" fillId="11" borderId="0" xfId="29" applyFont="1" applyFill="1">
      <alignment vertical="center"/>
    </xf>
    <xf numFmtId="0" fontId="11" fillId="0" borderId="14" xfId="0" applyFont="1" applyBorder="1" applyAlignment="1">
      <alignment horizontal="center" vertical="center"/>
    </xf>
    <xf numFmtId="0" fontId="76" fillId="0" borderId="0" xfId="41" applyFont="1" applyAlignment="1">
      <alignment horizontal="center" vertical="center"/>
    </xf>
    <xf numFmtId="0" fontId="0" fillId="0" borderId="16" xfId="28" applyFont="1" applyBorder="1" applyAlignment="1">
      <alignment horizontal="center" vertical="center"/>
    </xf>
    <xf numFmtId="0" fontId="76" fillId="0" borderId="16" xfId="28" applyFont="1" applyBorder="1" applyAlignment="1">
      <alignment horizontal="center" vertical="center"/>
    </xf>
    <xf numFmtId="0" fontId="0" fillId="0" borderId="18" xfId="28" applyFont="1" applyBorder="1" applyAlignment="1">
      <alignment horizontal="center" vertical="center"/>
    </xf>
    <xf numFmtId="0" fontId="11" fillId="0" borderId="4" xfId="28" applyFont="1" applyBorder="1" applyAlignment="1">
      <alignment horizontal="center" vertical="center"/>
    </xf>
    <xf numFmtId="0" fontId="11" fillId="0" borderId="160" xfId="28" applyFont="1" applyBorder="1" applyAlignment="1">
      <alignment vertical="center"/>
    </xf>
    <xf numFmtId="0" fontId="16" fillId="0" borderId="161" xfId="29" applyFont="1" applyBorder="1" applyAlignment="1">
      <alignment vertical="center" shrinkToFit="1"/>
    </xf>
    <xf numFmtId="0" fontId="16" fillId="0" borderId="162" xfId="29" applyFont="1" applyBorder="1" applyAlignment="1">
      <alignment vertical="center" shrinkToFit="1"/>
    </xf>
    <xf numFmtId="0" fontId="16" fillId="0" borderId="163" xfId="29" applyFont="1" applyBorder="1" applyAlignment="1">
      <alignment vertical="center" shrinkToFit="1"/>
    </xf>
    <xf numFmtId="0" fontId="16" fillId="0" borderId="162" xfId="0" applyFont="1" applyBorder="1" applyAlignment="1">
      <alignment vertical="center" shrinkToFit="1"/>
    </xf>
    <xf numFmtId="0" fontId="16" fillId="0" borderId="164" xfId="0" applyFont="1" applyBorder="1" applyAlignment="1">
      <alignment vertical="center" shrinkToFit="1"/>
    </xf>
    <xf numFmtId="0" fontId="11" fillId="0" borderId="160" xfId="28" applyFont="1" applyBorder="1" applyAlignment="1">
      <alignment horizontal="center" vertical="center"/>
    </xf>
    <xf numFmtId="0" fontId="85" fillId="0" borderId="24" xfId="43" applyFont="1" applyBorder="1" applyAlignment="1">
      <alignment horizontal="center" vertical="center"/>
    </xf>
    <xf numFmtId="0" fontId="85" fillId="0" borderId="0" xfId="43" applyFont="1" applyAlignment="1">
      <alignment horizontal="center" vertical="center"/>
    </xf>
    <xf numFmtId="0" fontId="86" fillId="0" borderId="0" xfId="43" applyFont="1" applyAlignment="1">
      <alignment horizontal="center" vertical="center"/>
    </xf>
    <xf numFmtId="0" fontId="87" fillId="0" borderId="0" xfId="43" applyFont="1">
      <alignment vertical="center"/>
    </xf>
    <xf numFmtId="0" fontId="88" fillId="0" borderId="0" xfId="43" applyFont="1">
      <alignment vertical="center"/>
    </xf>
    <xf numFmtId="0" fontId="88" fillId="0" borderId="0" xfId="0" applyFont="1" applyAlignment="1">
      <alignment vertical="center"/>
    </xf>
    <xf numFmtId="0" fontId="13" fillId="16" borderId="8" xfId="0" applyFont="1" applyFill="1" applyBorder="1" applyAlignment="1">
      <alignment horizontal="center" vertical="center" shrinkToFit="1"/>
    </xf>
    <xf numFmtId="0" fontId="13" fillId="0" borderId="0" xfId="29" applyFont="1" applyAlignment="1">
      <alignment horizontal="center" vertical="center"/>
    </xf>
    <xf numFmtId="0" fontId="13" fillId="0" borderId="0" xfId="29" applyFont="1" applyAlignment="1">
      <alignment horizontal="left" vertical="center"/>
    </xf>
    <xf numFmtId="0" fontId="0" fillId="17" borderId="14" xfId="0" applyFill="1" applyBorder="1" applyAlignment="1">
      <alignment horizontal="center" vertical="center" shrinkToFit="1"/>
    </xf>
    <xf numFmtId="0" fontId="0" fillId="18" borderId="14" xfId="0" applyFill="1" applyBorder="1" applyAlignment="1">
      <alignment horizontal="center" vertical="center" shrinkToFit="1"/>
    </xf>
    <xf numFmtId="0" fontId="0" fillId="18" borderId="45" xfId="0" applyFill="1" applyBorder="1" applyAlignment="1">
      <alignment horizontal="center" vertical="center" shrinkToFit="1"/>
    </xf>
    <xf numFmtId="0" fontId="0" fillId="17" borderId="45" xfId="0" applyFill="1" applyBorder="1" applyAlignment="1">
      <alignment horizontal="center" vertical="center" shrinkToFit="1"/>
    </xf>
    <xf numFmtId="0" fontId="44" fillId="5" borderId="46" xfId="0" applyFont="1" applyFill="1" applyBorder="1" applyAlignment="1">
      <alignment horizontal="center" vertical="center" shrinkToFit="1"/>
    </xf>
    <xf numFmtId="0" fontId="44" fillId="5" borderId="47" xfId="0" applyFont="1" applyFill="1" applyBorder="1" applyAlignment="1">
      <alignment horizontal="center" vertical="center" shrinkToFit="1"/>
    </xf>
    <xf numFmtId="0" fontId="44" fillId="5" borderId="48" xfId="0" applyFont="1" applyFill="1" applyBorder="1" applyAlignment="1">
      <alignment horizontal="center" vertical="center" shrinkToFit="1"/>
    </xf>
    <xf numFmtId="0" fontId="41" fillId="0" borderId="2" xfId="0" applyFont="1" applyBorder="1" applyAlignment="1">
      <alignment horizontal="center" vertical="center"/>
    </xf>
    <xf numFmtId="0" fontId="41" fillId="0" borderId="3" xfId="0" applyFont="1" applyBorder="1" applyAlignment="1">
      <alignment horizontal="center" vertical="center" wrapText="1"/>
    </xf>
    <xf numFmtId="0" fontId="41" fillId="0" borderId="6" xfId="0" applyFont="1" applyBorder="1" applyAlignment="1">
      <alignment horizontal="center" vertical="center"/>
    </xf>
    <xf numFmtId="0" fontId="45" fillId="0" borderId="2" xfId="0" applyFont="1" applyBorder="1" applyAlignment="1">
      <alignment horizontal="center" vertical="center"/>
    </xf>
    <xf numFmtId="0" fontId="91" fillId="0" borderId="0" xfId="25" applyFont="1" applyAlignment="1">
      <alignment vertical="top"/>
    </xf>
    <xf numFmtId="0" fontId="92" fillId="19" borderId="0" xfId="25" applyFont="1" applyFill="1" applyAlignment="1">
      <alignment vertical="top"/>
    </xf>
    <xf numFmtId="0" fontId="23" fillId="19" borderId="0" xfId="25" applyFont="1" applyFill="1" applyAlignment="1">
      <alignment vertical="top"/>
    </xf>
    <xf numFmtId="0" fontId="28" fillId="0" borderId="0" xfId="34" applyFont="1" applyAlignment="1">
      <alignment vertical="center" shrinkToFit="1"/>
    </xf>
    <xf numFmtId="0" fontId="11" fillId="0" borderId="10" xfId="0" applyFont="1" applyBorder="1" applyAlignment="1">
      <alignment horizontal="center" vertical="center"/>
    </xf>
    <xf numFmtId="0" fontId="11" fillId="0" borderId="49" xfId="0" applyFont="1" applyBorder="1" applyAlignment="1">
      <alignment horizontal="center" vertical="center"/>
    </xf>
    <xf numFmtId="0" fontId="11" fillId="0" borderId="98" xfId="0" applyFont="1" applyBorder="1" applyAlignment="1">
      <alignment horizontal="center" vertical="center"/>
    </xf>
    <xf numFmtId="0" fontId="11" fillId="0" borderId="87" xfId="0" applyFont="1" applyBorder="1" applyAlignment="1">
      <alignment horizontal="center" vertical="center" shrinkToFit="1"/>
    </xf>
    <xf numFmtId="0" fontId="11" fillId="0" borderId="168" xfId="0" applyFont="1" applyBorder="1" applyAlignment="1">
      <alignment horizontal="center" vertical="center"/>
    </xf>
    <xf numFmtId="176" fontId="15" fillId="0" borderId="8" xfId="0" applyNumberFormat="1" applyFont="1" applyBorder="1" applyAlignment="1">
      <alignment horizontal="center" vertical="center" shrinkToFit="1"/>
    </xf>
    <xf numFmtId="0" fontId="15" fillId="0" borderId="9" xfId="0" applyFont="1" applyBorder="1" applyAlignment="1">
      <alignment horizontal="center" vertical="center"/>
    </xf>
    <xf numFmtId="0" fontId="16" fillId="0" borderId="25" xfId="0" applyFont="1" applyBorder="1" applyAlignment="1">
      <alignment vertical="center" shrinkToFit="1"/>
    </xf>
    <xf numFmtId="0" fontId="25" fillId="0" borderId="0" xfId="34" applyFont="1">
      <alignment vertical="center"/>
    </xf>
    <xf numFmtId="0" fontId="27" fillId="0" borderId="0" xfId="34" applyFont="1" applyAlignment="1">
      <alignment horizontal="center" vertical="center"/>
    </xf>
    <xf numFmtId="0" fontId="28" fillId="0" borderId="0" xfId="34" applyFont="1">
      <alignment vertical="center"/>
    </xf>
    <xf numFmtId="0" fontId="28" fillId="0" borderId="0" xfId="34" applyFont="1" applyAlignment="1">
      <alignment horizontal="left" vertical="center"/>
    </xf>
    <xf numFmtId="0" fontId="24" fillId="0" borderId="0" xfId="34" applyFont="1">
      <alignment vertical="center"/>
    </xf>
    <xf numFmtId="0" fontId="29" fillId="0" borderId="0" xfId="34" applyFont="1">
      <alignment vertical="center"/>
    </xf>
    <xf numFmtId="0" fontId="24" fillId="0" borderId="0" xfId="34" applyFont="1" applyAlignment="1">
      <alignment vertical="center" shrinkToFit="1"/>
    </xf>
    <xf numFmtId="0" fontId="30" fillId="0" borderId="0" xfId="34" quotePrefix="1" applyFont="1" applyAlignment="1">
      <alignment horizontal="center" vertical="center"/>
    </xf>
    <xf numFmtId="0" fontId="30" fillId="0" borderId="0" xfId="34" applyFont="1" applyAlignment="1">
      <alignment horizontal="center" vertical="center"/>
    </xf>
    <xf numFmtId="0" fontId="30" fillId="0" borderId="0" xfId="34" applyFont="1">
      <alignment vertical="center"/>
    </xf>
    <xf numFmtId="0" fontId="31" fillId="0" borderId="0" xfId="34" applyFont="1">
      <alignment vertical="center"/>
    </xf>
    <xf numFmtId="0" fontId="32" fillId="0" borderId="0" xfId="34" applyFont="1">
      <alignment vertical="center"/>
    </xf>
    <xf numFmtId="0" fontId="31" fillId="0" borderId="0" xfId="34" applyFont="1" applyAlignment="1">
      <alignment vertical="center" shrinkToFit="1"/>
    </xf>
    <xf numFmtId="0" fontId="24" fillId="0" borderId="0" xfId="34" applyFont="1" applyAlignment="1">
      <alignment vertical="top"/>
    </xf>
    <xf numFmtId="0" fontId="34" fillId="0" borderId="0" xfId="34" applyFont="1">
      <alignment vertical="center"/>
    </xf>
    <xf numFmtId="0" fontId="24" fillId="0" borderId="0" xfId="34" applyFont="1" applyAlignment="1">
      <alignment vertical="center" wrapText="1"/>
    </xf>
    <xf numFmtId="0" fontId="24" fillId="0" borderId="0" xfId="39" applyFont="1" applyAlignment="1">
      <alignment vertical="center"/>
    </xf>
    <xf numFmtId="0" fontId="34" fillId="0" borderId="0" xfId="36" applyFont="1" applyAlignment="1">
      <alignment vertical="top"/>
    </xf>
    <xf numFmtId="0" fontId="24" fillId="0" borderId="0" xfId="36" applyFont="1" applyAlignment="1">
      <alignment vertical="top"/>
    </xf>
    <xf numFmtId="0" fontId="34" fillId="0" borderId="0" xfId="36" applyFont="1" applyAlignment="1">
      <alignment horizontal="center" vertical="top"/>
    </xf>
    <xf numFmtId="0" fontId="24" fillId="0" borderId="0" xfId="36" applyFont="1">
      <alignment vertical="center"/>
    </xf>
    <xf numFmtId="0" fontId="35" fillId="0" borderId="0" xfId="34" applyFont="1">
      <alignment vertical="center"/>
    </xf>
    <xf numFmtId="0" fontId="34" fillId="0" borderId="0" xfId="36" applyFont="1">
      <alignment vertical="center"/>
    </xf>
    <xf numFmtId="0" fontId="24" fillId="0" borderId="0" xfId="36" applyFont="1" applyAlignment="1">
      <alignment vertical="distributed"/>
    </xf>
    <xf numFmtId="0" fontId="31" fillId="0" borderId="0" xfId="36" applyFont="1">
      <alignment vertical="center"/>
    </xf>
    <xf numFmtId="0" fontId="34" fillId="0" borderId="0" xfId="0" applyFont="1" applyAlignment="1">
      <alignment vertical="center"/>
    </xf>
    <xf numFmtId="0" fontId="33" fillId="0" borderId="0" xfId="34" applyFont="1">
      <alignment vertical="center"/>
    </xf>
    <xf numFmtId="0" fontId="34" fillId="0" borderId="0" xfId="34" applyFont="1" applyAlignment="1">
      <alignment vertical="center" shrinkToFit="1"/>
    </xf>
    <xf numFmtId="0" fontId="80" fillId="0" borderId="0" xfId="46" applyFont="1">
      <alignment vertical="center"/>
    </xf>
    <xf numFmtId="0" fontId="31" fillId="0" borderId="0" xfId="36" applyFont="1" applyAlignment="1">
      <alignment vertical="top"/>
    </xf>
    <xf numFmtId="0" fontId="36" fillId="0" borderId="0" xfId="34" applyFont="1">
      <alignment vertical="center"/>
    </xf>
    <xf numFmtId="0" fontId="84" fillId="0" borderId="0" xfId="36" applyFont="1" applyAlignment="1">
      <alignment vertical="top"/>
    </xf>
    <xf numFmtId="0" fontId="93" fillId="0" borderId="0" xfId="36" applyFont="1" applyAlignment="1">
      <alignment vertical="top"/>
    </xf>
    <xf numFmtId="0" fontId="82" fillId="0" borderId="0" xfId="46" applyFont="1">
      <alignment vertical="center"/>
    </xf>
    <xf numFmtId="0" fontId="83" fillId="0" borderId="0" xfId="46" applyFont="1">
      <alignment vertical="center"/>
    </xf>
    <xf numFmtId="0" fontId="83" fillId="0" borderId="0" xfId="46" applyFont="1" applyAlignment="1">
      <alignment vertical="distributed" wrapText="1"/>
    </xf>
    <xf numFmtId="56" fontId="16" fillId="0" borderId="12" xfId="0" applyNumberFormat="1" applyFont="1" applyBorder="1" applyAlignment="1">
      <alignment vertical="center" shrinkToFit="1"/>
    </xf>
    <xf numFmtId="56" fontId="16" fillId="0" borderId="19" xfId="0" applyNumberFormat="1" applyFont="1" applyBorder="1" applyAlignment="1">
      <alignment vertical="center" shrinkToFit="1"/>
    </xf>
    <xf numFmtId="0" fontId="12" fillId="0" borderId="0" xfId="0" applyFont="1" applyAlignment="1">
      <alignment horizontal="center" vertical="center"/>
    </xf>
    <xf numFmtId="0" fontId="15" fillId="0" borderId="7" xfId="0" applyFont="1" applyBorder="1" applyAlignment="1">
      <alignment horizontal="center" vertical="center" shrinkToFit="1"/>
    </xf>
    <xf numFmtId="0" fontId="15" fillId="0" borderId="17" xfId="0" applyFont="1" applyBorder="1" applyAlignment="1">
      <alignment horizontal="center" vertical="center" shrinkToFit="1"/>
    </xf>
    <xf numFmtId="0" fontId="16" fillId="0" borderId="10" xfId="0" applyFont="1" applyBorder="1" applyAlignment="1">
      <alignment horizontal="center" vertical="center" shrinkToFit="1"/>
    </xf>
    <xf numFmtId="0" fontId="16" fillId="0" borderId="17" xfId="0" applyFont="1" applyBorder="1" applyAlignment="1">
      <alignment horizontal="center" vertical="center" shrinkToFit="1"/>
    </xf>
    <xf numFmtId="0" fontId="16" fillId="0" borderId="7" xfId="0" applyFont="1" applyBorder="1" applyAlignment="1">
      <alignment horizontal="center" vertical="center" shrinkToFit="1"/>
    </xf>
    <xf numFmtId="0" fontId="16" fillId="0" borderId="22" xfId="0" applyFont="1" applyBorder="1" applyAlignment="1">
      <alignment horizontal="center" vertical="center" shrinkToFit="1"/>
    </xf>
    <xf numFmtId="0" fontId="16" fillId="0" borderId="21" xfId="0" applyFont="1" applyBorder="1" applyAlignment="1">
      <alignment horizontal="center" vertical="center" shrinkToFit="1"/>
    </xf>
    <xf numFmtId="0" fontId="16" fillId="0" borderId="23" xfId="0" applyFont="1" applyBorder="1" applyAlignment="1">
      <alignment horizontal="center" vertical="center" shrinkToFit="1"/>
    </xf>
    <xf numFmtId="0" fontId="78" fillId="0" borderId="14" xfId="0" applyFont="1" applyBorder="1" applyAlignment="1">
      <alignment horizontal="center" vertical="center" wrapText="1"/>
    </xf>
    <xf numFmtId="0" fontId="11" fillId="0" borderId="14" xfId="0" applyFont="1" applyBorder="1" applyAlignment="1">
      <alignment horizontal="center" vertical="center"/>
    </xf>
    <xf numFmtId="0" fontId="22" fillId="19" borderId="0" xfId="25" applyFont="1" applyFill="1" applyAlignment="1">
      <alignment horizontal="left" vertical="top" wrapText="1"/>
    </xf>
    <xf numFmtId="0" fontId="19" fillId="0" borderId="0" xfId="25" applyFont="1" applyAlignment="1">
      <alignment horizontal="left" vertical="top" wrapText="1"/>
    </xf>
    <xf numFmtId="0" fontId="19" fillId="0" borderId="0" xfId="25" applyFont="1" applyAlignment="1">
      <alignment horizontal="left" vertical="top"/>
    </xf>
    <xf numFmtId="0" fontId="22" fillId="11" borderId="0" xfId="0" applyFont="1" applyFill="1" applyAlignment="1">
      <alignment horizontal="left" vertical="top" wrapText="1"/>
    </xf>
    <xf numFmtId="0" fontId="22" fillId="11" borderId="0" xfId="0" applyFont="1" applyFill="1" applyAlignment="1">
      <alignment horizontal="left" vertical="top"/>
    </xf>
    <xf numFmtId="0" fontId="19" fillId="0" borderId="0" xfId="0" applyFont="1" applyAlignment="1">
      <alignment horizontal="left" vertical="top" wrapText="1"/>
    </xf>
    <xf numFmtId="0" fontId="19" fillId="19" borderId="0" xfId="25" applyFont="1" applyFill="1" applyAlignment="1">
      <alignment vertical="top" wrapText="1"/>
    </xf>
    <xf numFmtId="0" fontId="19" fillId="19" borderId="0" xfId="25" applyFont="1" applyFill="1" applyAlignment="1">
      <alignment vertical="top"/>
    </xf>
    <xf numFmtId="0" fontId="19" fillId="0" borderId="0" xfId="25" applyFont="1" applyAlignment="1">
      <alignment vertical="top"/>
    </xf>
    <xf numFmtId="0" fontId="19" fillId="0" borderId="0" xfId="25" applyFont="1" applyAlignment="1">
      <alignment vertical="top" wrapText="1"/>
    </xf>
    <xf numFmtId="0" fontId="19" fillId="0" borderId="0" xfId="0" applyFont="1" applyAlignment="1">
      <alignment vertical="top" wrapText="1"/>
    </xf>
    <xf numFmtId="0" fontId="14" fillId="0" borderId="0" xfId="25" applyFont="1" applyAlignment="1">
      <alignment horizontal="left" vertical="top" wrapText="1"/>
    </xf>
    <xf numFmtId="0" fontId="53" fillId="0" borderId="0" xfId="25" applyFont="1" applyAlignment="1">
      <alignment vertical="top" wrapText="1"/>
    </xf>
    <xf numFmtId="0" fontId="53" fillId="0" borderId="0" xfId="25" applyFont="1" applyAlignment="1">
      <alignment vertical="top"/>
    </xf>
    <xf numFmtId="0" fontId="22" fillId="19" borderId="0" xfId="25" applyFont="1" applyFill="1" applyAlignment="1">
      <alignment vertical="top" wrapText="1"/>
    </xf>
    <xf numFmtId="0" fontId="19" fillId="0" borderId="0" xfId="0" applyFont="1" applyAlignment="1">
      <alignment vertical="top"/>
    </xf>
    <xf numFmtId="0" fontId="22" fillId="0" borderId="0" xfId="0" applyFont="1" applyAlignment="1">
      <alignment vertical="top"/>
    </xf>
    <xf numFmtId="0" fontId="22" fillId="0" borderId="0" xfId="25" applyFont="1" applyAlignment="1">
      <alignment vertical="top" wrapText="1"/>
    </xf>
    <xf numFmtId="0" fontId="22" fillId="0" borderId="0" xfId="25" applyFont="1" applyAlignment="1">
      <alignment vertical="top"/>
    </xf>
    <xf numFmtId="0" fontId="20" fillId="0" borderId="0" xfId="0" applyFont="1" applyAlignment="1">
      <alignment horizontal="center" vertical="top"/>
    </xf>
    <xf numFmtId="0" fontId="19" fillId="0" borderId="0" xfId="25" applyFont="1" applyAlignment="1">
      <alignment horizontal="left" vertical="top" shrinkToFit="1"/>
    </xf>
    <xf numFmtId="0" fontId="26" fillId="0" borderId="0" xfId="34" applyFont="1" applyAlignment="1">
      <alignment horizontal="center" vertical="center"/>
    </xf>
    <xf numFmtId="0" fontId="27" fillId="0" borderId="0" xfId="34" applyFont="1" applyAlignment="1">
      <alignment horizontal="center" vertical="center" shrinkToFit="1"/>
    </xf>
    <xf numFmtId="0" fontId="28" fillId="0" borderId="0" xfId="34" applyFont="1" applyAlignment="1">
      <alignment horizontal="right" vertical="center"/>
    </xf>
    <xf numFmtId="0" fontId="28" fillId="0" borderId="0" xfId="34" applyFont="1" applyAlignment="1">
      <alignment horizontal="center" vertical="center"/>
    </xf>
    <xf numFmtId="0" fontId="28" fillId="0" borderId="0" xfId="34" applyFont="1" applyAlignment="1">
      <alignment horizontal="center" vertical="center" shrinkToFit="1"/>
    </xf>
    <xf numFmtId="0" fontId="28" fillId="0" borderId="0" xfId="34" applyFont="1" applyAlignment="1">
      <alignment horizontal="left" vertical="center" shrinkToFit="1"/>
    </xf>
    <xf numFmtId="56" fontId="28" fillId="0" borderId="0" xfId="34" applyNumberFormat="1" applyFont="1" applyAlignment="1">
      <alignment horizontal="center" vertical="center"/>
    </xf>
    <xf numFmtId="20" fontId="28" fillId="0" borderId="0" xfId="34" applyNumberFormat="1" applyFont="1" applyAlignment="1">
      <alignment horizontal="left" vertical="center"/>
    </xf>
    <xf numFmtId="0" fontId="28" fillId="0" borderId="0" xfId="34" applyFont="1" applyAlignment="1">
      <alignment horizontal="right" vertical="center" shrinkToFit="1"/>
    </xf>
    <xf numFmtId="0" fontId="25" fillId="0" borderId="0" xfId="34" applyFont="1" applyAlignment="1">
      <alignment horizontal="right" vertical="top" wrapText="1" shrinkToFit="1"/>
    </xf>
    <xf numFmtId="0" fontId="25" fillId="0" borderId="0" xfId="34" applyFont="1" applyAlignment="1">
      <alignment vertical="center" shrinkToFit="1"/>
    </xf>
    <xf numFmtId="0" fontId="28" fillId="0" borderId="0" xfId="34" applyFont="1" applyAlignment="1">
      <alignment vertical="center" shrinkToFit="1"/>
    </xf>
    <xf numFmtId="0" fontId="24" fillId="0" borderId="0" xfId="34" applyFont="1" applyAlignment="1">
      <alignment horizontal="center" vertical="center"/>
    </xf>
    <xf numFmtId="0" fontId="24" fillId="0" borderId="0" xfId="34" applyFont="1" applyAlignment="1">
      <alignment vertical="center" shrinkToFit="1"/>
    </xf>
    <xf numFmtId="0" fontId="30" fillId="0" borderId="0" xfId="34" quotePrefix="1" applyFont="1" applyAlignment="1">
      <alignment horizontal="center" vertical="center"/>
    </xf>
    <xf numFmtId="0" fontId="30" fillId="0" borderId="0" xfId="34" applyFont="1" applyAlignment="1">
      <alignment horizontal="center" vertical="center"/>
    </xf>
    <xf numFmtId="0" fontId="31" fillId="0" borderId="0" xfId="34" applyFont="1" applyAlignment="1">
      <alignment horizontal="center" vertical="center" shrinkToFit="1"/>
    </xf>
    <xf numFmtId="0" fontId="33" fillId="0" borderId="0" xfId="36" applyFont="1" applyAlignment="1">
      <alignment horizontal="left" vertical="top" wrapText="1"/>
    </xf>
    <xf numFmtId="0" fontId="34" fillId="0" borderId="0" xfId="36" applyFont="1" applyAlignment="1">
      <alignment horizontal="left" vertical="top" wrapText="1"/>
    </xf>
    <xf numFmtId="0" fontId="34" fillId="0" borderId="0" xfId="34" applyFont="1" applyAlignment="1">
      <alignment vertical="center" wrapText="1"/>
    </xf>
    <xf numFmtId="0" fontId="34" fillId="0" borderId="0" xfId="34" applyFont="1" applyAlignment="1">
      <alignment horizontal="left" vertical="distributed" wrapText="1"/>
    </xf>
    <xf numFmtId="0" fontId="34" fillId="0" borderId="0" xfId="34" applyFont="1" applyAlignment="1">
      <alignment horizontal="left" vertical="distributed"/>
    </xf>
    <xf numFmtId="0" fontId="31" fillId="0" borderId="0" xfId="34" applyFont="1" applyAlignment="1">
      <alignment horizontal="left" vertical="distributed" wrapText="1"/>
    </xf>
    <xf numFmtId="0" fontId="34" fillId="0" borderId="0" xfId="39" applyFont="1" applyAlignment="1">
      <alignment horizontal="left" vertical="center" shrinkToFit="1"/>
    </xf>
    <xf numFmtId="0" fontId="24" fillId="0" borderId="0" xfId="34" applyFont="1" applyAlignment="1">
      <alignment horizontal="left" vertical="center"/>
    </xf>
    <xf numFmtId="0" fontId="34" fillId="0" borderId="0" xfId="36" applyFont="1" applyAlignment="1">
      <alignment horizontal="left" vertical="distributed" wrapText="1"/>
    </xf>
    <xf numFmtId="0" fontId="34" fillId="0" borderId="0" xfId="36" applyFont="1" applyAlignment="1">
      <alignment vertical="distributed" wrapText="1"/>
    </xf>
    <xf numFmtId="0" fontId="34" fillId="0" borderId="0" xfId="34" applyFont="1" applyAlignment="1">
      <alignment horizontal="center" vertical="center"/>
    </xf>
    <xf numFmtId="0" fontId="31" fillId="0" borderId="0" xfId="36" applyFont="1" applyAlignment="1">
      <alignment horizontal="left" vertical="center" wrapText="1"/>
    </xf>
    <xf numFmtId="0" fontId="31" fillId="0" borderId="0" xfId="36" applyFont="1" applyAlignment="1">
      <alignment horizontal="left" vertical="top" wrapText="1"/>
    </xf>
    <xf numFmtId="0" fontId="24" fillId="0" borderId="0" xfId="34" applyFont="1" applyAlignment="1">
      <alignment horizontal="center" vertical="center" shrinkToFit="1"/>
    </xf>
    <xf numFmtId="0" fontId="15" fillId="0" borderId="165" xfId="29" applyFont="1" applyBorder="1" applyAlignment="1">
      <alignment horizontal="center" vertical="center" shrinkToFit="1"/>
    </xf>
    <xf numFmtId="0" fontId="15" fillId="0" borderId="166" xfId="29" applyFont="1" applyBorder="1" applyAlignment="1">
      <alignment horizontal="center" vertical="center" shrinkToFit="1"/>
    </xf>
    <xf numFmtId="0" fontId="15" fillId="0" borderId="167" xfId="29" applyFont="1" applyBorder="1" applyAlignment="1">
      <alignment horizontal="center" vertical="center" shrinkToFit="1"/>
    </xf>
    <xf numFmtId="0" fontId="16" fillId="0" borderId="169" xfId="0" applyFont="1" applyBorder="1" applyAlignment="1">
      <alignment horizontal="center" vertical="center" shrinkToFit="1"/>
    </xf>
    <xf numFmtId="0" fontId="16" fillId="0" borderId="152" xfId="0" applyFont="1" applyBorder="1" applyAlignment="1">
      <alignment horizontal="center" vertical="center" shrinkToFit="1"/>
    </xf>
    <xf numFmtId="0" fontId="16" fillId="0" borderId="170" xfId="0" applyFont="1" applyBorder="1" applyAlignment="1">
      <alignment horizontal="center" vertical="center" shrinkToFit="1"/>
    </xf>
    <xf numFmtId="0" fontId="38" fillId="0" borderId="0" xfId="43" applyFont="1" applyAlignment="1">
      <alignment horizontal="center" vertical="center"/>
    </xf>
    <xf numFmtId="0" fontId="11" fillId="0" borderId="25" xfId="0" applyFont="1" applyBorder="1" applyAlignment="1">
      <alignment horizontal="center" vertical="center" shrinkToFit="1"/>
    </xf>
    <xf numFmtId="0" fontId="11" fillId="11" borderId="26" xfId="43" applyFont="1" applyFill="1" applyBorder="1" applyAlignment="1">
      <alignment horizontal="center" vertical="center" shrinkToFit="1"/>
    </xf>
    <xf numFmtId="0" fontId="11" fillId="11" borderId="8" xfId="43" applyFont="1" applyFill="1" applyBorder="1" applyAlignment="1">
      <alignment horizontal="center" vertical="center" shrinkToFit="1"/>
    </xf>
    <xf numFmtId="0" fontId="11" fillId="0" borderId="0" xfId="43" applyFont="1" applyAlignment="1">
      <alignment horizontal="center" vertical="center" shrinkToFit="1"/>
    </xf>
    <xf numFmtId="0" fontId="13" fillId="0" borderId="26" xfId="43" applyFont="1" applyBorder="1" applyAlignment="1">
      <alignment horizontal="center" vertical="center" shrinkToFit="1"/>
    </xf>
    <xf numFmtId="0" fontId="13" fillId="0" borderId="8" xfId="43" applyFont="1" applyBorder="1" applyAlignment="1">
      <alignment horizontal="center" vertical="center" shrinkToFit="1"/>
    </xf>
    <xf numFmtId="0" fontId="11" fillId="0" borderId="27" xfId="43" applyFont="1" applyBorder="1" applyAlignment="1">
      <alignment horizontal="center" vertical="center"/>
    </xf>
    <xf numFmtId="0" fontId="11" fillId="0" borderId="30" xfId="43" applyFont="1" applyBorder="1" applyAlignment="1">
      <alignment horizontal="center" vertical="center"/>
    </xf>
    <xf numFmtId="0" fontId="11" fillId="0" borderId="28" xfId="43" applyFont="1" applyBorder="1" applyAlignment="1">
      <alignment horizontal="center" vertical="center" shrinkToFit="1"/>
    </xf>
    <xf numFmtId="0" fontId="37" fillId="0" borderId="0" xfId="43" applyFont="1" applyAlignment="1">
      <alignment horizontal="center" vertical="center" shrinkToFit="1"/>
    </xf>
    <xf numFmtId="0" fontId="11" fillId="0" borderId="31" xfId="43" applyFont="1" applyBorder="1" applyAlignment="1">
      <alignment horizontal="center" vertical="center" shrinkToFit="1"/>
    </xf>
    <xf numFmtId="0" fontId="11" fillId="0" borderId="32" xfId="43" applyFont="1" applyBorder="1" applyAlignment="1">
      <alignment horizontal="center" vertical="center" shrinkToFit="1"/>
    </xf>
    <xf numFmtId="0" fontId="11" fillId="0" borderId="34" xfId="43" applyFont="1" applyBorder="1" applyAlignment="1">
      <alignment horizontal="center" vertical="center" shrinkToFit="1"/>
    </xf>
    <xf numFmtId="0" fontId="11" fillId="0" borderId="35" xfId="43" applyFont="1" applyBorder="1" applyAlignment="1">
      <alignment horizontal="center" vertical="center" shrinkToFit="1"/>
    </xf>
    <xf numFmtId="0" fontId="13" fillId="0" borderId="31" xfId="43" applyFont="1" applyBorder="1" applyAlignment="1">
      <alignment horizontal="center" vertical="center" shrinkToFit="1"/>
    </xf>
    <xf numFmtId="0" fontId="13" fillId="0" borderId="32" xfId="43" applyFont="1" applyBorder="1" applyAlignment="1">
      <alignment horizontal="center" vertical="center" shrinkToFit="1"/>
    </xf>
    <xf numFmtId="0" fontId="13" fillId="0" borderId="34" xfId="43" applyFont="1" applyBorder="1" applyAlignment="1">
      <alignment horizontal="center" vertical="center" shrinkToFit="1"/>
    </xf>
    <xf numFmtId="0" fontId="13" fillId="0" borderId="35" xfId="43" applyFont="1" applyBorder="1" applyAlignment="1">
      <alignment horizontal="center" vertical="center" shrinkToFit="1"/>
    </xf>
    <xf numFmtId="0" fontId="11" fillId="0" borderId="26" xfId="43" applyFont="1" applyBorder="1" applyAlignment="1">
      <alignment horizontal="center" vertical="center" shrinkToFit="1"/>
    </xf>
    <xf numFmtId="0" fontId="11" fillId="0" borderId="8" xfId="43" applyFont="1" applyBorder="1" applyAlignment="1">
      <alignment horizontal="center" vertical="center" shrinkToFit="1"/>
    </xf>
    <xf numFmtId="0" fontId="16" fillId="0" borderId="25" xfId="0" applyFont="1" applyBorder="1" applyAlignment="1">
      <alignment horizontal="center" vertical="center" shrinkToFit="1"/>
    </xf>
    <xf numFmtId="0" fontId="45" fillId="0" borderId="26" xfId="0" applyFont="1" applyBorder="1" applyAlignment="1">
      <alignment horizontal="center" vertical="center" shrinkToFit="1"/>
    </xf>
    <xf numFmtId="0" fontId="45" fillId="0" borderId="59" xfId="0" applyFont="1" applyBorder="1" applyAlignment="1">
      <alignment horizontal="center" vertical="center" shrinkToFit="1"/>
    </xf>
    <xf numFmtId="0" fontId="13" fillId="0" borderId="53" xfId="0" applyFont="1" applyBorder="1" applyAlignment="1">
      <alignment horizontal="center" vertical="center" shrinkToFit="1"/>
    </xf>
    <xf numFmtId="0" fontId="13" fillId="0" borderId="60" xfId="0" applyFont="1" applyBorder="1" applyAlignment="1">
      <alignment horizontal="center" vertical="center" shrinkToFit="1"/>
    </xf>
    <xf numFmtId="0" fontId="13" fillId="0" borderId="52" xfId="0" applyFont="1" applyBorder="1" applyAlignment="1">
      <alignment horizontal="center" vertical="center" shrinkToFit="1"/>
    </xf>
    <xf numFmtId="0" fontId="13" fillId="0" borderId="17" xfId="0" applyFont="1" applyBorder="1" applyAlignment="1">
      <alignment horizontal="center" vertical="center" shrinkToFit="1"/>
    </xf>
    <xf numFmtId="20" fontId="47" fillId="0" borderId="0" xfId="0" applyNumberFormat="1" applyFont="1" applyAlignment="1">
      <alignment horizontal="right" vertical="center"/>
    </xf>
    <xf numFmtId="0" fontId="13" fillId="0" borderId="14" xfId="0" applyFont="1" applyBorder="1" applyAlignment="1">
      <alignment horizontal="center" vertical="center"/>
    </xf>
    <xf numFmtId="20" fontId="46" fillId="0" borderId="31" xfId="0" applyNumberFormat="1" applyFont="1" applyBorder="1" applyAlignment="1">
      <alignment horizontal="right" vertical="center"/>
    </xf>
    <xf numFmtId="20" fontId="46" fillId="0" borderId="34" xfId="0" applyNumberFormat="1" applyFont="1" applyBorder="1" applyAlignment="1">
      <alignment horizontal="right" vertical="center"/>
    </xf>
    <xf numFmtId="0" fontId="45" fillId="0" borderId="8" xfId="0" applyFont="1" applyBorder="1" applyAlignment="1">
      <alignment horizontal="center" vertical="center" shrinkToFit="1"/>
    </xf>
    <xf numFmtId="0" fontId="13" fillId="0" borderId="9" xfId="0" applyFont="1" applyBorder="1" applyAlignment="1">
      <alignment horizontal="center" vertical="center" shrinkToFit="1"/>
    </xf>
    <xf numFmtId="0" fontId="13" fillId="0" borderId="51" xfId="0" applyFont="1" applyBorder="1" applyAlignment="1">
      <alignment horizontal="center" vertical="center" shrinkToFit="1"/>
    </xf>
    <xf numFmtId="0" fontId="13" fillId="14" borderId="14" xfId="0" applyFont="1" applyFill="1" applyBorder="1" applyAlignment="1">
      <alignment horizontal="center" vertical="center"/>
    </xf>
    <xf numFmtId="20" fontId="46" fillId="14" borderId="31" xfId="0" applyNumberFormat="1" applyFont="1" applyFill="1" applyBorder="1" applyAlignment="1">
      <alignment horizontal="right" vertical="center"/>
    </xf>
    <xf numFmtId="20" fontId="46" fillId="14" borderId="34" xfId="0" applyNumberFormat="1" applyFont="1" applyFill="1" applyBorder="1" applyAlignment="1">
      <alignment horizontal="right" vertical="center"/>
    </xf>
    <xf numFmtId="0" fontId="48" fillId="0" borderId="54" xfId="0" applyFont="1" applyBorder="1" applyAlignment="1">
      <alignment horizontal="center" vertical="center" shrinkToFit="1"/>
    </xf>
    <xf numFmtId="0" fontId="48" fillId="0" borderId="55" xfId="0" applyFont="1" applyBorder="1" applyAlignment="1">
      <alignment horizontal="center" vertical="center" shrinkToFit="1"/>
    </xf>
    <xf numFmtId="0" fontId="48" fillId="0" borderId="56" xfId="0" applyFont="1" applyBorder="1" applyAlignment="1">
      <alignment horizontal="center" vertical="center" shrinkToFit="1"/>
    </xf>
    <xf numFmtId="0" fontId="48" fillId="0" borderId="57" xfId="0" applyFont="1" applyBorder="1" applyAlignment="1">
      <alignment horizontal="center" vertical="center" shrinkToFit="1"/>
    </xf>
    <xf numFmtId="0" fontId="48" fillId="0" borderId="33" xfId="0" applyFont="1" applyBorder="1" applyAlignment="1">
      <alignment horizontal="center" vertical="center" shrinkToFit="1"/>
    </xf>
    <xf numFmtId="0" fontId="48" fillId="0" borderId="58" xfId="0" applyFont="1" applyBorder="1" applyAlignment="1">
      <alignment horizontal="center" vertical="center" shrinkToFit="1"/>
    </xf>
    <xf numFmtId="0" fontId="45" fillId="0" borderId="42" xfId="0" applyFont="1" applyBorder="1" applyAlignment="1">
      <alignment horizontal="center" vertical="center"/>
    </xf>
    <xf numFmtId="0" fontId="45" fillId="0" borderId="43" xfId="0" applyFont="1" applyBorder="1" applyAlignment="1">
      <alignment horizontal="center" vertical="center"/>
    </xf>
    <xf numFmtId="0" fontId="45" fillId="0" borderId="42" xfId="0" applyFont="1" applyBorder="1" applyAlignment="1">
      <alignment horizontal="center" vertical="center" wrapText="1"/>
    </xf>
    <xf numFmtId="0" fontId="45" fillId="0" borderId="43" xfId="0" applyFont="1" applyBorder="1" applyAlignment="1">
      <alignment horizontal="center" vertical="center" wrapText="1"/>
    </xf>
    <xf numFmtId="0" fontId="45" fillId="0" borderId="44" xfId="0" applyFont="1" applyBorder="1" applyAlignment="1">
      <alignment horizontal="center" vertical="center" wrapText="1"/>
    </xf>
    <xf numFmtId="0" fontId="13" fillId="0" borderId="7" xfId="0" applyFont="1" applyBorder="1" applyAlignment="1">
      <alignment horizontal="center" vertical="center" shrinkToFit="1"/>
    </xf>
    <xf numFmtId="0" fontId="45" fillId="0" borderId="49" xfId="0" applyFont="1" applyBorder="1" applyAlignment="1">
      <alignment horizontal="center" vertical="center" shrinkToFit="1"/>
    </xf>
    <xf numFmtId="0" fontId="13" fillId="0" borderId="50" xfId="0" applyFont="1" applyBorder="1" applyAlignment="1">
      <alignment horizontal="center" vertical="center" shrinkToFit="1"/>
    </xf>
    <xf numFmtId="0" fontId="39" fillId="0" borderId="0" xfId="0" applyFont="1" applyAlignment="1">
      <alignment horizontal="left" vertical="center"/>
    </xf>
    <xf numFmtId="0" fontId="40" fillId="0" borderId="0" xfId="0" applyFont="1" applyAlignment="1">
      <alignment horizontal="left" vertical="center" wrapText="1"/>
    </xf>
    <xf numFmtId="0" fontId="40" fillId="0" borderId="0" xfId="0" applyFont="1" applyAlignment="1">
      <alignment vertical="top" wrapText="1"/>
    </xf>
    <xf numFmtId="0" fontId="39" fillId="0" borderId="37" xfId="0" applyFont="1" applyBorder="1" applyAlignment="1">
      <alignment horizontal="center" vertical="center" shrinkToFit="1"/>
    </xf>
    <xf numFmtId="0" fontId="39" fillId="0" borderId="38" xfId="0" applyFont="1" applyBorder="1" applyAlignment="1">
      <alignment horizontal="center" vertical="center" shrinkToFit="1"/>
    </xf>
    <xf numFmtId="0" fontId="39" fillId="0" borderId="39" xfId="0" applyFont="1" applyBorder="1" applyAlignment="1">
      <alignment horizontal="center" vertical="center" shrinkToFit="1"/>
    </xf>
    <xf numFmtId="0" fontId="44" fillId="0" borderId="37" xfId="0" applyFont="1" applyBorder="1" applyAlignment="1">
      <alignment horizontal="center" vertical="center"/>
    </xf>
    <xf numFmtId="0" fontId="44" fillId="0" borderId="38" xfId="0" applyFont="1" applyBorder="1" applyAlignment="1">
      <alignment horizontal="center" vertical="center"/>
    </xf>
    <xf numFmtId="0" fontId="44" fillId="0" borderId="39" xfId="0" applyFont="1" applyBorder="1" applyAlignment="1">
      <alignment horizontal="center" vertical="center"/>
    </xf>
    <xf numFmtId="0" fontId="44" fillId="0" borderId="42" xfId="0" applyFont="1" applyBorder="1" applyAlignment="1">
      <alignment horizontal="center" vertical="center"/>
    </xf>
    <xf numFmtId="0" fontId="44" fillId="0" borderId="43" xfId="0" applyFont="1" applyBorder="1" applyAlignment="1">
      <alignment horizontal="center" vertical="center"/>
    </xf>
    <xf numFmtId="0" fontId="44" fillId="0" borderId="44" xfId="0" applyFont="1" applyBorder="1" applyAlignment="1">
      <alignment horizontal="center" vertical="center"/>
    </xf>
    <xf numFmtId="0" fontId="51" fillId="0" borderId="0" xfId="42" applyFont="1" applyAlignment="1">
      <alignment horizontal="center" vertical="center"/>
    </xf>
    <xf numFmtId="0" fontId="41" fillId="0" borderId="14" xfId="42" applyFont="1" applyBorder="1" applyAlignment="1">
      <alignment horizontal="center" vertical="center"/>
    </xf>
    <xf numFmtId="0" fontId="42" fillId="0" borderId="61" xfId="42" applyFont="1" applyBorder="1" applyAlignment="1">
      <alignment horizontal="center" vertical="center"/>
    </xf>
    <xf numFmtId="0" fontId="42" fillId="0" borderId="62" xfId="42" applyFont="1" applyBorder="1" applyAlignment="1">
      <alignment horizontal="center" vertical="center"/>
    </xf>
    <xf numFmtId="0" fontId="42" fillId="0" borderId="18" xfId="42" applyFont="1" applyBorder="1" applyAlignment="1">
      <alignment horizontal="center" vertical="center"/>
    </xf>
    <xf numFmtId="0" fontId="41" fillId="0" borderId="45" xfId="42" applyFont="1" applyBorder="1" applyAlignment="1">
      <alignment horizontal="center" vertical="center"/>
    </xf>
    <xf numFmtId="0" fontId="49" fillId="0" borderId="2" xfId="42" applyFont="1" applyBorder="1" applyAlignment="1">
      <alignment horizontal="center" vertical="center"/>
    </xf>
    <xf numFmtId="0" fontId="49" fillId="0" borderId="3" xfId="42" applyFont="1" applyBorder="1" applyAlignment="1">
      <alignment horizontal="center" vertical="center"/>
    </xf>
    <xf numFmtId="0" fontId="49" fillId="0" borderId="63" xfId="42" applyFont="1" applyBorder="1" applyAlignment="1">
      <alignment horizontal="center" vertical="center"/>
    </xf>
    <xf numFmtId="0" fontId="49" fillId="0" borderId="4" xfId="42" applyFont="1" applyBorder="1" applyAlignment="1">
      <alignment horizontal="center" vertical="center"/>
    </xf>
    <xf numFmtId="0" fontId="49" fillId="0" borderId="6" xfId="42" applyFont="1" applyBorder="1" applyAlignment="1">
      <alignment horizontal="center" vertical="center"/>
    </xf>
    <xf numFmtId="0" fontId="41" fillId="0" borderId="51" xfId="42" applyFont="1" applyBorder="1" applyAlignment="1">
      <alignment horizontal="center" vertical="center" shrinkToFit="1"/>
    </xf>
    <xf numFmtId="0" fontId="41" fillId="0" borderId="8" xfId="42" applyFont="1" applyBorder="1" applyAlignment="1">
      <alignment horizontal="center" vertical="center" shrinkToFit="1"/>
    </xf>
    <xf numFmtId="0" fontId="41" fillId="0" borderId="34" xfId="42" applyFont="1" applyBorder="1" applyAlignment="1">
      <alignment horizontal="center" vertical="center" shrinkToFit="1"/>
    </xf>
    <xf numFmtId="0" fontId="41" fillId="0" borderId="33" xfId="42" applyFont="1" applyBorder="1" applyAlignment="1">
      <alignment horizontal="center" vertical="center" shrinkToFit="1"/>
    </xf>
    <xf numFmtId="0" fontId="41" fillId="0" borderId="65" xfId="42" applyFont="1" applyBorder="1" applyAlignment="1">
      <alignment horizontal="center" vertical="center" shrinkToFit="1"/>
    </xf>
    <xf numFmtId="0" fontId="41" fillId="0" borderId="35" xfId="42" applyFont="1" applyBorder="1" applyAlignment="1">
      <alignment horizontal="center" vertical="center" shrinkToFit="1"/>
    </xf>
    <xf numFmtId="0" fontId="41" fillId="0" borderId="23" xfId="42" applyFont="1" applyBorder="1" applyAlignment="1">
      <alignment horizontal="center" vertical="center" shrinkToFit="1"/>
    </xf>
    <xf numFmtId="0" fontId="41" fillId="0" borderId="19" xfId="42" applyFont="1" applyBorder="1" applyAlignment="1">
      <alignment horizontal="center" vertical="center" shrinkToFit="1"/>
    </xf>
    <xf numFmtId="0" fontId="41" fillId="0" borderId="70" xfId="42" applyFont="1" applyBorder="1" applyAlignment="1">
      <alignment horizontal="center" vertical="center" shrinkToFit="1"/>
    </xf>
    <xf numFmtId="0" fontId="41" fillId="0" borderId="62" xfId="42" applyFont="1" applyBorder="1" applyAlignment="1">
      <alignment horizontal="center" vertical="center" shrinkToFit="1"/>
    </xf>
    <xf numFmtId="0" fontId="41" fillId="0" borderId="18" xfId="42" applyFont="1" applyBorder="1" applyAlignment="1">
      <alignment horizontal="center" vertical="center" shrinkToFit="1"/>
    </xf>
    <xf numFmtId="0" fontId="41" fillId="0" borderId="20" xfId="42" applyFont="1" applyBorder="1" applyAlignment="1">
      <alignment horizontal="center" vertical="center" shrinkToFit="1"/>
    </xf>
    <xf numFmtId="0" fontId="41" fillId="0" borderId="61" xfId="42" applyFont="1" applyBorder="1" applyAlignment="1">
      <alignment horizontal="center" vertical="center" shrinkToFit="1"/>
    </xf>
    <xf numFmtId="0" fontId="41" fillId="0" borderId="71" xfId="42" applyFont="1" applyBorder="1" applyAlignment="1">
      <alignment horizontal="center" vertical="center" shrinkToFit="1"/>
    </xf>
    <xf numFmtId="0" fontId="41" fillId="0" borderId="36" xfId="42" applyFont="1" applyBorder="1" applyAlignment="1">
      <alignment horizontal="center" vertical="center"/>
    </xf>
    <xf numFmtId="0" fontId="41" fillId="0" borderId="73" xfId="42" applyFont="1" applyBorder="1" applyAlignment="1">
      <alignment horizontal="center" vertical="center"/>
    </xf>
    <xf numFmtId="0" fontId="41" fillId="0" borderId="22" xfId="42" applyFont="1" applyBorder="1" applyAlignment="1">
      <alignment horizontal="center" vertical="center"/>
    </xf>
    <xf numFmtId="0" fontId="41" fillId="0" borderId="12" xfId="42" applyFont="1" applyBorder="1" applyAlignment="1">
      <alignment horizontal="center" vertical="center"/>
    </xf>
    <xf numFmtId="0" fontId="41" fillId="0" borderId="75" xfId="42" applyFont="1" applyBorder="1" applyAlignment="1">
      <alignment horizontal="center" vertical="center"/>
    </xf>
    <xf numFmtId="0" fontId="41" fillId="0" borderId="76" xfId="42" applyFont="1" applyBorder="1" applyAlignment="1">
      <alignment horizontal="center" vertical="center"/>
    </xf>
    <xf numFmtId="0" fontId="41" fillId="0" borderId="77" xfId="42" applyFont="1" applyBorder="1" applyAlignment="1">
      <alignment horizontal="center" vertical="center"/>
    </xf>
    <xf numFmtId="0" fontId="41" fillId="0" borderId="78" xfId="42" applyFont="1" applyBorder="1" applyAlignment="1">
      <alignment horizontal="center" vertical="center"/>
    </xf>
    <xf numFmtId="0" fontId="41" fillId="0" borderId="79" xfId="42" applyFont="1" applyBorder="1" applyAlignment="1">
      <alignment horizontal="center" vertical="center"/>
    </xf>
    <xf numFmtId="0" fontId="41" fillId="0" borderId="31" xfId="42" applyFont="1" applyBorder="1" applyAlignment="1">
      <alignment horizontal="center" vertical="center"/>
    </xf>
    <xf numFmtId="0" fontId="41" fillId="0" borderId="55" xfId="42" applyFont="1" applyBorder="1" applyAlignment="1">
      <alignment horizontal="center" vertical="center"/>
    </xf>
    <xf numFmtId="0" fontId="41" fillId="0" borderId="66" xfId="42" applyFont="1" applyBorder="1" applyAlignment="1">
      <alignment horizontal="center" vertical="center"/>
    </xf>
    <xf numFmtId="0" fontId="41" fillId="0" borderId="0" xfId="42" applyFont="1" applyAlignment="1">
      <alignment horizontal="center" vertical="center"/>
    </xf>
    <xf numFmtId="0" fontId="41" fillId="0" borderId="34" xfId="42" applyFont="1" applyBorder="1" applyAlignment="1">
      <alignment horizontal="center" vertical="center"/>
    </xf>
    <xf numFmtId="0" fontId="41" fillId="0" borderId="33" xfId="42" applyFont="1" applyBorder="1" applyAlignment="1">
      <alignment horizontal="center" vertical="center"/>
    </xf>
    <xf numFmtId="0" fontId="41" fillId="0" borderId="9" xfId="42" applyFont="1" applyBorder="1" applyAlignment="1">
      <alignment horizontal="center" vertical="center" shrinkToFit="1"/>
    </xf>
    <xf numFmtId="0" fontId="41" fillId="0" borderId="21" xfId="42" applyFont="1" applyBorder="1" applyAlignment="1">
      <alignment horizontal="center" vertical="center" shrinkToFit="1"/>
    </xf>
    <xf numFmtId="0" fontId="41" fillId="0" borderId="14" xfId="42" applyFont="1" applyBorder="1" applyAlignment="1">
      <alignment horizontal="center" vertical="center" shrinkToFit="1"/>
    </xf>
    <xf numFmtId="0" fontId="41" fillId="0" borderId="67" xfId="42" applyFont="1" applyBorder="1" applyAlignment="1">
      <alignment horizontal="center" vertical="center" shrinkToFit="1"/>
    </xf>
    <xf numFmtId="0" fontId="41" fillId="0" borderId="68" xfId="42" applyFont="1" applyBorder="1" applyAlignment="1">
      <alignment horizontal="center" vertical="center" shrinkToFit="1"/>
    </xf>
    <xf numFmtId="0" fontId="41" fillId="0" borderId="16" xfId="42" applyFont="1" applyBorder="1" applyAlignment="1">
      <alignment horizontal="center" vertical="center" shrinkToFit="1"/>
    </xf>
    <xf numFmtId="0" fontId="41" fillId="0" borderId="15" xfId="42" applyFont="1" applyBorder="1" applyAlignment="1">
      <alignment horizontal="center" vertical="center" shrinkToFit="1"/>
    </xf>
    <xf numFmtId="0" fontId="41" fillId="0" borderId="45" xfId="42" applyFont="1" applyBorder="1" applyAlignment="1">
      <alignment horizontal="center" vertical="center" shrinkToFit="1"/>
    </xf>
    <xf numFmtId="0" fontId="41" fillId="0" borderId="69" xfId="42" applyFont="1" applyBorder="1" applyAlignment="1">
      <alignment horizontal="center" vertical="center" shrinkToFit="1"/>
    </xf>
    <xf numFmtId="0" fontId="41" fillId="0" borderId="64" xfId="42" applyFont="1" applyBorder="1" applyAlignment="1">
      <alignment horizontal="center" vertical="center" shrinkToFit="1"/>
    </xf>
    <xf numFmtId="0" fontId="41" fillId="0" borderId="52" xfId="42" applyFont="1" applyBorder="1" applyAlignment="1">
      <alignment horizontal="center" vertical="center"/>
    </xf>
    <xf numFmtId="0" fontId="41" fillId="0" borderId="26" xfId="42" applyFont="1" applyBorder="1" applyAlignment="1">
      <alignment horizontal="center" vertical="center"/>
    </xf>
    <xf numFmtId="0" fontId="41" fillId="0" borderId="72" xfId="42" applyFont="1" applyBorder="1" applyAlignment="1">
      <alignment horizontal="center" vertical="center"/>
    </xf>
    <xf numFmtId="0" fontId="41" fillId="0" borderId="41" xfId="42" applyFont="1" applyBorder="1" applyAlignment="1">
      <alignment horizontal="center" vertical="center"/>
    </xf>
    <xf numFmtId="0" fontId="52" fillId="0" borderId="42" xfId="44" applyFont="1" applyBorder="1" applyAlignment="1">
      <alignment horizontal="center" vertical="center"/>
    </xf>
    <xf numFmtId="0" fontId="52" fillId="0" borderId="90" xfId="44" applyFont="1" applyBorder="1" applyAlignment="1">
      <alignment horizontal="center" vertical="center"/>
    </xf>
    <xf numFmtId="20" fontId="52" fillId="0" borderId="43" xfId="44" applyNumberFormat="1" applyFont="1" applyBorder="1" applyAlignment="1">
      <alignment horizontal="center" vertical="center"/>
    </xf>
    <xf numFmtId="20" fontId="52" fillId="0" borderId="36" xfId="44" applyNumberFormat="1" applyFont="1" applyBorder="1" applyAlignment="1">
      <alignment horizontal="center" vertical="center"/>
    </xf>
    <xf numFmtId="0" fontId="16" fillId="0" borderId="81" xfId="40" applyFont="1" applyBorder="1" applyAlignment="1">
      <alignment horizontal="center" vertical="center" shrinkToFit="1"/>
    </xf>
    <xf numFmtId="0" fontId="16" fillId="0" borderId="82" xfId="40" applyFont="1" applyBorder="1" applyAlignment="1">
      <alignment horizontal="center" vertical="center" shrinkToFit="1"/>
    </xf>
    <xf numFmtId="0" fontId="41" fillId="0" borderId="83" xfId="42" applyFont="1" applyBorder="1" applyAlignment="1">
      <alignment horizontal="center" vertical="center" shrinkToFit="1"/>
    </xf>
    <xf numFmtId="0" fontId="41" fillId="0" borderId="84" xfId="42" applyFont="1" applyBorder="1" applyAlignment="1">
      <alignment horizontal="center" vertical="center" shrinkToFit="1"/>
    </xf>
    <xf numFmtId="0" fontId="41" fillId="0" borderId="86" xfId="42" applyFont="1" applyBorder="1" applyAlignment="1">
      <alignment horizontal="center" vertical="center" shrinkToFit="1"/>
    </xf>
    <xf numFmtId="0" fontId="41" fillId="0" borderId="87" xfId="42" applyFont="1" applyBorder="1" applyAlignment="1">
      <alignment horizontal="center" vertical="center" shrinkToFit="1"/>
    </xf>
    <xf numFmtId="0" fontId="41" fillId="0" borderId="43" xfId="42" applyFont="1" applyBorder="1" applyAlignment="1">
      <alignment horizontal="center" vertical="center" shrinkToFit="1"/>
    </xf>
    <xf numFmtId="0" fontId="41" fillId="0" borderId="88" xfId="42" applyFont="1" applyBorder="1" applyAlignment="1">
      <alignment horizontal="center" vertical="center" shrinkToFit="1"/>
    </xf>
    <xf numFmtId="0" fontId="41" fillId="0" borderId="96" xfId="42" applyFont="1" applyBorder="1" applyAlignment="1">
      <alignment horizontal="center" vertical="center" shrinkToFit="1"/>
    </xf>
    <xf numFmtId="0" fontId="41" fillId="0" borderId="36" xfId="42" applyFont="1" applyBorder="1" applyAlignment="1">
      <alignment horizontal="center" vertical="center" shrinkToFit="1"/>
    </xf>
    <xf numFmtId="0" fontId="41" fillId="0" borderId="74" xfId="42" applyFont="1" applyBorder="1" applyAlignment="1">
      <alignment horizontal="center" vertical="center" shrinkToFit="1"/>
    </xf>
    <xf numFmtId="0" fontId="16" fillId="0" borderId="89" xfId="40" applyFont="1" applyBorder="1" applyAlignment="1">
      <alignment horizontal="center" vertical="center" shrinkToFit="1"/>
    </xf>
    <xf numFmtId="0" fontId="41" fillId="0" borderId="85" xfId="42" applyFont="1" applyBorder="1" applyAlignment="1">
      <alignment horizontal="center" vertical="center" shrinkToFit="1"/>
    </xf>
    <xf numFmtId="0" fontId="41" fillId="0" borderId="44" xfId="42" applyFont="1" applyBorder="1" applyAlignment="1">
      <alignment horizontal="center" vertical="center" shrinkToFit="1"/>
    </xf>
    <xf numFmtId="0" fontId="41" fillId="0" borderId="73" xfId="42" applyFont="1" applyBorder="1" applyAlignment="1">
      <alignment horizontal="center" vertical="center" shrinkToFit="1"/>
    </xf>
    <xf numFmtId="0" fontId="52" fillId="0" borderId="91" xfId="40" applyFont="1" applyBorder="1" applyAlignment="1">
      <alignment horizontal="center" vertical="center" shrinkToFit="1"/>
    </xf>
    <xf numFmtId="0" fontId="52" fillId="0" borderId="92" xfId="40" applyFont="1" applyBorder="1" applyAlignment="1">
      <alignment horizontal="center" vertical="center" shrinkToFit="1"/>
    </xf>
    <xf numFmtId="0" fontId="52" fillId="0" borderId="93" xfId="40" applyFont="1" applyBorder="1" applyAlignment="1">
      <alignment horizontal="center" vertical="center" shrinkToFit="1"/>
    </xf>
    <xf numFmtId="0" fontId="52" fillId="0" borderId="94" xfId="40" applyFont="1" applyBorder="1" applyAlignment="1">
      <alignment horizontal="center" vertical="center" shrinkToFit="1"/>
    </xf>
    <xf numFmtId="0" fontId="52" fillId="0" borderId="95" xfId="40" applyFont="1" applyBorder="1" applyAlignment="1">
      <alignment horizontal="center" vertical="center" shrinkToFit="1"/>
    </xf>
    <xf numFmtId="0" fontId="52" fillId="0" borderId="97" xfId="40" applyFont="1" applyBorder="1" applyAlignment="1">
      <alignment horizontal="center" vertical="center" shrinkToFit="1"/>
    </xf>
    <xf numFmtId="0" fontId="49" fillId="0" borderId="37" xfId="40" applyFont="1" applyBorder="1" applyAlignment="1">
      <alignment horizontal="center" vertical="center" shrinkToFit="1"/>
    </xf>
    <xf numFmtId="0" fontId="49" fillId="0" borderId="38" xfId="40" applyFont="1" applyBorder="1" applyAlignment="1">
      <alignment horizontal="center" vertical="center" shrinkToFit="1"/>
    </xf>
    <xf numFmtId="0" fontId="49" fillId="0" borderId="39" xfId="40" applyFont="1" applyBorder="1" applyAlignment="1">
      <alignment horizontal="center" vertical="center" shrinkToFit="1"/>
    </xf>
    <xf numFmtId="0" fontId="41" fillId="0" borderId="2" xfId="40" applyFont="1" applyBorder="1" applyAlignment="1" applyProtection="1">
      <alignment horizontal="center" vertical="center" shrinkToFit="1"/>
      <protection locked="0"/>
    </xf>
    <xf numFmtId="0" fontId="41" fillId="0" borderId="3" xfId="40" applyFont="1" applyBorder="1" applyAlignment="1" applyProtection="1">
      <alignment horizontal="center" vertical="center" shrinkToFit="1"/>
      <protection locked="0"/>
    </xf>
    <xf numFmtId="0" fontId="16" fillId="0" borderId="5" xfId="40" applyFont="1" applyBorder="1" applyAlignment="1">
      <alignment horizontal="center" vertical="center" wrapText="1" shrinkToFit="1"/>
    </xf>
    <xf numFmtId="0" fontId="16" fillId="0" borderId="4" xfId="40" applyFont="1" applyBorder="1" applyAlignment="1">
      <alignment horizontal="center" vertical="center" shrinkToFit="1"/>
    </xf>
    <xf numFmtId="0" fontId="16" fillId="0" borderId="4" xfId="40" applyFont="1" applyBorder="1" applyAlignment="1">
      <alignment horizontal="center" vertical="center" wrapText="1" shrinkToFit="1"/>
    </xf>
    <xf numFmtId="0" fontId="16" fillId="0" borderId="6" xfId="40" applyFont="1" applyBorder="1" applyAlignment="1">
      <alignment horizontal="center" vertical="center" shrinkToFit="1"/>
    </xf>
    <xf numFmtId="0" fontId="16" fillId="0" borderId="0" xfId="40" applyFont="1" applyAlignment="1">
      <alignment horizontal="center" vertical="center" wrapText="1" shrinkToFit="1"/>
    </xf>
    <xf numFmtId="0" fontId="16" fillId="0" borderId="0" xfId="40" applyFont="1" applyAlignment="1">
      <alignment horizontal="center" vertical="center" shrinkToFit="1"/>
    </xf>
    <xf numFmtId="0" fontId="41" fillId="0" borderId="10" xfId="44" applyFont="1" applyBorder="1" applyAlignment="1">
      <alignment horizontal="center" vertical="center" shrinkToFit="1"/>
    </xf>
    <xf numFmtId="0" fontId="41" fillId="0" borderId="51" xfId="44" applyFont="1" applyBorder="1" applyAlignment="1">
      <alignment horizontal="center" vertical="center" shrinkToFit="1"/>
    </xf>
    <xf numFmtId="0" fontId="16" fillId="0" borderId="87" xfId="40" applyFont="1" applyBorder="1" applyAlignment="1">
      <alignment horizontal="center" vertical="center" shrinkToFit="1"/>
    </xf>
    <xf numFmtId="0" fontId="16" fillId="0" borderId="44" xfId="40" applyFont="1" applyBorder="1" applyAlignment="1">
      <alignment horizontal="center" vertical="center" shrinkToFit="1"/>
    </xf>
    <xf numFmtId="0" fontId="16" fillId="0" borderId="98" xfId="40" applyFont="1" applyBorder="1" applyAlignment="1">
      <alignment horizontal="center" vertical="center" shrinkToFit="1"/>
    </xf>
    <xf numFmtId="0" fontId="16" fillId="0" borderId="35" xfId="40" applyFont="1" applyBorder="1" applyAlignment="1">
      <alignment horizontal="center" vertical="center" shrinkToFit="1"/>
    </xf>
    <xf numFmtId="0" fontId="16" fillId="0" borderId="49" xfId="40" applyFont="1" applyBorder="1" applyAlignment="1">
      <alignment horizontal="center" vertical="center" shrinkToFit="1"/>
    </xf>
    <xf numFmtId="0" fontId="16" fillId="0" borderId="8" xfId="40" applyFont="1" applyBorder="1" applyAlignment="1">
      <alignment horizontal="center" vertical="center" shrinkToFit="1"/>
    </xf>
    <xf numFmtId="0" fontId="54" fillId="0" borderId="75" xfId="40" applyFont="1" applyBorder="1" applyAlignment="1">
      <alignment horizontal="right" vertical="center" shrinkToFit="1"/>
    </xf>
    <xf numFmtId="0" fontId="54" fillId="0" borderId="45" xfId="40" applyFont="1" applyBorder="1" applyAlignment="1">
      <alignment horizontal="right" vertical="center" shrinkToFit="1"/>
    </xf>
    <xf numFmtId="0" fontId="16" fillId="0" borderId="11" xfId="40" applyFont="1" applyBorder="1" applyAlignment="1">
      <alignment horizontal="left" vertical="center" shrinkToFit="1"/>
    </xf>
    <xf numFmtId="0" fontId="16" fillId="0" borderId="16" xfId="40" applyFont="1" applyBorder="1" applyAlignment="1">
      <alignment horizontal="left" vertical="center" shrinkToFit="1"/>
    </xf>
    <xf numFmtId="0" fontId="39" fillId="0" borderId="11" xfId="40" applyFont="1" applyBorder="1" applyAlignment="1" applyProtection="1">
      <alignment horizontal="center" vertical="center" shrinkToFit="1"/>
      <protection locked="0"/>
    </xf>
    <xf numFmtId="0" fontId="39" fillId="0" borderId="13" xfId="40" applyFont="1" applyBorder="1" applyAlignment="1" applyProtection="1">
      <alignment horizontal="center" vertical="center" shrinkToFit="1"/>
      <protection locked="0"/>
    </xf>
    <xf numFmtId="0" fontId="39" fillId="0" borderId="16" xfId="40" applyFont="1" applyBorder="1" applyAlignment="1" applyProtection="1">
      <alignment horizontal="center" vertical="center" shrinkToFit="1"/>
      <protection locked="0"/>
    </xf>
    <xf numFmtId="0" fontId="39" fillId="0" borderId="15" xfId="40" applyFont="1" applyBorder="1" applyAlignment="1" applyProtection="1">
      <alignment horizontal="center" vertical="center" shrinkToFit="1"/>
      <protection locked="0"/>
    </xf>
    <xf numFmtId="0" fontId="55" fillId="0" borderId="0" xfId="40" applyFont="1" applyAlignment="1">
      <alignment horizontal="center" vertical="center" shrinkToFit="1"/>
    </xf>
    <xf numFmtId="0" fontId="56" fillId="0" borderId="0" xfId="40" applyFont="1" applyAlignment="1">
      <alignment horizontal="right" vertical="center" shrinkToFit="1"/>
    </xf>
    <xf numFmtId="0" fontId="55" fillId="0" borderId="0" xfId="40" applyFont="1" applyAlignment="1">
      <alignment horizontal="left" vertical="center" shrinkToFit="1"/>
    </xf>
    <xf numFmtId="0" fontId="16" fillId="0" borderId="80" xfId="40" applyFont="1" applyBorder="1" applyAlignment="1">
      <alignment horizontal="center" vertical="center" shrinkToFit="1"/>
    </xf>
    <xf numFmtId="0" fontId="16" fillId="0" borderId="99" xfId="40" applyFont="1" applyBorder="1" applyAlignment="1">
      <alignment horizontal="center" vertical="center" shrinkToFit="1"/>
    </xf>
    <xf numFmtId="0" fontId="54" fillId="0" borderId="34" xfId="40" applyFont="1" applyBorder="1" applyAlignment="1">
      <alignment horizontal="right" vertical="center" shrinkToFit="1"/>
    </xf>
    <xf numFmtId="0" fontId="16" fillId="0" borderId="35" xfId="40" applyFont="1" applyBorder="1" applyAlignment="1">
      <alignment horizontal="left" vertical="center" shrinkToFit="1"/>
    </xf>
    <xf numFmtId="0" fontId="39" fillId="0" borderId="35" xfId="40" applyFont="1" applyBorder="1" applyAlignment="1" applyProtection="1">
      <alignment horizontal="center" vertical="center" shrinkToFit="1"/>
      <protection locked="0"/>
    </xf>
    <xf numFmtId="0" fontId="39" fillId="0" borderId="9" xfId="40" applyFont="1" applyBorder="1" applyAlignment="1" applyProtection="1">
      <alignment horizontal="center" vertical="center" shrinkToFit="1"/>
      <protection locked="0"/>
    </xf>
    <xf numFmtId="0" fontId="16" fillId="0" borderId="34" xfId="40" applyFont="1" applyBorder="1" applyAlignment="1">
      <alignment horizontal="center" vertical="center" shrinkToFit="1"/>
    </xf>
    <xf numFmtId="0" fontId="16" fillId="0" borderId="58" xfId="40" applyFont="1" applyBorder="1" applyAlignment="1">
      <alignment horizontal="center" vertical="center" shrinkToFit="1"/>
    </xf>
    <xf numFmtId="0" fontId="41" fillId="0" borderId="52" xfId="44" applyFont="1" applyBorder="1" applyAlignment="1">
      <alignment horizontal="center" vertical="center" shrinkToFit="1"/>
    </xf>
    <xf numFmtId="0" fontId="16" fillId="0" borderId="31" xfId="40" applyFont="1" applyBorder="1" applyAlignment="1">
      <alignment horizontal="center" vertical="center" shrinkToFit="1"/>
    </xf>
    <xf numFmtId="0" fontId="16" fillId="0" borderId="56" xfId="40" applyFont="1" applyBorder="1" applyAlignment="1">
      <alignment horizontal="center" vertical="center" shrinkToFit="1"/>
    </xf>
    <xf numFmtId="0" fontId="16" fillId="0" borderId="32" xfId="40" applyFont="1" applyBorder="1" applyAlignment="1">
      <alignment horizontal="center" vertical="center" shrinkToFit="1"/>
    </xf>
    <xf numFmtId="0" fontId="16" fillId="0" borderId="26" xfId="40" applyFont="1" applyBorder="1" applyAlignment="1">
      <alignment horizontal="center" vertical="center" shrinkToFit="1"/>
    </xf>
    <xf numFmtId="0" fontId="57" fillId="0" borderId="16" xfId="40" applyFont="1" applyBorder="1" applyAlignment="1" applyProtection="1">
      <alignment horizontal="center" vertical="center" shrinkToFit="1"/>
      <protection locked="0"/>
    </xf>
    <xf numFmtId="0" fontId="57" fillId="0" borderId="15" xfId="40" applyFont="1" applyBorder="1" applyAlignment="1" applyProtection="1">
      <alignment horizontal="center" vertical="center" shrinkToFit="1"/>
      <protection locked="0"/>
    </xf>
    <xf numFmtId="0" fontId="41" fillId="0" borderId="17" xfId="44" applyFont="1" applyBorder="1" applyAlignment="1">
      <alignment horizontal="center" vertical="center" shrinkToFit="1"/>
    </xf>
    <xf numFmtId="0" fontId="16" fillId="0" borderId="105" xfId="40" applyFont="1" applyBorder="1" applyAlignment="1">
      <alignment horizontal="center" vertical="center" shrinkToFit="1"/>
    </xf>
    <xf numFmtId="0" fontId="16" fillId="0" borderId="59" xfId="40" applyFont="1" applyBorder="1" applyAlignment="1">
      <alignment horizontal="center" vertical="center" shrinkToFit="1"/>
    </xf>
    <xf numFmtId="0" fontId="54" fillId="0" borderId="61" xfId="40" applyFont="1" applyBorder="1" applyAlignment="1">
      <alignment horizontal="right" vertical="center" shrinkToFit="1"/>
    </xf>
    <xf numFmtId="0" fontId="16" fillId="0" borderId="18" xfId="40" applyFont="1" applyBorder="1" applyAlignment="1">
      <alignment horizontal="left" vertical="center" shrinkToFit="1"/>
    </xf>
    <xf numFmtId="0" fontId="39" fillId="0" borderId="18" xfId="40" applyFont="1" applyBorder="1" applyAlignment="1" applyProtection="1">
      <alignment horizontal="center" vertical="center" shrinkToFit="1"/>
      <protection locked="0"/>
    </xf>
    <xf numFmtId="0" fontId="39" fillId="0" borderId="20" xfId="40" applyFont="1" applyBorder="1" applyAlignment="1" applyProtection="1">
      <alignment horizontal="center" vertical="center" shrinkToFit="1"/>
      <protection locked="0"/>
    </xf>
    <xf numFmtId="0" fontId="57" fillId="0" borderId="18" xfId="40" applyFont="1" applyBorder="1" applyAlignment="1" applyProtection="1">
      <alignment horizontal="center" vertical="center" shrinkToFit="1"/>
      <protection locked="0"/>
    </xf>
    <xf numFmtId="0" fontId="57" fillId="0" borderId="20" xfId="40" applyFont="1" applyBorder="1" applyAlignment="1" applyProtection="1">
      <alignment horizontal="center" vertical="center" shrinkToFit="1"/>
      <protection locked="0"/>
    </xf>
    <xf numFmtId="0" fontId="16" fillId="0" borderId="96" xfId="40" applyFont="1" applyBorder="1" applyAlignment="1">
      <alignment horizontal="center" vertical="center" shrinkToFit="1"/>
    </xf>
    <xf numFmtId="0" fontId="16" fillId="0" borderId="73" xfId="40" applyFont="1" applyBorder="1" applyAlignment="1">
      <alignment horizontal="center" vertical="center" shrinkToFit="1"/>
    </xf>
    <xf numFmtId="0" fontId="57" fillId="0" borderId="35" xfId="40" applyFont="1" applyBorder="1" applyAlignment="1" applyProtection="1">
      <alignment horizontal="center" vertical="center" shrinkToFit="1"/>
      <protection locked="0"/>
    </xf>
    <xf numFmtId="0" fontId="57" fillId="0" borderId="9" xfId="40" applyFont="1" applyBorder="1" applyAlignment="1" applyProtection="1">
      <alignment horizontal="center" vertical="center" shrinkToFit="1"/>
      <protection locked="0"/>
    </xf>
    <xf numFmtId="0" fontId="59" fillId="0" borderId="0" xfId="41" applyFont="1" applyAlignment="1">
      <alignment horizontal="center" vertical="center" shrinkToFit="1"/>
    </xf>
    <xf numFmtId="0" fontId="0" fillId="8" borderId="107" xfId="0" applyFill="1" applyBorder="1" applyAlignment="1">
      <alignment horizontal="center" vertical="center"/>
    </xf>
    <xf numFmtId="0" fontId="0" fillId="8" borderId="108" xfId="0" applyFill="1" applyBorder="1" applyAlignment="1">
      <alignment horizontal="center" vertical="center"/>
    </xf>
    <xf numFmtId="0" fontId="0" fillId="8" borderId="25" xfId="0" applyFill="1" applyBorder="1" applyAlignment="1">
      <alignment horizontal="center" vertical="center"/>
    </xf>
    <xf numFmtId="0" fontId="0" fillId="8" borderId="110" xfId="0" applyFill="1" applyBorder="1" applyAlignment="1">
      <alignment horizontal="center" vertical="center"/>
    </xf>
    <xf numFmtId="0" fontId="0" fillId="8" borderId="112" xfId="0" applyFill="1" applyBorder="1" applyAlignment="1">
      <alignment horizontal="center" vertical="center"/>
    </xf>
    <xf numFmtId="0" fontId="0" fillId="8" borderId="113" xfId="0" applyFill="1" applyBorder="1" applyAlignment="1">
      <alignment horizontal="center" vertical="center"/>
    </xf>
    <xf numFmtId="0" fontId="0" fillId="0" borderId="45" xfId="0" applyBorder="1" applyAlignment="1">
      <alignment horizontal="center" vertical="center"/>
    </xf>
    <xf numFmtId="0" fontId="0" fillId="0" borderId="68" xfId="0" applyBorder="1" applyAlignment="1">
      <alignment horizontal="center" vertical="center"/>
    </xf>
    <xf numFmtId="0" fontId="0" fillId="0" borderId="114" xfId="0" applyBorder="1" applyAlignment="1">
      <alignment horizontal="center" vertical="center"/>
    </xf>
    <xf numFmtId="20" fontId="0" fillId="0" borderId="42" xfId="0" applyNumberFormat="1" applyBorder="1" applyAlignment="1">
      <alignment horizontal="center" vertical="center"/>
    </xf>
    <xf numFmtId="20" fontId="0" fillId="0" borderId="40" xfId="0" applyNumberFormat="1" applyBorder="1" applyAlignment="1">
      <alignment horizontal="center" vertical="center"/>
    </xf>
    <xf numFmtId="20" fontId="0" fillId="0" borderId="115" xfId="0" applyNumberFormat="1" applyBorder="1" applyAlignment="1">
      <alignment horizontal="center" vertical="center"/>
    </xf>
    <xf numFmtId="0" fontId="0" fillId="8" borderId="43" xfId="0" applyFill="1" applyBorder="1" applyAlignment="1">
      <alignment horizontal="center" vertical="center" shrinkToFit="1"/>
    </xf>
    <xf numFmtId="0" fontId="0" fillId="8" borderId="0" xfId="0" applyFill="1" applyAlignment="1">
      <alignment horizontal="center" vertical="center" shrinkToFit="1"/>
    </xf>
    <xf numFmtId="0" fontId="0" fillId="8" borderId="116" xfId="0" applyFill="1" applyBorder="1" applyAlignment="1">
      <alignment horizontal="center" vertical="center" shrinkToFit="1"/>
    </xf>
    <xf numFmtId="0" fontId="61" fillId="8" borderId="43" xfId="0" applyFont="1" applyFill="1" applyBorder="1" applyAlignment="1">
      <alignment horizontal="center" vertical="center"/>
    </xf>
    <xf numFmtId="0" fontId="61" fillId="8" borderId="0" xfId="0" applyFont="1" applyFill="1" applyAlignment="1">
      <alignment horizontal="center" vertical="center"/>
    </xf>
    <xf numFmtId="0" fontId="61" fillId="8" borderId="116" xfId="0" applyFont="1" applyFill="1" applyBorder="1" applyAlignment="1">
      <alignment horizontal="center" vertical="center"/>
    </xf>
    <xf numFmtId="0" fontId="0" fillId="0" borderId="43" xfId="0" applyBorder="1" applyAlignment="1">
      <alignment horizontal="center" vertical="center"/>
    </xf>
    <xf numFmtId="0" fontId="0" fillId="0" borderId="0" xfId="0" applyAlignment="1">
      <alignment horizontal="center" vertical="center"/>
    </xf>
    <xf numFmtId="0" fontId="0" fillId="0" borderId="116" xfId="0" applyBorder="1" applyAlignment="1">
      <alignment horizontal="center" vertical="center"/>
    </xf>
    <xf numFmtId="0" fontId="0" fillId="8" borderId="44" xfId="0" applyFill="1" applyBorder="1" applyAlignment="1">
      <alignment horizontal="center" vertical="center" shrinkToFit="1"/>
    </xf>
    <xf numFmtId="0" fontId="0" fillId="8" borderId="41" xfId="0" applyFill="1" applyBorder="1" applyAlignment="1">
      <alignment horizontal="center" vertical="center" shrinkToFit="1"/>
    </xf>
    <xf numFmtId="0" fontId="0" fillId="8" borderId="117" xfId="0" applyFill="1" applyBorder="1" applyAlignment="1">
      <alignment horizontal="center" vertical="center" shrinkToFit="1"/>
    </xf>
    <xf numFmtId="0" fontId="0" fillId="0" borderId="14" xfId="0" applyBorder="1" applyAlignment="1">
      <alignment horizontal="center" vertical="center"/>
    </xf>
    <xf numFmtId="0" fontId="58" fillId="0" borderId="33" xfId="0" applyFont="1" applyBorder="1" applyAlignment="1">
      <alignment horizontal="center" vertical="center"/>
    </xf>
    <xf numFmtId="0" fontId="58" fillId="0" borderId="58" xfId="0" applyFont="1" applyBorder="1" applyAlignment="1">
      <alignment horizontal="center" vertical="center"/>
    </xf>
    <xf numFmtId="0" fontId="7" fillId="0" borderId="14" xfId="29" applyBorder="1" applyAlignment="1">
      <alignment horizontal="center" vertical="center"/>
    </xf>
    <xf numFmtId="0" fontId="0" fillId="8" borderId="16" xfId="0" applyFill="1" applyBorder="1" applyAlignment="1">
      <alignment horizontal="center" vertical="center" shrinkToFit="1"/>
    </xf>
    <xf numFmtId="0" fontId="0" fillId="8" borderId="14" xfId="0" applyFill="1" applyBorder="1" applyAlignment="1">
      <alignment horizontal="center" vertical="center" shrinkToFit="1"/>
    </xf>
    <xf numFmtId="0" fontId="7" fillId="17" borderId="55" xfId="29" applyFill="1" applyBorder="1" applyAlignment="1">
      <alignment horizontal="center" vertical="center" shrinkToFit="1"/>
    </xf>
    <xf numFmtId="0" fontId="7" fillId="17" borderId="56" xfId="29" applyFill="1" applyBorder="1" applyAlignment="1">
      <alignment horizontal="center" vertical="center" shrinkToFit="1"/>
    </xf>
    <xf numFmtId="0" fontId="0" fillId="18" borderId="16" xfId="0" applyFill="1" applyBorder="1" applyAlignment="1">
      <alignment horizontal="center" vertical="center" shrinkToFit="1"/>
    </xf>
    <xf numFmtId="0" fontId="0" fillId="18" borderId="14" xfId="0" applyFill="1" applyBorder="1" applyAlignment="1">
      <alignment horizontal="center" vertical="center" shrinkToFit="1"/>
    </xf>
    <xf numFmtId="0" fontId="0" fillId="17" borderId="16" xfId="0" applyFill="1" applyBorder="1" applyAlignment="1">
      <alignment horizontal="center" vertical="center" shrinkToFit="1"/>
    </xf>
    <xf numFmtId="0" fontId="0" fillId="17" borderId="14" xfId="0" applyFill="1" applyBorder="1" applyAlignment="1">
      <alignment horizontal="center" vertical="center" shrinkToFit="1"/>
    </xf>
    <xf numFmtId="0" fontId="13" fillId="0" borderId="43" xfId="0" applyFont="1" applyBorder="1" applyAlignment="1">
      <alignment horizontal="center" vertical="center" shrinkToFit="1"/>
    </xf>
    <xf numFmtId="0" fontId="13" fillId="0" borderId="44" xfId="0" applyFont="1" applyBorder="1" applyAlignment="1">
      <alignment horizontal="center" vertical="center" shrinkToFit="1"/>
    </xf>
    <xf numFmtId="0" fontId="13" fillId="0" borderId="0" xfId="0" applyFont="1" applyAlignment="1">
      <alignment horizontal="center" vertical="center" shrinkToFit="1"/>
    </xf>
    <xf numFmtId="0" fontId="13" fillId="0" borderId="41" xfId="0" applyFont="1" applyBorder="1" applyAlignment="1">
      <alignment horizontal="center" vertical="center" shrinkToFit="1"/>
    </xf>
    <xf numFmtId="0" fontId="62" fillId="0" borderId="55" xfId="0" applyFont="1" applyBorder="1" applyAlignment="1">
      <alignment horizontal="center" vertical="center"/>
    </xf>
    <xf numFmtId="0" fontId="62" fillId="0" borderId="0" xfId="0" applyFont="1" applyAlignment="1">
      <alignment horizontal="center" vertical="center"/>
    </xf>
    <xf numFmtId="0" fontId="13" fillId="0" borderId="40" xfId="0" applyFont="1" applyBorder="1" applyAlignment="1">
      <alignment horizontal="center" vertical="center" shrinkToFit="1"/>
    </xf>
    <xf numFmtId="0" fontId="13" fillId="0" borderId="90" xfId="0" applyFont="1" applyBorder="1" applyAlignment="1">
      <alignment horizontal="center" vertical="center" shrinkToFit="1"/>
    </xf>
    <xf numFmtId="0" fontId="13" fillId="0" borderId="36" xfId="0" applyFont="1" applyBorder="1" applyAlignment="1">
      <alignment horizontal="center" vertical="center" shrinkToFit="1"/>
    </xf>
    <xf numFmtId="0" fontId="13" fillId="0" borderId="73" xfId="0" applyFont="1" applyBorder="1" applyAlignment="1">
      <alignment horizontal="center" vertical="center" shrinkToFit="1"/>
    </xf>
    <xf numFmtId="0" fontId="39" fillId="0" borderId="22" xfId="0" applyFont="1" applyBorder="1" applyAlignment="1">
      <alignment horizontal="center" vertical="center"/>
    </xf>
    <xf numFmtId="0" fontId="39" fillId="0" borderId="12" xfId="0" applyFont="1" applyBorder="1" applyAlignment="1">
      <alignment horizontal="center" vertical="center"/>
    </xf>
    <xf numFmtId="0" fontId="39" fillId="0" borderId="13" xfId="0" applyFont="1" applyBorder="1" applyAlignment="1">
      <alignment horizontal="center" vertical="center"/>
    </xf>
    <xf numFmtId="0" fontId="39" fillId="0" borderId="23" xfId="0" applyFont="1" applyBorder="1" applyAlignment="1">
      <alignment horizontal="center" vertical="center"/>
    </xf>
    <xf numFmtId="0" fontId="39" fillId="0" borderId="19" xfId="0" applyFont="1" applyBorder="1" applyAlignment="1">
      <alignment horizontal="center" vertical="center"/>
    </xf>
    <xf numFmtId="0" fontId="39" fillId="0" borderId="20" xfId="0" applyFont="1" applyBorder="1" applyAlignment="1">
      <alignment horizontal="center" vertical="center"/>
    </xf>
    <xf numFmtId="0" fontId="49" fillId="0" borderId="0" xfId="0" applyFont="1" applyAlignment="1">
      <alignment horizontal="center" vertical="center"/>
    </xf>
    <xf numFmtId="0" fontId="49" fillId="0" borderId="80" xfId="0" applyFont="1" applyBorder="1" applyAlignment="1">
      <alignment horizontal="center" vertical="center"/>
    </xf>
    <xf numFmtId="0" fontId="13" fillId="0" borderId="45" xfId="0" applyFont="1" applyBorder="1" applyAlignment="1">
      <alignment horizontal="center" vertical="center"/>
    </xf>
    <xf numFmtId="0" fontId="13" fillId="0" borderId="68" xfId="0" applyFont="1" applyBorder="1" applyAlignment="1">
      <alignment horizontal="center" vertical="center"/>
    </xf>
    <xf numFmtId="0" fontId="13" fillId="0" borderId="16" xfId="0" applyFont="1" applyBorder="1" applyAlignment="1">
      <alignment horizontal="center" vertical="center"/>
    </xf>
    <xf numFmtId="0" fontId="49" fillId="0" borderId="0" xfId="0" applyFont="1" applyAlignment="1">
      <alignment vertical="center"/>
    </xf>
    <xf numFmtId="0" fontId="41" fillId="0" borderId="14" xfId="0" applyFont="1" applyBorder="1" applyAlignment="1">
      <alignment horizontal="center" vertical="center"/>
    </xf>
    <xf numFmtId="0" fontId="41" fillId="0" borderId="45" xfId="0" applyFont="1" applyBorder="1" applyAlignment="1">
      <alignment horizontal="center" vertical="center"/>
    </xf>
    <xf numFmtId="0" fontId="44" fillId="0" borderId="90" xfId="0" applyFont="1" applyBorder="1" applyAlignment="1">
      <alignment horizontal="center" vertical="center"/>
    </xf>
    <xf numFmtId="0" fontId="44" fillId="0" borderId="36" xfId="0" applyFont="1" applyBorder="1" applyAlignment="1">
      <alignment horizontal="center" vertical="center"/>
    </xf>
    <xf numFmtId="0" fontId="44" fillId="0" borderId="73" xfId="0" applyFont="1" applyBorder="1" applyAlignment="1">
      <alignment horizontal="center" vertical="center"/>
    </xf>
    <xf numFmtId="0" fontId="44" fillId="0" borderId="22" xfId="0" applyFont="1" applyBorder="1" applyAlignment="1">
      <alignment horizontal="center" vertical="center"/>
    </xf>
    <xf numFmtId="0" fontId="44" fillId="0" borderId="12" xfId="0" applyFont="1" applyBorder="1" applyAlignment="1">
      <alignment horizontal="center" vertical="center"/>
    </xf>
    <xf numFmtId="0" fontId="44" fillId="0" borderId="13" xfId="0" applyFont="1" applyBorder="1" applyAlignment="1">
      <alignment horizontal="center" vertical="center"/>
    </xf>
    <xf numFmtId="0" fontId="44" fillId="0" borderId="23" xfId="0" applyFont="1" applyBorder="1" applyAlignment="1">
      <alignment horizontal="center" vertical="center"/>
    </xf>
    <xf numFmtId="0" fontId="44" fillId="0" borderId="19" xfId="0" applyFont="1" applyBorder="1" applyAlignment="1">
      <alignment horizontal="center" vertical="center"/>
    </xf>
    <xf numFmtId="0" fontId="44" fillId="0" borderId="20" xfId="0" applyFont="1" applyBorder="1" applyAlignment="1">
      <alignment horizontal="center" vertical="center"/>
    </xf>
    <xf numFmtId="0" fontId="13" fillId="0" borderId="31" xfId="0" applyFont="1" applyBorder="1" applyAlignment="1">
      <alignment horizontal="center" vertical="center" wrapText="1"/>
    </xf>
    <xf numFmtId="0" fontId="13" fillId="0" borderId="32" xfId="0" applyFont="1" applyBorder="1" applyAlignment="1">
      <alignment horizontal="center" vertical="center" wrapText="1"/>
    </xf>
    <xf numFmtId="0" fontId="13" fillId="0" borderId="66" xfId="0" applyFont="1" applyBorder="1" applyAlignment="1">
      <alignment horizontal="center" vertical="center" wrapText="1"/>
    </xf>
    <xf numFmtId="0" fontId="13" fillId="0" borderId="80" xfId="0" applyFont="1" applyBorder="1" applyAlignment="1">
      <alignment horizontal="center" vertical="center" wrapText="1"/>
    </xf>
    <xf numFmtId="0" fontId="13" fillId="0" borderId="34" xfId="0" applyFont="1" applyBorder="1" applyAlignment="1">
      <alignment horizontal="center" vertical="center" wrapText="1"/>
    </xf>
    <xf numFmtId="0" fontId="13" fillId="0" borderId="35" xfId="0" applyFont="1" applyBorder="1" applyAlignment="1">
      <alignment horizontal="center" vertical="center" wrapText="1"/>
    </xf>
    <xf numFmtId="0" fontId="41" fillId="0" borderId="34" xfId="0" applyFont="1" applyBorder="1" applyAlignment="1">
      <alignment horizontal="center" vertical="center"/>
    </xf>
    <xf numFmtId="0" fontId="41" fillId="0" borderId="33" xfId="0" applyFont="1" applyBorder="1" applyAlignment="1">
      <alignment horizontal="center" vertical="center"/>
    </xf>
    <xf numFmtId="0" fontId="41" fillId="0" borderId="68" xfId="0" applyFont="1" applyBorder="1" applyAlignment="1">
      <alignment horizontal="center" vertical="center"/>
    </xf>
    <xf numFmtId="0" fontId="13" fillId="0" borderId="45" xfId="0" applyFont="1" applyBorder="1" applyAlignment="1">
      <alignment horizontal="center" vertical="center" shrinkToFit="1"/>
    </xf>
    <xf numFmtId="0" fontId="13" fillId="0" borderId="16" xfId="0" applyFont="1" applyBorder="1" applyAlignment="1">
      <alignment horizontal="center" vertical="center" shrinkToFit="1"/>
    </xf>
    <xf numFmtId="20" fontId="46" fillId="0" borderId="14" xfId="0" applyNumberFormat="1" applyFont="1" applyBorder="1" applyAlignment="1">
      <alignment horizontal="center" vertical="center"/>
    </xf>
    <xf numFmtId="20" fontId="46" fillId="0" borderId="45" xfId="0" applyNumberFormat="1" applyFont="1" applyBorder="1" applyAlignment="1">
      <alignment horizontal="center" vertical="center"/>
    </xf>
    <xf numFmtId="0" fontId="13" fillId="0" borderId="42" xfId="0" applyFont="1" applyBorder="1" applyAlignment="1">
      <alignment horizontal="center" vertical="center" shrinkToFit="1"/>
    </xf>
    <xf numFmtId="0" fontId="16" fillId="0" borderId="43" xfId="0" applyFont="1" applyBorder="1" applyAlignment="1">
      <alignment horizontal="center" vertical="center" wrapText="1" shrinkToFit="1"/>
    </xf>
    <xf numFmtId="0" fontId="16" fillId="0" borderId="0" xfId="0" applyFont="1" applyAlignment="1">
      <alignment horizontal="center" vertical="center" wrapText="1" shrinkToFit="1"/>
    </xf>
    <xf numFmtId="0" fontId="16" fillId="0" borderId="36" xfId="0" applyFont="1" applyBorder="1" applyAlignment="1">
      <alignment horizontal="center" vertical="center" wrapText="1" shrinkToFit="1"/>
    </xf>
    <xf numFmtId="0" fontId="13" fillId="0" borderId="0" xfId="0" applyFont="1" applyAlignment="1">
      <alignment horizontal="center" vertical="center"/>
    </xf>
    <xf numFmtId="0" fontId="62" fillId="0" borderId="31" xfId="0" applyFont="1" applyBorder="1" applyAlignment="1">
      <alignment horizontal="center" vertical="center"/>
    </xf>
    <xf numFmtId="0" fontId="62" fillId="0" borderId="32" xfId="0" applyFont="1" applyBorder="1" applyAlignment="1">
      <alignment horizontal="center" vertical="center"/>
    </xf>
    <xf numFmtId="0" fontId="62" fillId="0" borderId="34" xfId="0" applyFont="1" applyBorder="1" applyAlignment="1">
      <alignment horizontal="center" vertical="center"/>
    </xf>
    <xf numFmtId="0" fontId="62" fillId="0" borderId="35" xfId="0" applyFont="1" applyBorder="1" applyAlignment="1">
      <alignment horizontal="center" vertical="center"/>
    </xf>
    <xf numFmtId="0" fontId="52" fillId="0" borderId="42" xfId="0" applyFont="1" applyBorder="1" applyAlignment="1">
      <alignment horizontal="center" vertical="center" shrinkToFit="1"/>
    </xf>
    <xf numFmtId="0" fontId="52" fillId="0" borderId="43" xfId="0" applyFont="1" applyBorder="1" applyAlignment="1">
      <alignment horizontal="center" vertical="center" shrinkToFit="1"/>
    </xf>
    <xf numFmtId="0" fontId="52" fillId="0" borderId="44" xfId="0" applyFont="1" applyBorder="1" applyAlignment="1">
      <alignment horizontal="center" vertical="center" shrinkToFit="1"/>
    </xf>
    <xf numFmtId="0" fontId="52" fillId="0" borderId="90" xfId="0" applyFont="1" applyBorder="1" applyAlignment="1">
      <alignment horizontal="center" vertical="center" shrinkToFit="1"/>
    </xf>
    <xf numFmtId="0" fontId="52" fillId="0" borderId="36" xfId="0" applyFont="1" applyBorder="1" applyAlignment="1">
      <alignment horizontal="center" vertical="center" shrinkToFit="1"/>
    </xf>
    <xf numFmtId="0" fontId="52" fillId="0" borderId="73" xfId="0" applyFont="1" applyBorder="1" applyAlignment="1">
      <alignment horizontal="center" vertical="center" shrinkToFit="1"/>
    </xf>
    <xf numFmtId="0" fontId="13" fillId="0" borderId="34" xfId="0" applyFont="1" applyBorder="1" applyAlignment="1">
      <alignment horizontal="center" vertical="center" shrinkToFit="1"/>
    </xf>
    <xf numFmtId="0" fontId="13" fillId="0" borderId="35" xfId="0" applyFont="1" applyBorder="1" applyAlignment="1">
      <alignment horizontal="center" vertical="center" shrinkToFit="1"/>
    </xf>
    <xf numFmtId="0" fontId="41" fillId="0" borderId="31" xfId="0" applyFont="1" applyBorder="1" applyAlignment="1">
      <alignment horizontal="center" vertical="center"/>
    </xf>
    <xf numFmtId="0" fontId="41" fillId="0" borderId="32" xfId="0" applyFont="1" applyBorder="1"/>
    <xf numFmtId="0" fontId="41" fillId="0" borderId="32" xfId="0" applyFont="1" applyBorder="1" applyAlignment="1">
      <alignment horizontal="center" vertical="center"/>
    </xf>
    <xf numFmtId="0" fontId="62" fillId="0" borderId="33" xfId="0" applyFont="1" applyBorder="1" applyAlignment="1">
      <alignment horizontal="center" vertical="center"/>
    </xf>
    <xf numFmtId="0" fontId="0" fillId="0" borderId="43" xfId="0" applyBorder="1" applyAlignment="1">
      <alignment horizontal="center" vertical="center" shrinkToFit="1"/>
    </xf>
    <xf numFmtId="0" fontId="0" fillId="0" borderId="0" xfId="0" applyAlignment="1">
      <alignment horizontal="center" vertical="center" shrinkToFit="1"/>
    </xf>
    <xf numFmtId="0" fontId="0" fillId="0" borderId="116" xfId="0" applyBorder="1" applyAlignment="1">
      <alignment horizontal="center" vertical="center" shrinkToFit="1"/>
    </xf>
    <xf numFmtId="0" fontId="0" fillId="0" borderId="44" xfId="0" applyBorder="1" applyAlignment="1">
      <alignment horizontal="center" vertical="center" shrinkToFit="1"/>
    </xf>
    <xf numFmtId="0" fontId="0" fillId="0" borderId="41" xfId="0" applyBorder="1" applyAlignment="1">
      <alignment horizontal="center" vertical="center" shrinkToFit="1"/>
    </xf>
    <xf numFmtId="0" fontId="0" fillId="0" borderId="117" xfId="0" applyBorder="1" applyAlignment="1">
      <alignment horizontal="center" vertical="center" shrinkToFit="1"/>
    </xf>
    <xf numFmtId="0" fontId="7" fillId="14" borderId="55" xfId="29" applyFill="1" applyBorder="1" applyAlignment="1">
      <alignment horizontal="center" vertical="center" shrinkToFit="1"/>
    </xf>
    <xf numFmtId="0" fontId="7" fillId="14" borderId="56" xfId="29" applyFill="1" applyBorder="1" applyAlignment="1">
      <alignment horizontal="center" vertical="center" shrinkToFit="1"/>
    </xf>
    <xf numFmtId="0" fontId="0" fillId="14" borderId="16" xfId="0" applyFill="1" applyBorder="1" applyAlignment="1">
      <alignment horizontal="center" vertical="center" shrinkToFit="1"/>
    </xf>
    <xf numFmtId="0" fontId="0" fillId="14" borderId="14" xfId="0" applyFill="1" applyBorder="1" applyAlignment="1">
      <alignment horizontal="center" vertical="center" shrinkToFit="1"/>
    </xf>
    <xf numFmtId="0" fontId="63" fillId="0" borderId="36" xfId="37" applyFont="1" applyBorder="1" applyAlignment="1">
      <alignment horizontal="center" vertical="center"/>
    </xf>
    <xf numFmtId="0" fontId="64" fillId="0" borderId="36" xfId="37" applyFont="1" applyBorder="1" applyAlignment="1">
      <alignment horizontal="center" vertical="center"/>
    </xf>
    <xf numFmtId="0" fontId="27" fillId="0" borderId="36" xfId="37" applyFont="1" applyBorder="1" applyAlignment="1">
      <alignment horizontal="center" vertical="center"/>
    </xf>
    <xf numFmtId="0" fontId="27" fillId="0" borderId="36" xfId="37" quotePrefix="1" applyFont="1" applyBorder="1" applyAlignment="1">
      <alignment horizontal="center" vertical="center"/>
    </xf>
    <xf numFmtId="0" fontId="65" fillId="0" borderId="42" xfId="37" applyFont="1" applyBorder="1" applyAlignment="1">
      <alignment horizontal="center" vertical="center" shrinkToFit="1"/>
    </xf>
    <xf numFmtId="0" fontId="65" fillId="0" borderId="98" xfId="37" applyFont="1" applyBorder="1" applyAlignment="1">
      <alignment horizontal="center" vertical="center" shrinkToFit="1"/>
    </xf>
    <xf numFmtId="0" fontId="66" fillId="0" borderId="87" xfId="37" applyFont="1" applyBorder="1" applyAlignment="1">
      <alignment horizontal="center" vertical="center" wrapText="1" shrinkToFit="1"/>
    </xf>
    <xf numFmtId="0" fontId="66" fillId="0" borderId="43" xfId="37" applyFont="1" applyBorder="1" applyAlignment="1">
      <alignment horizontal="center" vertical="center" shrinkToFit="1"/>
    </xf>
    <xf numFmtId="0" fontId="66" fillId="0" borderId="98" xfId="37" applyFont="1" applyBorder="1" applyAlignment="1">
      <alignment horizontal="center" vertical="center" shrinkToFit="1"/>
    </xf>
    <xf numFmtId="0" fontId="66" fillId="0" borderId="66" xfId="37" applyFont="1" applyBorder="1" applyAlignment="1">
      <alignment horizontal="center" vertical="center" shrinkToFit="1"/>
    </xf>
    <xf numFmtId="0" fontId="66" fillId="0" borderId="0" xfId="37" applyFont="1" applyAlignment="1">
      <alignment horizontal="center" vertical="center" shrinkToFit="1"/>
    </xf>
    <xf numFmtId="0" fontId="66" fillId="0" borderId="80" xfId="37" applyFont="1" applyBorder="1" applyAlignment="1">
      <alignment horizontal="center" vertical="center" shrinkToFit="1"/>
    </xf>
    <xf numFmtId="0" fontId="66" fillId="0" borderId="34" xfId="37" applyFont="1" applyBorder="1" applyAlignment="1">
      <alignment horizontal="center" vertical="center" shrinkToFit="1"/>
    </xf>
    <xf numFmtId="0" fontId="66" fillId="0" borderId="33" xfId="37" applyFont="1" applyBorder="1" applyAlignment="1">
      <alignment horizontal="center" vertical="center" shrinkToFit="1"/>
    </xf>
    <xf numFmtId="0" fontId="66" fillId="0" borderId="35" xfId="37" applyFont="1" applyBorder="1" applyAlignment="1">
      <alignment horizontal="center" vertical="center" shrinkToFit="1"/>
    </xf>
    <xf numFmtId="0" fontId="65" fillId="0" borderId="77" xfId="37" applyFont="1" applyBorder="1" applyAlignment="1">
      <alignment horizontal="center" vertical="center" shrinkToFit="1"/>
    </xf>
    <xf numFmtId="0" fontId="65" fillId="0" borderId="137" xfId="37" applyFont="1" applyBorder="1" applyAlignment="1">
      <alignment horizontal="center" vertical="center" shrinkToFit="1"/>
    </xf>
    <xf numFmtId="0" fontId="65" fillId="0" borderId="138" xfId="37" applyFont="1" applyBorder="1" applyAlignment="1">
      <alignment horizontal="center" vertical="center" shrinkToFit="1"/>
    </xf>
    <xf numFmtId="0" fontId="65" fillId="0" borderId="35" xfId="37" applyFont="1" applyBorder="1" applyAlignment="1">
      <alignment horizontal="center" vertical="center" shrinkToFit="1"/>
    </xf>
    <xf numFmtId="0" fontId="65" fillId="0" borderId="43" xfId="37" applyFont="1" applyBorder="1" applyAlignment="1">
      <alignment horizontal="center" vertical="center" shrinkToFit="1"/>
    </xf>
    <xf numFmtId="0" fontId="65" fillId="0" borderId="44" xfId="37" applyFont="1" applyBorder="1" applyAlignment="1">
      <alignment horizontal="center" vertical="center" shrinkToFit="1"/>
    </xf>
    <xf numFmtId="0" fontId="65" fillId="0" borderId="40" xfId="37" applyFont="1" applyBorder="1" applyAlignment="1">
      <alignment horizontal="center" vertical="center" shrinkToFit="1"/>
    </xf>
    <xf numFmtId="0" fontId="65" fillId="0" borderId="0" xfId="37" applyFont="1" applyAlignment="1">
      <alignment horizontal="center" vertical="center" shrinkToFit="1"/>
    </xf>
    <xf numFmtId="0" fontId="65" fillId="0" borderId="31" xfId="37" applyFont="1" applyBorder="1" applyAlignment="1">
      <alignment horizontal="center" vertical="center" shrinkToFit="1"/>
    </xf>
    <xf numFmtId="0" fontId="65" fillId="0" borderId="32" xfId="37" applyFont="1" applyBorder="1" applyAlignment="1">
      <alignment horizontal="center" vertical="center" shrinkToFit="1"/>
    </xf>
    <xf numFmtId="0" fontId="65" fillId="0" borderId="139" xfId="37" applyFont="1" applyBorder="1" applyAlignment="1">
      <alignment horizontal="center" vertical="center" shrinkToFit="1"/>
    </xf>
    <xf numFmtId="0" fontId="65" fillId="0" borderId="41" xfId="37" applyFont="1" applyBorder="1" applyAlignment="1">
      <alignment horizontal="center" vertical="center" shrinkToFit="1"/>
    </xf>
    <xf numFmtId="0" fontId="65" fillId="0" borderId="57" xfId="37" applyFont="1" applyBorder="1" applyAlignment="1">
      <alignment horizontal="center" vertical="center" shrinkToFit="1"/>
    </xf>
    <xf numFmtId="0" fontId="65" fillId="0" borderId="34" xfId="37" applyFont="1" applyBorder="1" applyAlignment="1">
      <alignment horizontal="center" vertical="center" shrinkToFit="1"/>
    </xf>
    <xf numFmtId="0" fontId="65" fillId="0" borderId="140" xfId="37" applyFont="1" applyBorder="1" applyAlignment="1">
      <alignment horizontal="center" vertical="center" shrinkToFit="1"/>
    </xf>
    <xf numFmtId="0" fontId="65" fillId="0" borderId="16" xfId="37" applyFont="1" applyBorder="1" applyAlignment="1">
      <alignment horizontal="center" vertical="center" shrinkToFit="1"/>
    </xf>
    <xf numFmtId="0" fontId="65" fillId="0" borderId="33" xfId="37" applyFont="1" applyBorder="1" applyAlignment="1">
      <alignment horizontal="center" vertical="center" shrinkToFit="1"/>
    </xf>
    <xf numFmtId="0" fontId="65" fillId="0" borderId="58" xfId="37" applyFont="1" applyBorder="1" applyAlignment="1">
      <alignment horizontal="center" vertical="center" shrinkToFit="1"/>
    </xf>
    <xf numFmtId="0" fontId="65" fillId="0" borderId="54" xfId="37" applyFont="1" applyBorder="1" applyAlignment="1">
      <alignment horizontal="center" vertical="center" shrinkToFit="1"/>
    </xf>
    <xf numFmtId="0" fontId="68" fillId="0" borderId="31" xfId="37" applyFont="1" applyBorder="1" applyAlignment="1">
      <alignment horizontal="center" vertical="center" wrapText="1" shrinkToFit="1"/>
    </xf>
    <xf numFmtId="0" fontId="68" fillId="0" borderId="55" xfId="37" applyFont="1" applyBorder="1" applyAlignment="1">
      <alignment horizontal="center" vertical="center" shrinkToFit="1"/>
    </xf>
    <xf numFmtId="0" fontId="68" fillId="0" borderId="32" xfId="37" applyFont="1" applyBorder="1" applyAlignment="1">
      <alignment horizontal="center" vertical="center" shrinkToFit="1"/>
    </xf>
    <xf numFmtId="0" fontId="68" fillId="0" borderId="66" xfId="37" applyFont="1" applyBorder="1" applyAlignment="1">
      <alignment horizontal="center" vertical="center" shrinkToFit="1"/>
    </xf>
    <xf numFmtId="0" fontId="68" fillId="0" borderId="0" xfId="37" applyFont="1" applyAlignment="1">
      <alignment horizontal="center" vertical="center" shrinkToFit="1"/>
    </xf>
    <xf numFmtId="0" fontId="68" fillId="0" borderId="80" xfId="37" applyFont="1" applyBorder="1" applyAlignment="1">
      <alignment horizontal="center" vertical="center" shrinkToFit="1"/>
    </xf>
    <xf numFmtId="0" fontId="68" fillId="0" borderId="34" xfId="37" applyFont="1" applyBorder="1" applyAlignment="1">
      <alignment horizontal="center" vertical="center" shrinkToFit="1"/>
    </xf>
    <xf numFmtId="0" fontId="68" fillId="0" borderId="33" xfId="37" applyFont="1" applyBorder="1" applyAlignment="1">
      <alignment horizontal="center" vertical="center" shrinkToFit="1"/>
    </xf>
    <xf numFmtId="0" fontId="68" fillId="0" borderId="35" xfId="37" applyFont="1" applyBorder="1" applyAlignment="1">
      <alignment horizontal="center" vertical="center" shrinkToFit="1"/>
    </xf>
    <xf numFmtId="0" fontId="65" fillId="0" borderId="45" xfId="37" applyFont="1" applyBorder="1" applyAlignment="1">
      <alignment horizontal="center" vertical="center" shrinkToFit="1"/>
    </xf>
    <xf numFmtId="0" fontId="65" fillId="0" borderId="142" xfId="37" applyFont="1" applyBorder="1" applyAlignment="1">
      <alignment horizontal="center" vertical="center" shrinkToFit="1"/>
    </xf>
    <xf numFmtId="0" fontId="65" fillId="0" borderId="145" xfId="37" applyFont="1" applyBorder="1" applyAlignment="1">
      <alignment horizontal="center" vertical="center" shrinkToFit="1"/>
    </xf>
    <xf numFmtId="0" fontId="65" fillId="0" borderId="146" xfId="37" applyFont="1" applyBorder="1" applyAlignment="1">
      <alignment horizontal="center" vertical="center" shrinkToFit="1"/>
    </xf>
    <xf numFmtId="0" fontId="65" fillId="0" borderId="80" xfId="37" applyFont="1" applyBorder="1" applyAlignment="1">
      <alignment horizontal="center" vertical="center" shrinkToFit="1"/>
    </xf>
    <xf numFmtId="177" fontId="65" fillId="11" borderId="140" xfId="37" applyNumberFormat="1" applyFont="1" applyFill="1" applyBorder="1" applyAlignment="1">
      <alignment horizontal="center" vertical="center" shrinkToFit="1"/>
    </xf>
    <xf numFmtId="177" fontId="65" fillId="11" borderId="68" xfId="37" applyNumberFormat="1" applyFont="1" applyFill="1" applyBorder="1" applyAlignment="1">
      <alignment horizontal="center" vertical="center" shrinkToFit="1"/>
    </xf>
    <xf numFmtId="0" fontId="65" fillId="0" borderId="150" xfId="37" applyFont="1" applyBorder="1" applyAlignment="1">
      <alignment horizontal="center" vertical="center" shrinkToFit="1"/>
    </xf>
    <xf numFmtId="0" fontId="65" fillId="0" borderId="151" xfId="37" applyFont="1" applyBorder="1" applyAlignment="1">
      <alignment horizontal="center" vertical="center" shrinkToFit="1"/>
    </xf>
    <xf numFmtId="0" fontId="65" fillId="0" borderId="139" xfId="37" applyFont="1" applyBorder="1" applyAlignment="1">
      <alignment horizontal="center" vertical="center"/>
    </xf>
    <xf numFmtId="0" fontId="65" fillId="0" borderId="0" xfId="37" applyFont="1" applyAlignment="1">
      <alignment horizontal="center" vertical="center"/>
    </xf>
    <xf numFmtId="0" fontId="65" fillId="0" borderId="152" xfId="37" applyFont="1" applyBorder="1" applyAlignment="1">
      <alignment horizontal="center" vertical="center"/>
    </xf>
    <xf numFmtId="0" fontId="65" fillId="0" borderId="41" xfId="37" applyFont="1" applyBorder="1" applyAlignment="1">
      <alignment horizontal="center" vertical="center"/>
    </xf>
    <xf numFmtId="0" fontId="65" fillId="0" borderId="154" xfId="37" applyFont="1" applyBorder="1" applyAlignment="1">
      <alignment horizontal="center" vertical="center" shrinkToFit="1"/>
    </xf>
    <xf numFmtId="0" fontId="65" fillId="0" borderId="155" xfId="37" applyFont="1" applyBorder="1" applyAlignment="1">
      <alignment horizontal="center" vertical="center" shrinkToFit="1"/>
    </xf>
    <xf numFmtId="0" fontId="65" fillId="0" borderId="138" xfId="37" applyFont="1" applyBorder="1" applyAlignment="1">
      <alignment horizontal="center" vertical="center"/>
    </xf>
    <xf numFmtId="0" fontId="65" fillId="0" borderId="33" xfId="37" applyFont="1" applyBorder="1" applyAlignment="1">
      <alignment horizontal="center" vertical="center"/>
    </xf>
    <xf numFmtId="0" fontId="65" fillId="0" borderId="156" xfId="37" applyFont="1" applyBorder="1" applyAlignment="1">
      <alignment horizontal="center" vertical="center"/>
    </xf>
    <xf numFmtId="0" fontId="67" fillId="0" borderId="54" xfId="37" applyFont="1" applyBorder="1" applyAlignment="1">
      <alignment horizontal="center" vertical="center" shrinkToFit="1"/>
    </xf>
    <xf numFmtId="0" fontId="67" fillId="0" borderId="55" xfId="37" applyFont="1" applyBorder="1" applyAlignment="1">
      <alignment horizontal="center" vertical="center" shrinkToFit="1"/>
    </xf>
    <xf numFmtId="0" fontId="67" fillId="0" borderId="32" xfId="37" applyFont="1" applyBorder="1" applyAlignment="1">
      <alignment horizontal="center" vertical="center" shrinkToFit="1"/>
    </xf>
    <xf numFmtId="0" fontId="69" fillId="0" borderId="26" xfId="37" applyFont="1" applyBorder="1" applyAlignment="1">
      <alignment horizontal="center" vertical="center"/>
    </xf>
    <xf numFmtId="0" fontId="69" fillId="0" borderId="99" xfId="37" applyFont="1" applyBorder="1" applyAlignment="1">
      <alignment horizontal="center" vertical="center"/>
    </xf>
    <xf numFmtId="0" fontId="69" fillId="0" borderId="8" xfId="37" applyFont="1" applyBorder="1" applyAlignment="1">
      <alignment horizontal="center" vertical="center"/>
    </xf>
    <xf numFmtId="0" fontId="67" fillId="0" borderId="45" xfId="37" applyFont="1" applyBorder="1" applyAlignment="1">
      <alignment horizontal="center" vertical="center" shrinkToFit="1"/>
    </xf>
    <xf numFmtId="0" fontId="67" fillId="0" borderId="16" xfId="37" applyFont="1" applyBorder="1" applyAlignment="1">
      <alignment horizontal="center" vertical="center" shrinkToFit="1"/>
    </xf>
    <xf numFmtId="0" fontId="67" fillId="0" borderId="31" xfId="37" applyFont="1" applyBorder="1" applyAlignment="1">
      <alignment horizontal="center" vertical="center" shrinkToFit="1"/>
    </xf>
    <xf numFmtId="0" fontId="67" fillId="0" borderId="56" xfId="37" applyFont="1" applyBorder="1" applyAlignment="1">
      <alignment horizontal="center" vertical="center" shrinkToFit="1"/>
    </xf>
    <xf numFmtId="0" fontId="27" fillId="0" borderId="0" xfId="37" applyFont="1" applyAlignment="1">
      <alignment horizontal="center" vertical="center" shrinkToFit="1"/>
    </xf>
    <xf numFmtId="0" fontId="67" fillId="0" borderId="0" xfId="37" applyFont="1" applyAlignment="1">
      <alignment horizontal="center" vertical="center" shrinkToFit="1"/>
    </xf>
    <xf numFmtId="0" fontId="67" fillId="0" borderId="80" xfId="37" applyFont="1" applyBorder="1" applyAlignment="1">
      <alignment horizontal="center" vertical="center" shrinkToFit="1"/>
    </xf>
    <xf numFmtId="0" fontId="67" fillId="0" borderId="41" xfId="37" applyFont="1" applyBorder="1" applyAlignment="1">
      <alignment horizontal="center" vertical="center" shrinkToFit="1"/>
    </xf>
    <xf numFmtId="0" fontId="67" fillId="0" borderId="33" xfId="37" applyFont="1" applyBorder="1" applyAlignment="1">
      <alignment horizontal="center" vertical="center" shrinkToFit="1"/>
    </xf>
    <xf numFmtId="0" fontId="67" fillId="0" borderId="35" xfId="37" applyFont="1" applyBorder="1" applyAlignment="1">
      <alignment horizontal="center" vertical="center" shrinkToFit="1"/>
    </xf>
    <xf numFmtId="0" fontId="67" fillId="0" borderId="34" xfId="37" applyFont="1" applyBorder="1" applyAlignment="1">
      <alignment horizontal="center" vertical="center" shrinkToFit="1"/>
    </xf>
    <xf numFmtId="0" fontId="67" fillId="0" borderId="14" xfId="37" applyFont="1" applyBorder="1" applyAlignment="1">
      <alignment horizontal="center" vertical="center" shrinkToFit="1"/>
    </xf>
    <xf numFmtId="0" fontId="67" fillId="0" borderId="68" xfId="37" applyFont="1" applyBorder="1" applyAlignment="1">
      <alignment horizontal="center" vertical="center" shrinkToFit="1"/>
    </xf>
    <xf numFmtId="0" fontId="67" fillId="0" borderId="45" xfId="37" applyFont="1" applyBorder="1" applyAlignment="1">
      <alignment vertical="center"/>
    </xf>
    <xf numFmtId="0" fontId="67" fillId="0" borderId="16" xfId="37" applyFont="1" applyBorder="1" applyAlignment="1">
      <alignment vertical="center"/>
    </xf>
    <xf numFmtId="0" fontId="67" fillId="0" borderId="26" xfId="37" applyFont="1" applyBorder="1" applyAlignment="1">
      <alignment horizontal="center" vertical="center" shrinkToFit="1"/>
    </xf>
    <xf numFmtId="0" fontId="67" fillId="0" borderId="66" xfId="37" applyFont="1" applyBorder="1" applyAlignment="1">
      <alignment horizontal="center" vertical="center" shrinkToFit="1"/>
    </xf>
    <xf numFmtId="0" fontId="67" fillId="0" borderId="68" xfId="37" applyFont="1" applyBorder="1" applyAlignment="1">
      <alignment vertical="center"/>
    </xf>
    <xf numFmtId="0" fontId="67" fillId="0" borderId="57" xfId="37" applyFont="1" applyBorder="1" applyAlignment="1">
      <alignment horizontal="center" vertical="center" shrinkToFit="1"/>
    </xf>
    <xf numFmtId="0" fontId="67" fillId="0" borderId="8" xfId="37" applyFont="1" applyBorder="1" applyAlignment="1">
      <alignment horizontal="center" vertical="center" shrinkToFit="1"/>
    </xf>
    <xf numFmtId="0" fontId="67" fillId="0" borderId="58" xfId="37" applyFont="1" applyBorder="1" applyAlignment="1">
      <alignment horizontal="center" vertical="center" shrinkToFit="1"/>
    </xf>
    <xf numFmtId="0" fontId="67" fillId="0" borderId="45" xfId="28" applyFont="1" applyBorder="1" applyAlignment="1">
      <alignment horizontal="center" vertical="center"/>
    </xf>
    <xf numFmtId="0" fontId="67" fillId="0" borderId="68" xfId="28" applyFont="1" applyBorder="1" applyAlignment="1">
      <alignment horizontal="center" vertical="center"/>
    </xf>
    <xf numFmtId="0" fontId="67" fillId="0" borderId="16" xfId="28" applyFont="1" applyBorder="1" applyAlignment="1">
      <alignment horizontal="center" vertical="center"/>
    </xf>
    <xf numFmtId="0" fontId="67" fillId="0" borderId="33" xfId="37" applyFont="1" applyBorder="1" applyAlignment="1">
      <alignment horizontal="center" vertical="center"/>
    </xf>
    <xf numFmtId="0" fontId="67" fillId="0" borderId="43" xfId="37" applyFont="1" applyBorder="1" applyAlignment="1">
      <alignment horizontal="center" vertical="center" shrinkToFit="1"/>
    </xf>
    <xf numFmtId="0" fontId="67" fillId="0" borderId="36" xfId="37" applyFont="1" applyBorder="1" applyAlignment="1">
      <alignment horizontal="center" vertical="center" shrinkToFit="1"/>
    </xf>
    <xf numFmtId="0" fontId="1" fillId="0" borderId="43" xfId="37" applyFont="1" applyBorder="1" applyAlignment="1">
      <alignment horizontal="center" vertical="center" wrapText="1" shrinkToFit="1"/>
    </xf>
    <xf numFmtId="0" fontId="1" fillId="0" borderId="36" xfId="37" applyFont="1" applyBorder="1" applyAlignment="1">
      <alignment horizontal="center" vertical="center" wrapText="1" shrinkToFit="1"/>
    </xf>
    <xf numFmtId="0" fontId="1" fillId="0" borderId="0" xfId="37" applyFont="1" applyAlignment="1">
      <alignment horizontal="center" vertical="center" wrapText="1" shrinkToFit="1"/>
    </xf>
    <xf numFmtId="0" fontId="1" fillId="0" borderId="34" xfId="37" applyFont="1" applyBorder="1" applyAlignment="1">
      <alignment horizontal="center" vertical="center" wrapText="1" shrinkToFit="1"/>
    </xf>
    <xf numFmtId="0" fontId="1" fillId="0" borderId="35" xfId="37" applyFont="1" applyBorder="1" applyAlignment="1">
      <alignment horizontal="center" vertical="center" shrinkToFit="1"/>
    </xf>
    <xf numFmtId="0" fontId="67" fillId="0" borderId="157" xfId="37" applyFont="1" applyBorder="1" applyAlignment="1">
      <alignment horizontal="center" vertical="center" shrinkToFit="1"/>
    </xf>
    <xf numFmtId="0" fontId="67" fillId="0" borderId="114" xfId="37" applyFont="1" applyBorder="1" applyAlignment="1">
      <alignment horizontal="center" vertical="center" shrinkToFit="1"/>
    </xf>
    <xf numFmtId="0" fontId="67" fillId="0" borderId="40" xfId="37" applyFont="1" applyBorder="1" applyAlignment="1">
      <alignment horizontal="center" vertical="center" shrinkToFit="1"/>
    </xf>
    <xf numFmtId="0" fontId="67" fillId="0" borderId="62" xfId="37" applyFont="1" applyBorder="1" applyAlignment="1">
      <alignment horizontal="center" vertical="center" shrinkToFit="1"/>
    </xf>
    <xf numFmtId="0" fontId="0" fillId="0" borderId="43" xfId="0" applyBorder="1" applyAlignment="1">
      <alignment vertical="center" shrinkToFit="1"/>
    </xf>
    <xf numFmtId="0" fontId="0" fillId="0" borderId="0" xfId="0" applyAlignment="1">
      <alignment vertical="center" shrinkToFit="1"/>
    </xf>
    <xf numFmtId="0" fontId="71" fillId="0" borderId="14" xfId="30" applyFont="1" applyBorder="1" applyAlignment="1">
      <alignment horizontal="center" vertical="center"/>
    </xf>
    <xf numFmtId="0" fontId="71" fillId="0" borderId="31" xfId="30" applyFont="1" applyBorder="1" applyAlignment="1">
      <alignment horizontal="center" vertical="center"/>
    </xf>
    <xf numFmtId="0" fontId="71" fillId="0" borderId="55" xfId="30" applyFont="1" applyBorder="1" applyAlignment="1">
      <alignment horizontal="center" vertical="center"/>
    </xf>
    <xf numFmtId="0" fontId="71" fillId="0" borderId="32" xfId="30" applyFont="1" applyBorder="1" applyAlignment="1">
      <alignment horizontal="center" vertical="center"/>
    </xf>
    <xf numFmtId="0" fontId="71" fillId="0" borderId="66" xfId="30" applyFont="1" applyBorder="1" applyAlignment="1">
      <alignment horizontal="center" vertical="center"/>
    </xf>
    <xf numFmtId="0" fontId="71" fillId="0" borderId="0" xfId="30" applyFont="1" applyAlignment="1">
      <alignment horizontal="center" vertical="center"/>
    </xf>
    <xf numFmtId="0" fontId="71" fillId="0" borderId="80" xfId="30" applyFont="1" applyBorder="1" applyAlignment="1">
      <alignment horizontal="center" vertical="center"/>
    </xf>
    <xf numFmtId="0" fontId="71" fillId="0" borderId="34" xfId="30" applyFont="1" applyBorder="1" applyAlignment="1">
      <alignment horizontal="center" vertical="center"/>
    </xf>
    <xf numFmtId="0" fontId="71" fillId="0" borderId="33" xfId="30" applyFont="1" applyBorder="1" applyAlignment="1">
      <alignment horizontal="center" vertical="center"/>
    </xf>
    <xf numFmtId="0" fontId="71" fillId="0" borderId="35" xfId="30" applyFont="1" applyBorder="1" applyAlignment="1">
      <alignment horizontal="center" vertical="center"/>
    </xf>
    <xf numFmtId="0" fontId="67" fillId="0" borderId="76" xfId="0" applyFont="1" applyBorder="1" applyAlignment="1">
      <alignment horizontal="center" vertical="center"/>
    </xf>
    <xf numFmtId="0" fontId="67" fillId="0" borderId="77" xfId="0" applyFont="1" applyBorder="1" applyAlignment="1">
      <alignment horizontal="center" vertical="center"/>
    </xf>
    <xf numFmtId="0" fontId="67" fillId="0" borderId="77" xfId="0" applyFont="1" applyBorder="1" applyAlignment="1">
      <alignment horizontal="center" vertical="center" shrinkToFit="1"/>
    </xf>
    <xf numFmtId="0" fontId="0" fillId="0" borderId="54" xfId="0" applyBorder="1" applyAlignment="1">
      <alignment vertical="top" wrapText="1"/>
    </xf>
    <xf numFmtId="0" fontId="5" fillId="0" borderId="55" xfId="0" applyFont="1" applyBorder="1" applyAlignment="1">
      <alignment vertical="top" wrapText="1"/>
    </xf>
    <xf numFmtId="0" fontId="5" fillId="0" borderId="56" xfId="0" applyFont="1" applyBorder="1" applyAlignment="1">
      <alignment vertical="top" wrapText="1"/>
    </xf>
    <xf numFmtId="0" fontId="5" fillId="0" borderId="40" xfId="0" applyFont="1" applyBorder="1" applyAlignment="1">
      <alignment vertical="top" wrapText="1"/>
    </xf>
    <xf numFmtId="0" fontId="5" fillId="0" borderId="0" xfId="0" applyFont="1" applyAlignment="1">
      <alignment vertical="top" wrapText="1"/>
    </xf>
    <xf numFmtId="0" fontId="5" fillId="0" borderId="41" xfId="0" applyFont="1" applyBorder="1" applyAlignment="1">
      <alignment vertical="top" wrapText="1"/>
    </xf>
    <xf numFmtId="0" fontId="5" fillId="0" borderId="90" xfId="0" applyFont="1" applyBorder="1" applyAlignment="1">
      <alignment vertical="top" wrapText="1"/>
    </xf>
    <xf numFmtId="0" fontId="5" fillId="0" borderId="36" xfId="0" applyFont="1" applyBorder="1" applyAlignment="1">
      <alignment vertical="top" wrapText="1"/>
    </xf>
    <xf numFmtId="0" fontId="5" fillId="0" borderId="73" xfId="0" applyFont="1" applyBorder="1" applyAlignment="1">
      <alignment vertical="top" wrapText="1"/>
    </xf>
    <xf numFmtId="0" fontId="67" fillId="0" borderId="14" xfId="30" applyFont="1" applyBorder="1" applyAlignment="1">
      <alignment horizontal="center" vertical="center"/>
    </xf>
    <xf numFmtId="0" fontId="67" fillId="0" borderId="45" xfId="30" applyFont="1" applyBorder="1" applyAlignment="1">
      <alignment horizontal="center" vertical="center"/>
    </xf>
    <xf numFmtId="0" fontId="67" fillId="0" borderId="68" xfId="30" applyFont="1" applyBorder="1" applyAlignment="1">
      <alignment horizontal="center" vertical="center"/>
    </xf>
    <xf numFmtId="0" fontId="67" fillId="0" borderId="16" xfId="30" applyFont="1" applyBorder="1" applyAlignment="1">
      <alignment horizontal="center" vertical="center"/>
    </xf>
  </cellXfs>
  <cellStyles count="47">
    <cellStyle name="20% - アクセント1" xfId="1" xr:uid="{00000000-0005-0000-0000-000000000000}"/>
    <cellStyle name="20% - アクセント2" xfId="2" xr:uid="{00000000-0005-0000-0000-000001000000}"/>
    <cellStyle name="20% - アクセント3" xfId="3" xr:uid="{00000000-0005-0000-0000-000002000000}"/>
    <cellStyle name="20% - アクセント4" xfId="4" xr:uid="{00000000-0005-0000-0000-000003000000}"/>
    <cellStyle name="20% - アクセント5" xfId="5" xr:uid="{00000000-0005-0000-0000-000004000000}"/>
    <cellStyle name="20% - アクセント6" xfId="6" xr:uid="{00000000-0005-0000-0000-000005000000}"/>
    <cellStyle name="40% - アクセント1" xfId="7" xr:uid="{00000000-0005-0000-0000-000006000000}"/>
    <cellStyle name="40% - アクセント2" xfId="8" xr:uid="{00000000-0005-0000-0000-000007000000}"/>
    <cellStyle name="40% - アクセント3" xfId="9" xr:uid="{00000000-0005-0000-0000-000008000000}"/>
    <cellStyle name="40% - アクセント4" xfId="10" xr:uid="{00000000-0005-0000-0000-000009000000}"/>
    <cellStyle name="40% - アクセント5" xfId="11" xr:uid="{00000000-0005-0000-0000-00000A000000}"/>
    <cellStyle name="40% - アクセント6" xfId="12" xr:uid="{00000000-0005-0000-0000-00000B000000}"/>
    <cellStyle name="60% - アクセント1" xfId="13" xr:uid="{00000000-0005-0000-0000-00000C000000}"/>
    <cellStyle name="60% - アクセント2" xfId="14" xr:uid="{00000000-0005-0000-0000-00000D000000}"/>
    <cellStyle name="60% - アクセント3" xfId="15" xr:uid="{00000000-0005-0000-0000-00000E000000}"/>
    <cellStyle name="60% - アクセント4" xfId="16" xr:uid="{00000000-0005-0000-0000-00000F000000}"/>
    <cellStyle name="60% - アクセント5" xfId="17" xr:uid="{00000000-0005-0000-0000-000010000000}"/>
    <cellStyle name="60% - アクセント6" xfId="18" xr:uid="{00000000-0005-0000-0000-000011000000}"/>
    <cellStyle name="ハイパーリンク 2" xfId="19" xr:uid="{00000000-0005-0000-0000-000012000000}"/>
    <cellStyle name="ハイパーリンク 3" xfId="20" xr:uid="{00000000-0005-0000-0000-000013000000}"/>
    <cellStyle name="桁区切り 2" xfId="21" xr:uid="{00000000-0005-0000-0000-000014000000}"/>
    <cellStyle name="合計" xfId="22" xr:uid="{00000000-0005-0000-0000-000015000000}"/>
    <cellStyle name="通貨 2" xfId="23" xr:uid="{00000000-0005-0000-0000-000016000000}"/>
    <cellStyle name="標準" xfId="0" builtinId="0"/>
    <cellStyle name="標準 10" xfId="24" xr:uid="{00000000-0005-0000-0000-000018000000}"/>
    <cellStyle name="標準 10 3" xfId="25" xr:uid="{00000000-0005-0000-0000-000019000000}"/>
    <cellStyle name="標準 11" xfId="26" xr:uid="{00000000-0005-0000-0000-00001A000000}"/>
    <cellStyle name="標準 2" xfId="27" xr:uid="{00000000-0005-0000-0000-00001B000000}"/>
    <cellStyle name="標準 2 2" xfId="28" xr:uid="{00000000-0005-0000-0000-00001C000000}"/>
    <cellStyle name="標準 2 3" xfId="29" xr:uid="{00000000-0005-0000-0000-00001D000000}"/>
    <cellStyle name="標準 2 4" xfId="30" xr:uid="{00000000-0005-0000-0000-00001E000000}"/>
    <cellStyle name="標準 2_参加申込書" xfId="31" xr:uid="{00000000-0005-0000-0000-00001F000000}"/>
    <cellStyle name="標準 3" xfId="32" xr:uid="{00000000-0005-0000-0000-000020000000}"/>
    <cellStyle name="標準 3 2" xfId="33" xr:uid="{00000000-0005-0000-0000-000021000000}"/>
    <cellStyle name="標準 4" xfId="34" xr:uid="{00000000-0005-0000-0000-000022000000}"/>
    <cellStyle name="標準 5" xfId="35" xr:uid="{00000000-0005-0000-0000-000023000000}"/>
    <cellStyle name="標準 6" xfId="36" xr:uid="{00000000-0005-0000-0000-000024000000}"/>
    <cellStyle name="標準 6 2" xfId="46" xr:uid="{5815548D-138C-458C-BA3F-4F7A80805D80}"/>
    <cellStyle name="標準 7" xfId="37" xr:uid="{00000000-0005-0000-0000-000025000000}"/>
    <cellStyle name="標準 8" xfId="38" xr:uid="{00000000-0005-0000-0000-000026000000}"/>
    <cellStyle name="標準 9" xfId="39" xr:uid="{00000000-0005-0000-0000-000027000000}"/>
    <cellStyle name="標準_２０００年度春ﾘｰｸﾞ成績表" xfId="40" xr:uid="{00000000-0005-0000-0000-000028000000}"/>
    <cellStyle name="標準_結果報告用紙_３７全少抽選会資料" xfId="41" xr:uid="{00000000-0005-0000-0000-000029000000}"/>
    <cellStyle name="標準_組み合わせ作成" xfId="42" xr:uid="{00000000-0005-0000-0000-00002A000000}"/>
    <cellStyle name="標準_組合せ　抽選用" xfId="43" xr:uid="{00000000-0005-0000-0000-00002B000000}"/>
    <cellStyle name="標準_予選" xfId="44" xr:uid="{00000000-0005-0000-0000-00002C000000}"/>
    <cellStyle name="普通" xfId="45" xr:uid="{00000000-0005-0000-0000-00002D000000}"/>
  </cellStyles>
  <dxfs count="20">
    <dxf>
      <fill>
        <gradientFill type="path">
          <stop position="0">
            <color indexed="5"/>
          </stop>
          <stop position="1">
            <color indexed="2"/>
          </stop>
        </gradientFill>
      </fill>
    </dxf>
    <dxf>
      <fill>
        <patternFill patternType="solid">
          <fgColor indexed="5"/>
          <bgColor indexed="5"/>
        </patternFill>
      </fill>
    </dxf>
    <dxf>
      <fill>
        <patternFill patternType="solid">
          <fgColor indexed="2"/>
          <bgColor indexed="2"/>
        </patternFill>
      </fill>
    </dxf>
    <dxf>
      <fill>
        <gradientFill type="path">
          <stop position="0">
            <color indexed="5"/>
          </stop>
          <stop position="1">
            <color indexed="2"/>
          </stop>
        </gradientFill>
      </fill>
    </dxf>
    <dxf>
      <fill>
        <patternFill patternType="solid">
          <fgColor indexed="5"/>
          <bgColor indexed="5"/>
        </patternFill>
      </fill>
    </dxf>
    <dxf>
      <fill>
        <patternFill patternType="solid">
          <fgColor indexed="2"/>
          <bgColor indexed="2"/>
        </patternFill>
      </fill>
    </dxf>
    <dxf>
      <fill>
        <gradientFill type="path">
          <stop position="0">
            <color indexed="5"/>
          </stop>
          <stop position="1">
            <color indexed="2"/>
          </stop>
        </gradientFill>
      </fill>
    </dxf>
    <dxf>
      <fill>
        <patternFill patternType="solid">
          <fgColor indexed="5"/>
          <bgColor indexed="5"/>
        </patternFill>
      </fill>
    </dxf>
    <dxf>
      <fill>
        <patternFill patternType="solid">
          <fgColor indexed="2"/>
          <bgColor indexed="2"/>
        </patternFill>
      </fill>
    </dxf>
    <dxf>
      <fill>
        <gradientFill type="path">
          <stop position="0">
            <color indexed="5"/>
          </stop>
          <stop position="1">
            <color indexed="2"/>
          </stop>
        </gradientFill>
      </fill>
    </dxf>
    <dxf>
      <fill>
        <patternFill patternType="solid">
          <fgColor indexed="5"/>
          <bgColor indexed="5"/>
        </patternFill>
      </fill>
    </dxf>
    <dxf>
      <fill>
        <patternFill patternType="solid">
          <fgColor indexed="2"/>
          <bgColor indexed="2"/>
        </patternFill>
      </fill>
    </dxf>
    <dxf>
      <fill>
        <gradientFill type="path">
          <stop position="0">
            <color indexed="5"/>
          </stop>
          <stop position="1">
            <color indexed="2"/>
          </stop>
        </gradientFill>
      </fill>
    </dxf>
    <dxf>
      <fill>
        <patternFill patternType="solid">
          <fgColor indexed="5"/>
          <bgColor indexed="5"/>
        </patternFill>
      </fill>
    </dxf>
    <dxf>
      <fill>
        <gradientFill type="path">
          <stop position="0">
            <color indexed="5"/>
          </stop>
          <stop position="1">
            <color indexed="2"/>
          </stop>
        </gradientFill>
      </fill>
    </dxf>
    <dxf>
      <fill>
        <patternFill patternType="solid">
          <fgColor indexed="5"/>
          <bgColor indexed="5"/>
        </patternFill>
      </fill>
    </dxf>
    <dxf>
      <fill>
        <patternFill patternType="solid">
          <fgColor indexed="2"/>
          <bgColor indexed="2"/>
        </patternFill>
      </fill>
    </dxf>
    <dxf>
      <fill>
        <gradientFill type="path">
          <stop position="0">
            <color indexed="5"/>
          </stop>
          <stop position="1">
            <color indexed="2"/>
          </stop>
        </gradientFill>
      </fill>
    </dxf>
    <dxf>
      <fill>
        <patternFill patternType="solid">
          <fgColor indexed="5"/>
          <bgColor indexed="5"/>
        </patternFill>
      </fill>
    </dxf>
    <dxf>
      <fill>
        <patternFill patternType="solid">
          <fgColor indexed="2"/>
          <bgColor indexed="2"/>
        </patternFill>
      </fill>
    </dxf>
  </dxfs>
  <tableStyles count="0" defaultTableStyle="TableStyleMedium2" defaultPivotStyle="PivotStyleLight16"/>
  <colors>
    <mruColors>
      <color rgb="FFFFFFCC"/>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179272</xdr:colOff>
      <xdr:row>29</xdr:row>
      <xdr:rowOff>33618</xdr:rowOff>
    </xdr:from>
    <xdr:to>
      <xdr:col>10</xdr:col>
      <xdr:colOff>33616</xdr:colOff>
      <xdr:row>29</xdr:row>
      <xdr:rowOff>190500</xdr:rowOff>
    </xdr:to>
    <xdr:sp macro="" textlink="">
      <xdr:nvSpPr>
        <xdr:cNvPr id="21" name="大かっこ 20">
          <a:extLst>
            <a:ext uri="{FF2B5EF4-FFF2-40B4-BE49-F238E27FC236}">
              <a16:creationId xmlns:a16="http://schemas.microsoft.com/office/drawing/2014/main" id="{00000000-0008-0000-0200-000015000000}"/>
            </a:ext>
          </a:extLst>
        </xdr:cNvPr>
        <xdr:cNvSpPr/>
      </xdr:nvSpPr>
      <xdr:spPr bwMode="auto">
        <a:xfrm>
          <a:off x="379299" y="5920068"/>
          <a:ext cx="1654567" cy="156882"/>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defRPr/>
          </a:pPr>
          <a:endParaRPr lang="ja-JP"/>
        </a:p>
      </xdr:txBody>
    </xdr:sp>
    <xdr:clientData/>
  </xdr:twoCellAnchor>
  <xdr:twoCellAnchor>
    <xdr:from>
      <xdr:col>1</xdr:col>
      <xdr:colOff>179275</xdr:colOff>
      <xdr:row>30</xdr:row>
      <xdr:rowOff>33618</xdr:rowOff>
    </xdr:from>
    <xdr:to>
      <xdr:col>10</xdr:col>
      <xdr:colOff>33617</xdr:colOff>
      <xdr:row>30</xdr:row>
      <xdr:rowOff>190500</xdr:rowOff>
    </xdr:to>
    <xdr:sp macro="" textlink="">
      <xdr:nvSpPr>
        <xdr:cNvPr id="22" name="大かっこ 21">
          <a:extLst>
            <a:ext uri="{FF2B5EF4-FFF2-40B4-BE49-F238E27FC236}">
              <a16:creationId xmlns:a16="http://schemas.microsoft.com/office/drawing/2014/main" id="{00000000-0008-0000-0200-000016000000}"/>
            </a:ext>
          </a:extLst>
        </xdr:cNvPr>
        <xdr:cNvSpPr/>
      </xdr:nvSpPr>
      <xdr:spPr bwMode="auto">
        <a:xfrm>
          <a:off x="379300" y="6129618"/>
          <a:ext cx="1654567" cy="156882"/>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defRPr/>
          </a:pPr>
          <a:endParaRPr lang="ja-JP"/>
        </a:p>
      </xdr:txBody>
    </xdr:sp>
    <xdr:clientData/>
  </xdr:twoCellAnchor>
  <xdr:oneCellAnchor>
    <xdr:from>
      <xdr:col>26</xdr:col>
      <xdr:colOff>138430</xdr:colOff>
      <xdr:row>118</xdr:row>
      <xdr:rowOff>121920</xdr:rowOff>
    </xdr:from>
    <xdr:ext cx="1751806" cy="671739"/>
    <xdr:pic>
      <xdr:nvPicPr>
        <xdr:cNvPr id="2" name="図 1">
          <a:extLst>
            <a:ext uri="{FF2B5EF4-FFF2-40B4-BE49-F238E27FC236}">
              <a16:creationId xmlns:a16="http://schemas.microsoft.com/office/drawing/2014/main" id="{3B6B7973-7983-42BE-84F1-B19DAA6EBEB7}"/>
            </a:ext>
          </a:extLst>
        </xdr:cNvPr>
        <xdr:cNvPicPr>
          <a:picLocks noChangeAspect="1"/>
        </xdr:cNvPicPr>
      </xdr:nvPicPr>
      <xdr:blipFill>
        <a:blip xmlns:r="http://schemas.openxmlformats.org/officeDocument/2006/relationships" r:embed="rId1"/>
        <a:stretch>
          <a:fillRect/>
        </a:stretch>
      </xdr:blipFill>
      <xdr:spPr>
        <a:xfrm>
          <a:off x="5339080" y="22486620"/>
          <a:ext cx="1730375" cy="657452"/>
        </a:xfrm>
        <a:prstGeom prst="rect">
          <a:avLst/>
        </a:prstGeom>
        <a:noFill/>
        <a:ln w="9525">
          <a:noFill/>
          <a:miter lim="800000"/>
          <a:headEnd/>
          <a:tailEnd/>
        </a:ln>
      </xdr:spPr>
    </xdr:pic>
    <xdr:clientData/>
  </xdr:oneCellAnchor>
  <xdr:oneCellAnchor>
    <xdr:from>
      <xdr:col>21</xdr:col>
      <xdr:colOff>121921</xdr:colOff>
      <xdr:row>118</xdr:row>
      <xdr:rowOff>93345</xdr:rowOff>
    </xdr:from>
    <xdr:ext cx="1034892" cy="654927"/>
    <xdr:pic>
      <xdr:nvPicPr>
        <xdr:cNvPr id="3" name="図 20">
          <a:extLst>
            <a:ext uri="{FF2B5EF4-FFF2-40B4-BE49-F238E27FC236}">
              <a16:creationId xmlns:a16="http://schemas.microsoft.com/office/drawing/2014/main" id="{B2E7545D-33A2-4697-BD37-47BD963BEE41}"/>
            </a:ext>
          </a:extLst>
        </xdr:cNvPr>
        <xdr:cNvPicPr>
          <a:picLocks noChangeAspect="1"/>
        </xdr:cNvPicPr>
      </xdr:nvPicPr>
      <xdr:blipFill>
        <a:blip xmlns:r="http://schemas.openxmlformats.org/officeDocument/2006/relationships" r:embed="rId2"/>
        <a:stretch>
          <a:fillRect/>
        </a:stretch>
      </xdr:blipFill>
      <xdr:spPr>
        <a:xfrm>
          <a:off x="4322446" y="22458045"/>
          <a:ext cx="1022985" cy="640640"/>
        </a:xfrm>
        <a:prstGeom prst="rect">
          <a:avLst/>
        </a:prstGeom>
        <a:noFill/>
        <a:ln w="9525">
          <a:noFill/>
          <a:miter lim="800000"/>
          <a:headEnd/>
          <a:tailEnd/>
        </a:ln>
      </xdr:spPr>
    </xdr:pic>
    <xdr:clientData/>
  </xdr:oneCellAnchor>
</xdr:wsDr>
</file>

<file path=xl/drawings/drawing2.xml><?xml version="1.0" encoding="utf-8"?>
<xdr:wsDr xmlns:xdr="http://schemas.openxmlformats.org/drawingml/2006/spreadsheetDrawing" xmlns:a="http://schemas.openxmlformats.org/drawingml/2006/main">
  <xdr:twoCellAnchor>
    <xdr:from>
      <xdr:col>1</xdr:col>
      <xdr:colOff>0</xdr:colOff>
      <xdr:row>19</xdr:row>
      <xdr:rowOff>0</xdr:rowOff>
    </xdr:from>
    <xdr:to>
      <xdr:col>15</xdr:col>
      <xdr:colOff>0</xdr:colOff>
      <xdr:row>19</xdr:row>
      <xdr:rowOff>0</xdr:rowOff>
    </xdr:to>
    <xdr:sp macro="" textlink="">
      <xdr:nvSpPr>
        <xdr:cNvPr id="1711" name="Line 1">
          <a:extLst>
            <a:ext uri="{FF2B5EF4-FFF2-40B4-BE49-F238E27FC236}">
              <a16:creationId xmlns:a16="http://schemas.microsoft.com/office/drawing/2014/main" id="{00000000-0008-0000-0400-0000AF060000}"/>
            </a:ext>
          </a:extLst>
        </xdr:cNvPr>
        <xdr:cNvSpPr>
          <a:spLocks noChangeShapeType="1"/>
        </xdr:cNvSpPr>
      </xdr:nvSpPr>
      <xdr:spPr bwMode="auto">
        <a:xfrm flipV="1">
          <a:off x="685800" y="3467100"/>
          <a:ext cx="7372350" cy="0"/>
        </a:xfrm>
        <a:prstGeom prst="line">
          <a:avLst/>
        </a:prstGeom>
        <a:noFill/>
        <a:ln w="12700">
          <a:solidFill>
            <a:srgbClr val="000000"/>
          </a:solidFill>
          <a:prstDash val="dashDot"/>
          <a:round/>
          <a:headEnd/>
          <a:tailEnd/>
        </a:ln>
      </xdr:spPr>
    </xdr:sp>
    <xdr:clientData/>
  </xdr:twoCellAnchor>
  <xdr:twoCellAnchor>
    <xdr:from>
      <xdr:col>8</xdr:col>
      <xdr:colOff>0</xdr:colOff>
      <xdr:row>3</xdr:row>
      <xdr:rowOff>0</xdr:rowOff>
    </xdr:from>
    <xdr:to>
      <xdr:col>8</xdr:col>
      <xdr:colOff>0</xdr:colOff>
      <xdr:row>36</xdr:row>
      <xdr:rowOff>0</xdr:rowOff>
    </xdr:to>
    <xdr:sp macro="" textlink="">
      <xdr:nvSpPr>
        <xdr:cNvPr id="1712" name="Line 2">
          <a:extLst>
            <a:ext uri="{FF2B5EF4-FFF2-40B4-BE49-F238E27FC236}">
              <a16:creationId xmlns:a16="http://schemas.microsoft.com/office/drawing/2014/main" id="{00000000-0008-0000-0400-0000B0060000}"/>
            </a:ext>
          </a:extLst>
        </xdr:cNvPr>
        <xdr:cNvSpPr>
          <a:spLocks noChangeShapeType="1"/>
        </xdr:cNvSpPr>
      </xdr:nvSpPr>
      <xdr:spPr bwMode="auto">
        <a:xfrm>
          <a:off x="4371975" y="571500"/>
          <a:ext cx="0" cy="5962650"/>
        </a:xfrm>
        <a:prstGeom prst="line">
          <a:avLst/>
        </a:prstGeom>
        <a:noFill/>
        <a:ln w="38100">
          <a:solidFill>
            <a:srgbClr val="000000"/>
          </a:solidFill>
          <a:prstDash val="dashDot"/>
          <a:round/>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0</xdr:colOff>
      <xdr:row>5</xdr:row>
      <xdr:rowOff>0</xdr:rowOff>
    </xdr:from>
    <xdr:to>
      <xdr:col>4</xdr:col>
      <xdr:colOff>0</xdr:colOff>
      <xdr:row>6</xdr:row>
      <xdr:rowOff>0</xdr:rowOff>
    </xdr:to>
    <xdr:sp macro="" textlink="">
      <xdr:nvSpPr>
        <xdr:cNvPr id="66784" name="AutoShape 2">
          <a:extLst>
            <a:ext uri="{FF2B5EF4-FFF2-40B4-BE49-F238E27FC236}">
              <a16:creationId xmlns:a16="http://schemas.microsoft.com/office/drawing/2014/main" id="{00000000-0008-0000-0500-0000E0040100}"/>
            </a:ext>
          </a:extLst>
        </xdr:cNvPr>
        <xdr:cNvSpPr>
          <a:spLocks noChangeArrowheads="1"/>
        </xdr:cNvSpPr>
      </xdr:nvSpPr>
      <xdr:spPr bwMode="auto">
        <a:xfrm>
          <a:off x="1724025" y="2657475"/>
          <a:ext cx="809625" cy="571500"/>
        </a:xfrm>
        <a:prstGeom prst="triangle">
          <a:avLst>
            <a:gd name="adj" fmla="val 50000"/>
          </a:avLst>
        </a:prstGeom>
        <a:noFill/>
        <a:ln w="12700">
          <a:solidFill>
            <a:srgbClr val="000000"/>
          </a:solidFill>
          <a:miter lim="800000"/>
          <a:headEnd/>
          <a:tailEnd/>
        </a:ln>
      </xdr:spPr>
    </xdr:sp>
    <xdr:clientData/>
  </xdr:twoCellAnchor>
  <xdr:twoCellAnchor>
    <xdr:from>
      <xdr:col>6</xdr:col>
      <xdr:colOff>0</xdr:colOff>
      <xdr:row>5</xdr:row>
      <xdr:rowOff>0</xdr:rowOff>
    </xdr:from>
    <xdr:to>
      <xdr:col>7</xdr:col>
      <xdr:colOff>0</xdr:colOff>
      <xdr:row>6</xdr:row>
      <xdr:rowOff>0</xdr:rowOff>
    </xdr:to>
    <xdr:sp macro="" textlink="">
      <xdr:nvSpPr>
        <xdr:cNvPr id="66785" name="AutoShape 3">
          <a:extLst>
            <a:ext uri="{FF2B5EF4-FFF2-40B4-BE49-F238E27FC236}">
              <a16:creationId xmlns:a16="http://schemas.microsoft.com/office/drawing/2014/main" id="{00000000-0008-0000-0500-0000E1040100}"/>
            </a:ext>
          </a:extLst>
        </xdr:cNvPr>
        <xdr:cNvSpPr>
          <a:spLocks noChangeArrowheads="1"/>
        </xdr:cNvSpPr>
      </xdr:nvSpPr>
      <xdr:spPr bwMode="auto">
        <a:xfrm>
          <a:off x="4076699" y="2657475"/>
          <a:ext cx="809625" cy="571500"/>
        </a:xfrm>
        <a:prstGeom prst="triangle">
          <a:avLst>
            <a:gd name="adj" fmla="val 50000"/>
          </a:avLst>
        </a:prstGeom>
        <a:noFill/>
        <a:ln w="12700">
          <a:solidFill>
            <a:srgbClr val="000000"/>
          </a:solidFill>
          <a:miter lim="800000"/>
          <a:headEnd/>
          <a:tailEnd/>
        </a:ln>
      </xdr:spPr>
    </xdr:sp>
    <xdr:clientData/>
  </xdr:twoCellAnchor>
  <xdr:twoCellAnchor>
    <xdr:from>
      <xdr:col>9</xdr:col>
      <xdr:colOff>0</xdr:colOff>
      <xdr:row>5</xdr:row>
      <xdr:rowOff>0</xdr:rowOff>
    </xdr:from>
    <xdr:to>
      <xdr:col>10</xdr:col>
      <xdr:colOff>0</xdr:colOff>
      <xdr:row>6</xdr:row>
      <xdr:rowOff>0</xdr:rowOff>
    </xdr:to>
    <xdr:sp macro="" textlink="">
      <xdr:nvSpPr>
        <xdr:cNvPr id="66786" name="AutoShape 4">
          <a:extLst>
            <a:ext uri="{FF2B5EF4-FFF2-40B4-BE49-F238E27FC236}">
              <a16:creationId xmlns:a16="http://schemas.microsoft.com/office/drawing/2014/main" id="{00000000-0008-0000-0500-0000E2040100}"/>
            </a:ext>
          </a:extLst>
        </xdr:cNvPr>
        <xdr:cNvSpPr>
          <a:spLocks noChangeArrowheads="1"/>
        </xdr:cNvSpPr>
      </xdr:nvSpPr>
      <xdr:spPr bwMode="auto">
        <a:xfrm>
          <a:off x="6429375" y="2657475"/>
          <a:ext cx="809625" cy="571500"/>
        </a:xfrm>
        <a:prstGeom prst="triangle">
          <a:avLst>
            <a:gd name="adj" fmla="val 50000"/>
          </a:avLst>
        </a:prstGeom>
        <a:noFill/>
        <a:ln w="12700">
          <a:solidFill>
            <a:srgbClr val="000000"/>
          </a:solidFill>
          <a:miter lim="800000"/>
          <a:headEnd/>
          <a:tailEnd/>
        </a:ln>
      </xdr:spPr>
    </xdr:sp>
    <xdr:clientData/>
  </xdr:twoCellAnchor>
  <xdr:twoCellAnchor>
    <xdr:from>
      <xdr:col>12</xdr:col>
      <xdr:colOff>0</xdr:colOff>
      <xdr:row>5</xdr:row>
      <xdr:rowOff>0</xdr:rowOff>
    </xdr:from>
    <xdr:to>
      <xdr:col>13</xdr:col>
      <xdr:colOff>0</xdr:colOff>
      <xdr:row>6</xdr:row>
      <xdr:rowOff>0</xdr:rowOff>
    </xdr:to>
    <xdr:sp macro="" textlink="">
      <xdr:nvSpPr>
        <xdr:cNvPr id="66787" name="AutoShape 5">
          <a:extLst>
            <a:ext uri="{FF2B5EF4-FFF2-40B4-BE49-F238E27FC236}">
              <a16:creationId xmlns:a16="http://schemas.microsoft.com/office/drawing/2014/main" id="{00000000-0008-0000-0500-0000E3040100}"/>
            </a:ext>
          </a:extLst>
        </xdr:cNvPr>
        <xdr:cNvSpPr>
          <a:spLocks noChangeArrowheads="1"/>
        </xdr:cNvSpPr>
      </xdr:nvSpPr>
      <xdr:spPr bwMode="auto">
        <a:xfrm>
          <a:off x="8782050" y="2657475"/>
          <a:ext cx="809625" cy="571500"/>
        </a:xfrm>
        <a:prstGeom prst="triangle">
          <a:avLst>
            <a:gd name="adj" fmla="val 50000"/>
          </a:avLst>
        </a:prstGeom>
        <a:noFill/>
        <a:ln w="12700">
          <a:solidFill>
            <a:srgbClr val="000000"/>
          </a:solidFill>
          <a:miter lim="800000"/>
          <a:headEnd/>
          <a:tailEnd/>
        </a:ln>
      </xdr:spPr>
    </xdr:sp>
    <xdr:clientData/>
  </xdr:twoCellAnchor>
  <xdr:twoCellAnchor>
    <xdr:from>
      <xdr:col>3</xdr:col>
      <xdr:colOff>0</xdr:colOff>
      <xdr:row>10</xdr:row>
      <xdr:rowOff>0</xdr:rowOff>
    </xdr:from>
    <xdr:to>
      <xdr:col>4</xdr:col>
      <xdr:colOff>0</xdr:colOff>
      <xdr:row>11</xdr:row>
      <xdr:rowOff>0</xdr:rowOff>
    </xdr:to>
    <xdr:sp macro="" textlink="">
      <xdr:nvSpPr>
        <xdr:cNvPr id="66788" name="AutoShape 6">
          <a:extLst>
            <a:ext uri="{FF2B5EF4-FFF2-40B4-BE49-F238E27FC236}">
              <a16:creationId xmlns:a16="http://schemas.microsoft.com/office/drawing/2014/main" id="{00000000-0008-0000-0500-0000E4040100}"/>
            </a:ext>
          </a:extLst>
        </xdr:cNvPr>
        <xdr:cNvSpPr>
          <a:spLocks noChangeArrowheads="1"/>
        </xdr:cNvSpPr>
      </xdr:nvSpPr>
      <xdr:spPr bwMode="auto">
        <a:xfrm>
          <a:off x="1724025" y="5514975"/>
          <a:ext cx="809625" cy="571500"/>
        </a:xfrm>
        <a:prstGeom prst="triangle">
          <a:avLst>
            <a:gd name="adj" fmla="val 50000"/>
          </a:avLst>
        </a:prstGeom>
        <a:noFill/>
        <a:ln w="12700">
          <a:solidFill>
            <a:srgbClr val="000000"/>
          </a:solidFill>
          <a:miter lim="800000"/>
          <a:headEnd/>
          <a:tailEnd/>
        </a:ln>
      </xdr:spPr>
    </xdr:sp>
    <xdr:clientData/>
  </xdr:twoCellAnchor>
  <xdr:twoCellAnchor>
    <xdr:from>
      <xdr:col>6</xdr:col>
      <xdr:colOff>0</xdr:colOff>
      <xdr:row>10</xdr:row>
      <xdr:rowOff>0</xdr:rowOff>
    </xdr:from>
    <xdr:to>
      <xdr:col>7</xdr:col>
      <xdr:colOff>0</xdr:colOff>
      <xdr:row>11</xdr:row>
      <xdr:rowOff>0</xdr:rowOff>
    </xdr:to>
    <xdr:sp macro="" textlink="">
      <xdr:nvSpPr>
        <xdr:cNvPr id="66789" name="AutoShape 7">
          <a:extLst>
            <a:ext uri="{FF2B5EF4-FFF2-40B4-BE49-F238E27FC236}">
              <a16:creationId xmlns:a16="http://schemas.microsoft.com/office/drawing/2014/main" id="{00000000-0008-0000-0500-0000E5040100}"/>
            </a:ext>
          </a:extLst>
        </xdr:cNvPr>
        <xdr:cNvSpPr>
          <a:spLocks noChangeArrowheads="1"/>
        </xdr:cNvSpPr>
      </xdr:nvSpPr>
      <xdr:spPr bwMode="auto">
        <a:xfrm>
          <a:off x="4076699" y="5514975"/>
          <a:ext cx="809625" cy="571500"/>
        </a:xfrm>
        <a:prstGeom prst="triangle">
          <a:avLst>
            <a:gd name="adj" fmla="val 50000"/>
          </a:avLst>
        </a:prstGeom>
        <a:noFill/>
        <a:ln w="12700">
          <a:solidFill>
            <a:srgbClr val="000000"/>
          </a:solidFill>
          <a:miter lim="800000"/>
          <a:headEnd/>
          <a:tailEnd/>
        </a:ln>
      </xdr:spPr>
    </xdr:sp>
    <xdr:clientData/>
  </xdr:twoCellAnchor>
  <xdr:twoCellAnchor>
    <xdr:from>
      <xdr:col>9</xdr:col>
      <xdr:colOff>0</xdr:colOff>
      <xdr:row>10</xdr:row>
      <xdr:rowOff>0</xdr:rowOff>
    </xdr:from>
    <xdr:to>
      <xdr:col>10</xdr:col>
      <xdr:colOff>0</xdr:colOff>
      <xdr:row>11</xdr:row>
      <xdr:rowOff>0</xdr:rowOff>
    </xdr:to>
    <xdr:sp macro="" textlink="">
      <xdr:nvSpPr>
        <xdr:cNvPr id="66790" name="AutoShape 8">
          <a:extLst>
            <a:ext uri="{FF2B5EF4-FFF2-40B4-BE49-F238E27FC236}">
              <a16:creationId xmlns:a16="http://schemas.microsoft.com/office/drawing/2014/main" id="{00000000-0008-0000-0500-0000E6040100}"/>
            </a:ext>
          </a:extLst>
        </xdr:cNvPr>
        <xdr:cNvSpPr>
          <a:spLocks noChangeArrowheads="1"/>
        </xdr:cNvSpPr>
      </xdr:nvSpPr>
      <xdr:spPr bwMode="auto">
        <a:xfrm>
          <a:off x="6429375" y="5514975"/>
          <a:ext cx="809625" cy="571500"/>
        </a:xfrm>
        <a:prstGeom prst="triangle">
          <a:avLst>
            <a:gd name="adj" fmla="val 50000"/>
          </a:avLst>
        </a:prstGeom>
        <a:noFill/>
        <a:ln w="12700">
          <a:solidFill>
            <a:srgbClr val="000000"/>
          </a:solidFill>
          <a:miter lim="800000"/>
          <a:headEnd/>
          <a:tailEnd/>
        </a:ln>
      </xdr:spPr>
    </xdr:sp>
    <xdr:clientData/>
  </xdr:twoCellAnchor>
  <xdr:twoCellAnchor>
    <xdr:from>
      <xdr:col>12</xdr:col>
      <xdr:colOff>0</xdr:colOff>
      <xdr:row>10</xdr:row>
      <xdr:rowOff>0</xdr:rowOff>
    </xdr:from>
    <xdr:to>
      <xdr:col>13</xdr:col>
      <xdr:colOff>0</xdr:colOff>
      <xdr:row>11</xdr:row>
      <xdr:rowOff>0</xdr:rowOff>
    </xdr:to>
    <xdr:sp macro="" textlink="">
      <xdr:nvSpPr>
        <xdr:cNvPr id="66791" name="AutoShape 9">
          <a:extLst>
            <a:ext uri="{FF2B5EF4-FFF2-40B4-BE49-F238E27FC236}">
              <a16:creationId xmlns:a16="http://schemas.microsoft.com/office/drawing/2014/main" id="{00000000-0008-0000-0500-0000E7040100}"/>
            </a:ext>
          </a:extLst>
        </xdr:cNvPr>
        <xdr:cNvSpPr>
          <a:spLocks noChangeArrowheads="1"/>
        </xdr:cNvSpPr>
      </xdr:nvSpPr>
      <xdr:spPr bwMode="auto">
        <a:xfrm>
          <a:off x="8782050" y="5514975"/>
          <a:ext cx="809625" cy="571500"/>
        </a:xfrm>
        <a:prstGeom prst="triangle">
          <a:avLst>
            <a:gd name="adj" fmla="val 50000"/>
          </a:avLst>
        </a:prstGeom>
        <a:noFill/>
        <a:ln w="12700">
          <a:solidFill>
            <a:srgbClr val="000000"/>
          </a:solidFill>
          <a:miter lim="800000"/>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15</xdr:col>
      <xdr:colOff>0</xdr:colOff>
      <xdr:row>80</xdr:row>
      <xdr:rowOff>0</xdr:rowOff>
    </xdr:from>
    <xdr:to>
      <xdr:col>19</xdr:col>
      <xdr:colOff>0</xdr:colOff>
      <xdr:row>84</xdr:row>
      <xdr:rowOff>0</xdr:rowOff>
    </xdr:to>
    <xdr:cxnSp macro="">
      <xdr:nvCxnSpPr>
        <xdr:cNvPr id="3" name="直線コネクタ 2">
          <a:extLst>
            <a:ext uri="{FF2B5EF4-FFF2-40B4-BE49-F238E27FC236}">
              <a16:creationId xmlns:a16="http://schemas.microsoft.com/office/drawing/2014/main" id="{00000000-0008-0000-0C00-000003000000}"/>
            </a:ext>
          </a:extLst>
        </xdr:cNvPr>
        <xdr:cNvCxnSpPr>
          <a:cxnSpLocks/>
        </xdr:cNvCxnSpPr>
      </xdr:nvCxnSpPr>
      <xdr:spPr bwMode="auto">
        <a:xfrm>
          <a:off x="0" y="13484679"/>
          <a:ext cx="2354036" cy="1360714"/>
        </a:xfrm>
        <a:prstGeom prst="line">
          <a:avLst/>
        </a:prstGeom>
        <a:ln>
          <a:solidFill>
            <a:schemeClr val="tx1"/>
          </a:solidFill>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15</xdr:col>
      <xdr:colOff>0</xdr:colOff>
      <xdr:row>80</xdr:row>
      <xdr:rowOff>0</xdr:rowOff>
    </xdr:from>
    <xdr:to>
      <xdr:col>19</xdr:col>
      <xdr:colOff>0</xdr:colOff>
      <xdr:row>84</xdr:row>
      <xdr:rowOff>0</xdr:rowOff>
    </xdr:to>
    <xdr:cxnSp macro="">
      <xdr:nvCxnSpPr>
        <xdr:cNvPr id="7" name="直線コネクタ 6">
          <a:extLst>
            <a:ext uri="{FF2B5EF4-FFF2-40B4-BE49-F238E27FC236}">
              <a16:creationId xmlns:a16="http://schemas.microsoft.com/office/drawing/2014/main" id="{00000000-0008-0000-0C00-000007000000}"/>
            </a:ext>
          </a:extLst>
        </xdr:cNvPr>
        <xdr:cNvCxnSpPr>
          <a:cxnSpLocks/>
        </xdr:cNvCxnSpPr>
      </xdr:nvCxnSpPr>
      <xdr:spPr bwMode="auto">
        <a:xfrm flipH="1">
          <a:off x="0" y="13484679"/>
          <a:ext cx="2354036" cy="1360714"/>
        </a:xfrm>
        <a:prstGeom prst="line">
          <a:avLst/>
        </a:prstGeom>
        <a:ln>
          <a:solidFill>
            <a:schemeClr val="tx1"/>
          </a:solidFill>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15</xdr:col>
      <xdr:colOff>0</xdr:colOff>
      <xdr:row>110</xdr:row>
      <xdr:rowOff>0</xdr:rowOff>
    </xdr:from>
    <xdr:to>
      <xdr:col>19</xdr:col>
      <xdr:colOff>0</xdr:colOff>
      <xdr:row>114</xdr:row>
      <xdr:rowOff>0</xdr:rowOff>
    </xdr:to>
    <xdr:cxnSp macro="">
      <xdr:nvCxnSpPr>
        <xdr:cNvPr id="11" name="直線コネクタ 10">
          <a:extLst>
            <a:ext uri="{FF2B5EF4-FFF2-40B4-BE49-F238E27FC236}">
              <a16:creationId xmlns:a16="http://schemas.microsoft.com/office/drawing/2014/main" id="{00000000-0008-0000-0C00-00000B000000}"/>
            </a:ext>
          </a:extLst>
        </xdr:cNvPr>
        <xdr:cNvCxnSpPr>
          <a:cxnSpLocks/>
        </xdr:cNvCxnSpPr>
      </xdr:nvCxnSpPr>
      <xdr:spPr bwMode="auto">
        <a:xfrm>
          <a:off x="0" y="18396857"/>
          <a:ext cx="2354036" cy="1360714"/>
        </a:xfrm>
        <a:prstGeom prst="line">
          <a:avLst/>
        </a:prstGeom>
        <a:ln>
          <a:solidFill>
            <a:schemeClr val="tx1"/>
          </a:solidFill>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15</xdr:col>
      <xdr:colOff>0</xdr:colOff>
      <xdr:row>110</xdr:row>
      <xdr:rowOff>0</xdr:rowOff>
    </xdr:from>
    <xdr:to>
      <xdr:col>19</xdr:col>
      <xdr:colOff>0</xdr:colOff>
      <xdr:row>114</xdr:row>
      <xdr:rowOff>0</xdr:rowOff>
    </xdr:to>
    <xdr:cxnSp macro="">
      <xdr:nvCxnSpPr>
        <xdr:cNvPr id="12" name="直線コネクタ 11">
          <a:extLst>
            <a:ext uri="{FF2B5EF4-FFF2-40B4-BE49-F238E27FC236}">
              <a16:creationId xmlns:a16="http://schemas.microsoft.com/office/drawing/2014/main" id="{00000000-0008-0000-0C00-00000C000000}"/>
            </a:ext>
          </a:extLst>
        </xdr:cNvPr>
        <xdr:cNvCxnSpPr>
          <a:cxnSpLocks/>
        </xdr:cNvCxnSpPr>
      </xdr:nvCxnSpPr>
      <xdr:spPr bwMode="auto">
        <a:xfrm flipH="1">
          <a:off x="0" y="18396857"/>
          <a:ext cx="2354036" cy="1360714"/>
        </a:xfrm>
        <a:prstGeom prst="line">
          <a:avLst/>
        </a:prstGeom>
        <a:ln>
          <a:solidFill>
            <a:schemeClr val="tx1"/>
          </a:solidFill>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44</xdr:col>
      <xdr:colOff>312964</xdr:colOff>
      <xdr:row>7</xdr:row>
      <xdr:rowOff>240393</xdr:rowOff>
    </xdr:from>
    <xdr:to>
      <xdr:col>45</xdr:col>
      <xdr:colOff>557892</xdr:colOff>
      <xdr:row>8</xdr:row>
      <xdr:rowOff>240393</xdr:rowOff>
    </xdr:to>
    <xdr:sp macro="" textlink="">
      <xdr:nvSpPr>
        <xdr:cNvPr id="7" name="Oval 5">
          <a:extLst>
            <a:ext uri="{FF2B5EF4-FFF2-40B4-BE49-F238E27FC236}">
              <a16:creationId xmlns:a16="http://schemas.microsoft.com/office/drawing/2014/main" id="{00000000-0008-0000-0D00-000007000000}"/>
            </a:ext>
          </a:extLst>
        </xdr:cNvPr>
        <xdr:cNvSpPr>
          <a:spLocks noChangeArrowheads="1"/>
        </xdr:cNvSpPr>
      </xdr:nvSpPr>
      <xdr:spPr bwMode="auto">
        <a:xfrm>
          <a:off x="15090321" y="2090964"/>
          <a:ext cx="898071" cy="244929"/>
        </a:xfrm>
        <a:prstGeom prst="ellipse">
          <a:avLst/>
        </a:prstGeom>
        <a:noFill/>
        <a:ln w="25400">
          <a:solidFill>
            <a:srgbClr val="000000"/>
          </a:solidFill>
          <a:round/>
          <a:headEnd/>
          <a:tailEnd/>
        </a:ln>
      </xdr:spPr>
    </xdr:sp>
    <xdr:clientData/>
  </xdr:twoCellAnchor>
  <xdr:twoCellAnchor>
    <xdr:from>
      <xdr:col>16</xdr:col>
      <xdr:colOff>0</xdr:colOff>
      <xdr:row>3</xdr:row>
      <xdr:rowOff>0</xdr:rowOff>
    </xdr:from>
    <xdr:to>
      <xdr:col>18</xdr:col>
      <xdr:colOff>0</xdr:colOff>
      <xdr:row>4</xdr:row>
      <xdr:rowOff>0</xdr:rowOff>
    </xdr:to>
    <xdr:sp macro="" textlink="">
      <xdr:nvSpPr>
        <xdr:cNvPr id="8" name="Oval 1">
          <a:extLst>
            <a:ext uri="{FF2B5EF4-FFF2-40B4-BE49-F238E27FC236}">
              <a16:creationId xmlns:a16="http://schemas.microsoft.com/office/drawing/2014/main" id="{00000000-0008-0000-0D00-000008000000}"/>
            </a:ext>
          </a:extLst>
        </xdr:cNvPr>
        <xdr:cNvSpPr>
          <a:spLocks noChangeArrowheads="1"/>
        </xdr:cNvSpPr>
      </xdr:nvSpPr>
      <xdr:spPr bwMode="auto">
        <a:xfrm>
          <a:off x="4724399" y="876299"/>
          <a:ext cx="590549" cy="247650"/>
        </a:xfrm>
        <a:prstGeom prst="ellipse">
          <a:avLst/>
        </a:prstGeom>
        <a:noFill/>
        <a:ln w="25400">
          <a:solidFill>
            <a:srgbClr val="000000"/>
          </a:solidFill>
          <a:round/>
          <a:headEnd/>
          <a:tailEnd/>
        </a:ln>
      </xdr:spPr>
    </xdr:sp>
    <xdr:clientData/>
  </xdr:twoCellAnchor>
  <xdr:twoCellAnchor>
    <xdr:from>
      <xdr:col>42</xdr:col>
      <xdr:colOff>363309</xdr:colOff>
      <xdr:row>3</xdr:row>
      <xdr:rowOff>0</xdr:rowOff>
    </xdr:from>
    <xdr:to>
      <xdr:col>43</xdr:col>
      <xdr:colOff>9523</xdr:colOff>
      <xdr:row>4</xdr:row>
      <xdr:rowOff>-1</xdr:rowOff>
    </xdr:to>
    <xdr:sp macro="" textlink="">
      <xdr:nvSpPr>
        <xdr:cNvPr id="9" name="Oval 3">
          <a:extLst>
            <a:ext uri="{FF2B5EF4-FFF2-40B4-BE49-F238E27FC236}">
              <a16:creationId xmlns:a16="http://schemas.microsoft.com/office/drawing/2014/main" id="{00000000-0008-0000-0D00-000009000000}"/>
            </a:ext>
          </a:extLst>
        </xdr:cNvPr>
        <xdr:cNvSpPr>
          <a:spLocks noChangeArrowheads="1"/>
        </xdr:cNvSpPr>
      </xdr:nvSpPr>
      <xdr:spPr bwMode="auto">
        <a:xfrm>
          <a:off x="13290095" y="870857"/>
          <a:ext cx="299357" cy="244928"/>
        </a:xfrm>
        <a:prstGeom prst="ellipse">
          <a:avLst/>
        </a:prstGeom>
        <a:noFill/>
        <a:ln w="25400">
          <a:solidFill>
            <a:srgbClr val="000000"/>
          </a:solidFill>
          <a:round/>
          <a:headEnd/>
          <a:tailEnd/>
        </a:ln>
      </xdr:spPr>
    </xdr:sp>
    <xdr:clientData/>
  </xdr:twoCellAnchor>
  <xdr:twoCellAnchor>
    <xdr:from>
      <xdr:col>43</xdr:col>
      <xdr:colOff>13606</xdr:colOff>
      <xdr:row>3</xdr:row>
      <xdr:rowOff>0</xdr:rowOff>
    </xdr:from>
    <xdr:to>
      <xdr:col>43</xdr:col>
      <xdr:colOff>312963</xdr:colOff>
      <xdr:row>4</xdr:row>
      <xdr:rowOff>-1</xdr:rowOff>
    </xdr:to>
    <xdr:sp macro="" textlink="">
      <xdr:nvSpPr>
        <xdr:cNvPr id="10" name="Oval 4">
          <a:extLst>
            <a:ext uri="{FF2B5EF4-FFF2-40B4-BE49-F238E27FC236}">
              <a16:creationId xmlns:a16="http://schemas.microsoft.com/office/drawing/2014/main" id="{00000000-0008-0000-0D00-00000A000000}"/>
            </a:ext>
          </a:extLst>
        </xdr:cNvPr>
        <xdr:cNvSpPr>
          <a:spLocks noChangeArrowheads="1"/>
        </xdr:cNvSpPr>
      </xdr:nvSpPr>
      <xdr:spPr bwMode="auto">
        <a:xfrm>
          <a:off x="13593535" y="870857"/>
          <a:ext cx="299357" cy="244928"/>
        </a:xfrm>
        <a:prstGeom prst="ellipse">
          <a:avLst/>
        </a:prstGeom>
        <a:noFill/>
        <a:ln w="25400">
          <a:solidFill>
            <a:srgbClr val="000000"/>
          </a:solidFill>
          <a:round/>
          <a:headEnd/>
          <a:tailEnd/>
        </a:ln>
      </xdr:spPr>
    </xdr:sp>
    <xdr:clientData/>
  </xdr:twoCellAnchor>
  <xdr:twoCellAnchor>
    <xdr:from>
      <xdr:col>43</xdr:col>
      <xdr:colOff>612321</xdr:colOff>
      <xdr:row>3</xdr:row>
      <xdr:rowOff>0</xdr:rowOff>
    </xdr:from>
    <xdr:to>
      <xdr:col>44</xdr:col>
      <xdr:colOff>13607</xdr:colOff>
      <xdr:row>4</xdr:row>
      <xdr:rowOff>-1</xdr:rowOff>
    </xdr:to>
    <xdr:sp macro="" textlink="">
      <xdr:nvSpPr>
        <xdr:cNvPr id="11" name="Oval 5">
          <a:extLst>
            <a:ext uri="{FF2B5EF4-FFF2-40B4-BE49-F238E27FC236}">
              <a16:creationId xmlns:a16="http://schemas.microsoft.com/office/drawing/2014/main" id="{00000000-0008-0000-0D00-00000B000000}"/>
            </a:ext>
          </a:extLst>
        </xdr:cNvPr>
        <xdr:cNvSpPr>
          <a:spLocks noChangeArrowheads="1"/>
        </xdr:cNvSpPr>
      </xdr:nvSpPr>
      <xdr:spPr bwMode="auto">
        <a:xfrm>
          <a:off x="14192250" y="870857"/>
          <a:ext cx="598714" cy="244928"/>
        </a:xfrm>
        <a:prstGeom prst="ellipse">
          <a:avLst/>
        </a:prstGeom>
        <a:noFill/>
        <a:ln w="25400">
          <a:solidFill>
            <a:srgbClr val="000000"/>
          </a:solidFill>
          <a:round/>
          <a:headEnd/>
          <a:tailEnd/>
        </a:ln>
      </xdr:spPr>
    </xdr:sp>
    <xdr:clientData/>
  </xdr:twoCellAnchor>
  <xdr:twoCellAnchor>
    <xdr:from>
      <xdr:col>39</xdr:col>
      <xdr:colOff>122463</xdr:colOff>
      <xdr:row>3</xdr:row>
      <xdr:rowOff>9525</xdr:rowOff>
    </xdr:from>
    <xdr:to>
      <xdr:col>40</xdr:col>
      <xdr:colOff>122464</xdr:colOff>
      <xdr:row>4</xdr:row>
      <xdr:rowOff>9524</xdr:rowOff>
    </xdr:to>
    <xdr:sp macro="" textlink="">
      <xdr:nvSpPr>
        <xdr:cNvPr id="12" name="Oval 2">
          <a:extLst>
            <a:ext uri="{FF2B5EF4-FFF2-40B4-BE49-F238E27FC236}">
              <a16:creationId xmlns:a16="http://schemas.microsoft.com/office/drawing/2014/main" id="{00000000-0008-0000-0D00-00000C000000}"/>
            </a:ext>
          </a:extLst>
        </xdr:cNvPr>
        <xdr:cNvSpPr>
          <a:spLocks noChangeArrowheads="1"/>
        </xdr:cNvSpPr>
      </xdr:nvSpPr>
      <xdr:spPr bwMode="auto">
        <a:xfrm>
          <a:off x="11797392" y="880382"/>
          <a:ext cx="299358" cy="244928"/>
        </a:xfrm>
        <a:prstGeom prst="ellipse">
          <a:avLst/>
        </a:prstGeom>
        <a:noFill/>
        <a:ln w="25400">
          <a:solidFill>
            <a:srgbClr val="000000"/>
          </a:solidFill>
          <a:round/>
          <a:headEnd/>
          <a:tailEnd/>
        </a:ln>
      </xdr:spPr>
    </xdr:sp>
    <xdr:clientData/>
  </xdr:twoCellAnchor>
  <xdr:twoCellAnchor>
    <xdr:from>
      <xdr:col>16</xdr:col>
      <xdr:colOff>0</xdr:colOff>
      <xdr:row>3</xdr:row>
      <xdr:rowOff>0</xdr:rowOff>
    </xdr:from>
    <xdr:to>
      <xdr:col>18</xdr:col>
      <xdr:colOff>0</xdr:colOff>
      <xdr:row>4</xdr:row>
      <xdr:rowOff>0</xdr:rowOff>
    </xdr:to>
    <xdr:sp macro="" textlink="">
      <xdr:nvSpPr>
        <xdr:cNvPr id="13" name="Oval 1">
          <a:extLst>
            <a:ext uri="{FF2B5EF4-FFF2-40B4-BE49-F238E27FC236}">
              <a16:creationId xmlns:a16="http://schemas.microsoft.com/office/drawing/2014/main" id="{00000000-0008-0000-0D00-00000D000000}"/>
            </a:ext>
          </a:extLst>
        </xdr:cNvPr>
        <xdr:cNvSpPr>
          <a:spLocks noChangeArrowheads="1"/>
        </xdr:cNvSpPr>
      </xdr:nvSpPr>
      <xdr:spPr bwMode="auto">
        <a:xfrm>
          <a:off x="4724399" y="876299"/>
          <a:ext cx="590549" cy="247650"/>
        </a:xfrm>
        <a:prstGeom prst="ellipse">
          <a:avLst/>
        </a:prstGeom>
        <a:noFill/>
        <a:ln w="25400">
          <a:solidFill>
            <a:srgbClr val="000000"/>
          </a:solidFill>
          <a:round/>
          <a:headEnd/>
          <a:tailEnd/>
        </a:ln>
      </xdr:spPr>
    </xdr:sp>
    <xdr:clientData/>
  </xdr:twoCellAnchor>
  <xdr:twoCellAnchor>
    <xdr:from>
      <xdr:col>43</xdr:col>
      <xdr:colOff>13606</xdr:colOff>
      <xdr:row>3</xdr:row>
      <xdr:rowOff>0</xdr:rowOff>
    </xdr:from>
    <xdr:to>
      <xdr:col>43</xdr:col>
      <xdr:colOff>312963</xdr:colOff>
      <xdr:row>4</xdr:row>
      <xdr:rowOff>-1</xdr:rowOff>
    </xdr:to>
    <xdr:sp macro="" textlink="">
      <xdr:nvSpPr>
        <xdr:cNvPr id="14" name="Oval 4">
          <a:extLst>
            <a:ext uri="{FF2B5EF4-FFF2-40B4-BE49-F238E27FC236}">
              <a16:creationId xmlns:a16="http://schemas.microsoft.com/office/drawing/2014/main" id="{00000000-0008-0000-0D00-00000E000000}"/>
            </a:ext>
          </a:extLst>
        </xdr:cNvPr>
        <xdr:cNvSpPr>
          <a:spLocks noChangeArrowheads="1"/>
        </xdr:cNvSpPr>
      </xdr:nvSpPr>
      <xdr:spPr bwMode="auto">
        <a:xfrm>
          <a:off x="13593535" y="870857"/>
          <a:ext cx="299357" cy="244928"/>
        </a:xfrm>
        <a:prstGeom prst="ellipse">
          <a:avLst/>
        </a:prstGeom>
        <a:noFill/>
        <a:ln w="25400">
          <a:solidFill>
            <a:srgbClr val="000000"/>
          </a:solidFill>
          <a:round/>
          <a:headEnd/>
          <a:tailEnd/>
        </a:ln>
      </xdr:spPr>
    </xdr:sp>
    <xdr:clientData/>
  </xdr:twoCellAnchor>
  <xdr:twoCellAnchor>
    <xdr:from>
      <xdr:col>43</xdr:col>
      <xdr:colOff>612321</xdr:colOff>
      <xdr:row>3</xdr:row>
      <xdr:rowOff>0</xdr:rowOff>
    </xdr:from>
    <xdr:to>
      <xdr:col>44</xdr:col>
      <xdr:colOff>13607</xdr:colOff>
      <xdr:row>4</xdr:row>
      <xdr:rowOff>-1</xdr:rowOff>
    </xdr:to>
    <xdr:sp macro="" textlink="">
      <xdr:nvSpPr>
        <xdr:cNvPr id="15" name="Oval 5">
          <a:extLst>
            <a:ext uri="{FF2B5EF4-FFF2-40B4-BE49-F238E27FC236}">
              <a16:creationId xmlns:a16="http://schemas.microsoft.com/office/drawing/2014/main" id="{00000000-0008-0000-0D00-00000F000000}"/>
            </a:ext>
          </a:extLst>
        </xdr:cNvPr>
        <xdr:cNvSpPr>
          <a:spLocks noChangeArrowheads="1"/>
        </xdr:cNvSpPr>
      </xdr:nvSpPr>
      <xdr:spPr bwMode="auto">
        <a:xfrm>
          <a:off x="14192250" y="870857"/>
          <a:ext cx="598714" cy="244928"/>
        </a:xfrm>
        <a:prstGeom prst="ellipse">
          <a:avLst/>
        </a:prstGeom>
        <a:noFill/>
        <a:ln w="25400">
          <a:solidFill>
            <a:srgbClr val="000000"/>
          </a:solidFill>
          <a:round/>
          <a:headEnd/>
          <a:tailEnd/>
        </a:ln>
      </xdr:spPr>
    </xdr:sp>
    <xdr:clientData/>
  </xdr:twoCellAnchor>
  <xdr:twoCellAnchor>
    <xdr:from>
      <xdr:col>39</xdr:col>
      <xdr:colOff>122463</xdr:colOff>
      <xdr:row>3</xdr:row>
      <xdr:rowOff>9525</xdr:rowOff>
    </xdr:from>
    <xdr:to>
      <xdr:col>40</xdr:col>
      <xdr:colOff>122464</xdr:colOff>
      <xdr:row>4</xdr:row>
      <xdr:rowOff>9524</xdr:rowOff>
    </xdr:to>
    <xdr:sp macro="" textlink="">
      <xdr:nvSpPr>
        <xdr:cNvPr id="16" name="Oval 2">
          <a:extLst>
            <a:ext uri="{FF2B5EF4-FFF2-40B4-BE49-F238E27FC236}">
              <a16:creationId xmlns:a16="http://schemas.microsoft.com/office/drawing/2014/main" id="{00000000-0008-0000-0D00-000010000000}"/>
            </a:ext>
          </a:extLst>
        </xdr:cNvPr>
        <xdr:cNvSpPr>
          <a:spLocks noChangeArrowheads="1"/>
        </xdr:cNvSpPr>
      </xdr:nvSpPr>
      <xdr:spPr bwMode="auto">
        <a:xfrm>
          <a:off x="11797392" y="880382"/>
          <a:ext cx="299358" cy="244928"/>
        </a:xfrm>
        <a:prstGeom prst="ellipse">
          <a:avLst/>
        </a:prstGeom>
        <a:noFill/>
        <a:ln w="25400">
          <a:solidFill>
            <a:srgbClr val="000000"/>
          </a:solidFill>
          <a:round/>
          <a:headEnd/>
          <a:tailEnd/>
        </a:ln>
      </xdr:spPr>
    </xdr:sp>
    <xdr:clientData/>
  </xdr:twoCellAnchor>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Arial"/>
        <a:cs typeface="Arial"/>
      </a:majorFont>
      <a:minorFont>
        <a:latin typeface="Calibri"/>
        <a:ea typeface="Arial"/>
        <a:cs typeface="Arial"/>
      </a:minorFont>
    </a:fontScheme>
    <a:fmtScheme name="Offic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spDef>
      <a:spPr bwMode="auto"/>
      <a:bodyPr/>
      <a:lstStyle/>
      <a:style>
        <a:lnRef idx="1">
          <a:schemeClr val="accent1"/>
        </a:lnRef>
        <a:fillRef idx="3">
          <a:schemeClr val="accent1"/>
        </a:fillRef>
        <a:effectRef idx="2">
          <a:schemeClr val="accent1"/>
        </a:effectRef>
        <a:fontRef idx="minor">
          <a:schemeClr val="lt1"/>
        </a:fontRef>
      </a:style>
    </a:spDef>
    <a:lnDef>
      <a:spPr bwMode="auto"/>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L50"/>
  <sheetViews>
    <sheetView tabSelected="1" zoomScale="70" workbookViewId="0">
      <selection activeCell="A2" sqref="A2"/>
    </sheetView>
  </sheetViews>
  <sheetFormatPr defaultColWidth="8.875" defaultRowHeight="20.100000000000001" customHeight="1" x14ac:dyDescent="0.15"/>
  <cols>
    <col min="1" max="1" width="11.625" style="1" customWidth="1"/>
    <col min="2" max="2" width="30.5" style="1" customWidth="1"/>
    <col min="3" max="5" width="8.125" style="1" customWidth="1"/>
    <col min="6" max="7" width="3.5" style="2" customWidth="1"/>
    <col min="8" max="8" width="11.625" style="1" customWidth="1"/>
    <col min="9" max="9" width="30.5" style="1" customWidth="1"/>
    <col min="10" max="12" width="8.125" style="1" customWidth="1"/>
    <col min="13" max="16384" width="8.875" style="1"/>
  </cols>
  <sheetData>
    <row r="1" spans="1:12" ht="20.100000000000001" customHeight="1" x14ac:dyDescent="0.15">
      <c r="A1" s="491" t="str">
        <f>大会要項!B3</f>
        <v>第15回 全日本不動産協会杯争奪U-12サッカー大会【ラビットカップ】大分県大会</v>
      </c>
      <c r="B1" s="491"/>
      <c r="C1" s="491"/>
      <c r="D1" s="491"/>
      <c r="E1" s="491"/>
      <c r="F1" s="491"/>
      <c r="G1" s="491"/>
      <c r="H1" s="491"/>
      <c r="I1" s="491" t="s">
        <v>0</v>
      </c>
      <c r="J1" s="491"/>
      <c r="K1" s="491"/>
      <c r="L1" s="491"/>
    </row>
    <row r="2" spans="1:12" ht="20.100000000000001" customHeight="1" x14ac:dyDescent="0.15">
      <c r="A2" s="3"/>
      <c r="B2" s="3"/>
      <c r="C2" s="3"/>
      <c r="D2" s="3"/>
      <c r="E2" s="3"/>
      <c r="F2" s="3"/>
      <c r="G2" s="3"/>
      <c r="H2" s="3"/>
      <c r="I2" s="3"/>
      <c r="J2" s="3"/>
      <c r="K2" s="3"/>
      <c r="L2" s="3"/>
    </row>
    <row r="3" spans="1:12" ht="20.100000000000001" customHeight="1" x14ac:dyDescent="0.15">
      <c r="A3" s="4" t="s">
        <v>1</v>
      </c>
      <c r="B3" s="5" t="str">
        <f>大会要項!D50</f>
        <v>日時:大会事務局にて組合せを決定する。</v>
      </c>
    </row>
    <row r="4" spans="1:12" ht="20.100000000000001" customHeight="1" x14ac:dyDescent="0.15">
      <c r="A4" s="6"/>
    </row>
    <row r="5" spans="1:12" ht="20.100000000000001" customHeight="1" x14ac:dyDescent="0.15">
      <c r="A5" s="7" t="s">
        <v>2</v>
      </c>
      <c r="B5" s="5" t="str">
        <f>大会要項!D51</f>
        <v>場所:上記</v>
      </c>
      <c r="H5" s="8"/>
    </row>
    <row r="6" spans="1:12" ht="20.100000000000001" customHeight="1" x14ac:dyDescent="0.15">
      <c r="A6" s="6"/>
    </row>
    <row r="7" spans="1:12" ht="20.100000000000001" customHeight="1" x14ac:dyDescent="0.15">
      <c r="A7" s="7" t="s">
        <v>3</v>
      </c>
      <c r="B7" s="1" t="s">
        <v>4</v>
      </c>
      <c r="C7" s="1">
        <v>24</v>
      </c>
      <c r="D7" s="1" t="s">
        <v>5</v>
      </c>
    </row>
    <row r="9" spans="1:12" ht="20.100000000000001" customHeight="1" thickBot="1" x14ac:dyDescent="0.2">
      <c r="A9" s="9" t="s">
        <v>6</v>
      </c>
      <c r="B9" s="9"/>
      <c r="C9" s="9"/>
      <c r="D9" s="9"/>
      <c r="E9" s="9"/>
      <c r="F9" s="10"/>
      <c r="G9" s="10"/>
      <c r="H9" s="9" t="s">
        <v>7</v>
      </c>
    </row>
    <row r="10" spans="1:12" ht="27.75" customHeight="1" thickBot="1" x14ac:dyDescent="0.2">
      <c r="A10" s="11" t="s">
        <v>8</v>
      </c>
      <c r="B10" s="12" t="s">
        <v>9</v>
      </c>
      <c r="C10" s="13" t="s">
        <v>10</v>
      </c>
      <c r="D10" s="14" t="s">
        <v>11</v>
      </c>
      <c r="E10" s="15" t="s">
        <v>12</v>
      </c>
      <c r="F10" s="1"/>
      <c r="H10" s="445" t="s">
        <v>8</v>
      </c>
      <c r="I10" s="446" t="s">
        <v>9</v>
      </c>
      <c r="J10" s="447" t="s">
        <v>10</v>
      </c>
      <c r="K10" s="448" t="s">
        <v>11</v>
      </c>
      <c r="L10" s="449" t="s">
        <v>12</v>
      </c>
    </row>
    <row r="11" spans="1:12" ht="27.75" customHeight="1" x14ac:dyDescent="0.15">
      <c r="A11" s="492" t="s">
        <v>13</v>
      </c>
      <c r="B11" s="16" t="s">
        <v>9088</v>
      </c>
      <c r="C11" s="17" t="s">
        <v>11555</v>
      </c>
      <c r="D11" s="17"/>
      <c r="E11" s="18"/>
      <c r="F11" s="5"/>
      <c r="G11" s="19"/>
      <c r="H11" s="497" t="s">
        <v>14</v>
      </c>
      <c r="I11" s="29" t="s">
        <v>839</v>
      </c>
      <c r="J11" s="20" t="s">
        <v>11554</v>
      </c>
      <c r="K11" s="20"/>
      <c r="L11" s="21"/>
    </row>
    <row r="12" spans="1:12" ht="27.75" customHeight="1" x14ac:dyDescent="0.15">
      <c r="A12" s="492"/>
      <c r="B12" s="22" t="s">
        <v>11942</v>
      </c>
      <c r="C12" s="23" t="s">
        <v>11554</v>
      </c>
      <c r="D12" s="23"/>
      <c r="E12" s="24"/>
      <c r="F12" s="5"/>
      <c r="G12" s="19"/>
      <c r="H12" s="498"/>
      <c r="I12" s="22" t="s">
        <v>1768</v>
      </c>
      <c r="J12" s="25" t="s">
        <v>11554</v>
      </c>
      <c r="K12" s="25"/>
      <c r="L12" s="26"/>
    </row>
    <row r="13" spans="1:12" ht="27.75" customHeight="1" thickBot="1" x14ac:dyDescent="0.2">
      <c r="A13" s="492"/>
      <c r="B13" s="22" t="s">
        <v>1086</v>
      </c>
      <c r="C13" s="23" t="s">
        <v>11554</v>
      </c>
      <c r="D13" s="23"/>
      <c r="E13" s="24"/>
      <c r="F13" s="5"/>
      <c r="G13" s="19"/>
      <c r="H13" s="499"/>
      <c r="I13" s="30" t="s">
        <v>1762</v>
      </c>
      <c r="J13" s="27" t="s">
        <v>11554</v>
      </c>
      <c r="K13" s="27"/>
      <c r="L13" s="28"/>
    </row>
    <row r="14" spans="1:12" ht="27.75" customHeight="1" x14ac:dyDescent="0.15">
      <c r="A14" s="492"/>
      <c r="B14" s="22" t="s">
        <v>11943</v>
      </c>
      <c r="C14" s="23" t="s">
        <v>11554</v>
      </c>
      <c r="D14" s="23"/>
      <c r="E14" s="24"/>
      <c r="F14" s="5"/>
      <c r="G14" s="19"/>
      <c r="H14" s="496" t="s">
        <v>11553</v>
      </c>
      <c r="I14" s="16" t="s">
        <v>707</v>
      </c>
      <c r="J14" s="450" t="s">
        <v>11554</v>
      </c>
      <c r="K14" s="450"/>
      <c r="L14" s="451"/>
    </row>
    <row r="15" spans="1:12" ht="27.75" customHeight="1" thickBot="1" x14ac:dyDescent="0.2">
      <c r="A15" s="492"/>
      <c r="B15" s="22" t="s">
        <v>1381</v>
      </c>
      <c r="C15" s="23" t="s">
        <v>11554</v>
      </c>
      <c r="D15" s="23"/>
      <c r="E15" s="24"/>
      <c r="F15" s="5"/>
      <c r="G15" s="19"/>
      <c r="H15" s="495"/>
      <c r="I15" s="30" t="s">
        <v>702</v>
      </c>
      <c r="J15" s="27" t="s">
        <v>11554</v>
      </c>
      <c r="K15" s="27"/>
      <c r="L15" s="28"/>
    </row>
    <row r="16" spans="1:12" ht="27.75" customHeight="1" x14ac:dyDescent="0.15">
      <c r="A16" s="492"/>
      <c r="B16" s="22" t="s">
        <v>1323</v>
      </c>
      <c r="C16" s="23" t="s">
        <v>11554</v>
      </c>
      <c r="D16" s="23"/>
      <c r="E16" s="24"/>
      <c r="F16" s="5"/>
      <c r="G16" s="19"/>
      <c r="H16" s="494" t="s">
        <v>15</v>
      </c>
      <c r="I16" s="29" t="s">
        <v>11941</v>
      </c>
      <c r="J16" s="20" t="s">
        <v>11554</v>
      </c>
      <c r="K16" s="20"/>
      <c r="L16" s="21"/>
    </row>
    <row r="17" spans="1:12" ht="27.75" customHeight="1" thickBot="1" x14ac:dyDescent="0.2">
      <c r="A17" s="492"/>
      <c r="B17" s="22" t="s">
        <v>1004</v>
      </c>
      <c r="C17" s="23" t="s">
        <v>11554</v>
      </c>
      <c r="D17" s="23"/>
      <c r="E17" s="24"/>
      <c r="F17" s="5"/>
      <c r="G17" s="19"/>
      <c r="H17" s="495"/>
      <c r="I17" s="30" t="s">
        <v>765</v>
      </c>
      <c r="J17" s="27" t="s">
        <v>11554</v>
      </c>
      <c r="K17" s="27"/>
      <c r="L17" s="28"/>
    </row>
    <row r="18" spans="1:12" ht="27.75" customHeight="1" x14ac:dyDescent="0.15">
      <c r="A18" s="492"/>
      <c r="B18" s="22" t="s">
        <v>1186</v>
      </c>
      <c r="C18" s="23" t="s">
        <v>11554</v>
      </c>
      <c r="D18" s="23"/>
      <c r="E18" s="24"/>
      <c r="F18" s="5"/>
      <c r="G18" s="19"/>
      <c r="H18" s="494" t="s">
        <v>16</v>
      </c>
      <c r="I18" s="489" t="s">
        <v>1729</v>
      </c>
      <c r="J18" s="20" t="s">
        <v>11554</v>
      </c>
      <c r="K18" s="20"/>
      <c r="L18" s="21"/>
    </row>
    <row r="19" spans="1:12" ht="27.75" customHeight="1" thickBot="1" x14ac:dyDescent="0.2">
      <c r="A19" s="492"/>
      <c r="B19" s="22" t="s">
        <v>1483</v>
      </c>
      <c r="C19" s="23" t="s">
        <v>11554</v>
      </c>
      <c r="D19" s="23"/>
      <c r="E19" s="24"/>
      <c r="F19" s="5"/>
      <c r="G19" s="19"/>
      <c r="H19" s="495"/>
      <c r="I19" s="490" t="s">
        <v>1471</v>
      </c>
      <c r="J19" s="27" t="s">
        <v>11554</v>
      </c>
      <c r="K19" s="27"/>
      <c r="L19" s="28"/>
    </row>
    <row r="20" spans="1:12" ht="27.75" customHeight="1" thickBot="1" x14ac:dyDescent="0.2">
      <c r="A20" s="492"/>
      <c r="B20" s="22" t="s">
        <v>1167</v>
      </c>
      <c r="C20" s="23" t="s">
        <v>11554</v>
      </c>
      <c r="D20" s="23"/>
      <c r="E20" s="24"/>
      <c r="F20" s="5"/>
      <c r="G20" s="19"/>
      <c r="H20" s="31" t="s">
        <v>17</v>
      </c>
      <c r="I20" s="32" t="s">
        <v>647</v>
      </c>
      <c r="J20" s="36" t="s">
        <v>11554</v>
      </c>
      <c r="K20" s="36"/>
      <c r="L20" s="33"/>
    </row>
    <row r="21" spans="1:12" ht="27.75" customHeight="1" thickBot="1" x14ac:dyDescent="0.2">
      <c r="A21" s="493"/>
      <c r="B21" s="30" t="s">
        <v>1720</v>
      </c>
      <c r="C21" s="34" t="s">
        <v>11554</v>
      </c>
      <c r="D21" s="34"/>
      <c r="E21" s="35"/>
      <c r="F21" s="5"/>
      <c r="G21" s="19"/>
      <c r="H21" s="31" t="s">
        <v>19</v>
      </c>
      <c r="I21" s="32" t="s">
        <v>954</v>
      </c>
      <c r="J21" s="36" t="s">
        <v>11554</v>
      </c>
      <c r="K21" s="36"/>
      <c r="L21" s="33"/>
    </row>
    <row r="22" spans="1:12" ht="27.75" customHeight="1" thickBot="1" x14ac:dyDescent="0.2">
      <c r="B22" s="5"/>
      <c r="C22" s="5"/>
      <c r="D22" s="5"/>
      <c r="E22" s="37"/>
      <c r="F22" s="38"/>
      <c r="G22" s="38"/>
      <c r="H22" s="31" t="s">
        <v>20</v>
      </c>
      <c r="I22" s="32" t="s">
        <v>814</v>
      </c>
      <c r="J22" s="36" t="s">
        <v>11554</v>
      </c>
      <c r="K22" s="36"/>
      <c r="L22" s="33"/>
    </row>
    <row r="23" spans="1:12" ht="27.75" customHeight="1" thickBot="1" x14ac:dyDescent="0.2">
      <c r="B23" s="5"/>
      <c r="C23" s="5"/>
      <c r="D23" s="5"/>
      <c r="E23" s="5"/>
      <c r="F23" s="38"/>
      <c r="G23" s="38"/>
      <c r="H23" s="31" t="s">
        <v>21</v>
      </c>
      <c r="I23" s="39" t="s">
        <v>1618</v>
      </c>
      <c r="J23" s="36" t="s">
        <v>11554</v>
      </c>
      <c r="K23" s="36"/>
      <c r="L23" s="33"/>
    </row>
    <row r="24" spans="1:12" ht="20.100000000000001" customHeight="1" x14ac:dyDescent="0.15">
      <c r="B24" s="5"/>
      <c r="C24" s="5"/>
      <c r="D24" s="5"/>
      <c r="E24" s="5"/>
      <c r="F24" s="38"/>
      <c r="G24" s="38"/>
      <c r="H24" s="5"/>
      <c r="I24" s="5"/>
    </row>
    <row r="25" spans="1:12" ht="20.100000000000001" customHeight="1" x14ac:dyDescent="0.15">
      <c r="A25" s="1" t="s">
        <v>22</v>
      </c>
    </row>
    <row r="26" spans="1:12" ht="20.100000000000001" customHeight="1" x14ac:dyDescent="0.15">
      <c r="A26" s="1" t="s">
        <v>23</v>
      </c>
    </row>
    <row r="27" spans="1:12" ht="20.100000000000001" customHeight="1" x14ac:dyDescent="0.15">
      <c r="A27" s="1" t="s">
        <v>24</v>
      </c>
    </row>
    <row r="28" spans="1:12" ht="20.100000000000001" customHeight="1" x14ac:dyDescent="0.15">
      <c r="A28" s="1" t="s">
        <v>25</v>
      </c>
    </row>
    <row r="29" spans="1:12" ht="20.100000000000001" customHeight="1" x14ac:dyDescent="0.15">
      <c r="A29" s="1" t="s">
        <v>26</v>
      </c>
    </row>
    <row r="30" spans="1:12" ht="20.100000000000001" customHeight="1" x14ac:dyDescent="0.15">
      <c r="A30" s="40" t="s">
        <v>27</v>
      </c>
    </row>
    <row r="31" spans="1:12" ht="20.100000000000001" customHeight="1" x14ac:dyDescent="0.15">
      <c r="A31" s="1" t="s">
        <v>28</v>
      </c>
    </row>
    <row r="32" spans="1:12" ht="20.100000000000001" customHeight="1" x14ac:dyDescent="0.15">
      <c r="A32" s="1" t="s">
        <v>29</v>
      </c>
    </row>
    <row r="34" spans="1:12" ht="20.100000000000001" customHeight="1" x14ac:dyDescent="0.15">
      <c r="A34" s="1" t="s">
        <v>30</v>
      </c>
    </row>
    <row r="35" spans="1:12" ht="20.100000000000001" customHeight="1" x14ac:dyDescent="0.15">
      <c r="A35" s="1" t="s">
        <v>11930</v>
      </c>
    </row>
    <row r="36" spans="1:12" ht="20.100000000000001" customHeight="1" x14ac:dyDescent="0.15">
      <c r="A36" s="426" t="s">
        <v>11923</v>
      </c>
    </row>
    <row r="37" spans="1:12" ht="20.100000000000001" customHeight="1" x14ac:dyDescent="0.15">
      <c r="A37" s="426" t="s">
        <v>11924</v>
      </c>
    </row>
    <row r="38" spans="1:12" ht="20.100000000000001" customHeight="1" x14ac:dyDescent="0.15">
      <c r="A38" s="426" t="s">
        <v>11925</v>
      </c>
    </row>
    <row r="39" spans="1:12" ht="20.100000000000001" customHeight="1" x14ac:dyDescent="0.15">
      <c r="A39" s="426" t="s">
        <v>11926</v>
      </c>
    </row>
    <row r="40" spans="1:12" ht="20.100000000000001" customHeight="1" x14ac:dyDescent="0.15">
      <c r="A40" s="426" t="s">
        <v>11927</v>
      </c>
    </row>
    <row r="41" spans="1:12" ht="20.100000000000001" customHeight="1" x14ac:dyDescent="0.15">
      <c r="A41" s="1" t="s">
        <v>31</v>
      </c>
    </row>
    <row r="42" spans="1:12" ht="20.100000000000001" customHeight="1" x14ac:dyDescent="0.15">
      <c r="A42" s="1" t="s">
        <v>32</v>
      </c>
    </row>
    <row r="43" spans="1:12" ht="20.100000000000001" customHeight="1" x14ac:dyDescent="0.15">
      <c r="A43" s="41" t="s">
        <v>33</v>
      </c>
    </row>
    <row r="44" spans="1:12" ht="20.100000000000001" customHeight="1" x14ac:dyDescent="0.15">
      <c r="A44" s="42" t="s">
        <v>34</v>
      </c>
    </row>
    <row r="45" spans="1:12" ht="20.100000000000001" customHeight="1" x14ac:dyDescent="0.15">
      <c r="A45" s="426" t="s">
        <v>11928</v>
      </c>
    </row>
    <row r="46" spans="1:12" ht="20.100000000000001" customHeight="1" x14ac:dyDescent="0.15">
      <c r="A46" s="426" t="s">
        <v>11929</v>
      </c>
    </row>
    <row r="47" spans="1:12" ht="20.100000000000001" customHeight="1" x14ac:dyDescent="0.15">
      <c r="A47" s="1" t="s">
        <v>35</v>
      </c>
    </row>
    <row r="48" spans="1:12" ht="20.100000000000001" customHeight="1" x14ac:dyDescent="0.15">
      <c r="A48" s="43"/>
      <c r="B48" s="501" t="s">
        <v>36</v>
      </c>
      <c r="C48" s="501"/>
      <c r="D48" s="501"/>
      <c r="E48" s="501"/>
      <c r="F48" s="501"/>
      <c r="G48" s="501"/>
      <c r="H48" s="501" t="s">
        <v>37</v>
      </c>
      <c r="I48" s="501"/>
      <c r="J48" s="501"/>
      <c r="K48" s="501"/>
      <c r="L48" s="501"/>
    </row>
    <row r="49" spans="1:12" ht="42" customHeight="1" x14ac:dyDescent="0.15">
      <c r="A49" s="408" t="s">
        <v>11947</v>
      </c>
      <c r="B49" s="500" t="s">
        <v>11949</v>
      </c>
      <c r="C49" s="500"/>
      <c r="D49" s="500"/>
      <c r="E49" s="500"/>
      <c r="F49" s="500"/>
      <c r="G49" s="500"/>
      <c r="H49" s="500" t="s">
        <v>38</v>
      </c>
      <c r="I49" s="500"/>
      <c r="J49" s="500"/>
      <c r="K49" s="500"/>
      <c r="L49" s="500"/>
    </row>
    <row r="50" spans="1:12" ht="42" customHeight="1" x14ac:dyDescent="0.15">
      <c r="A50" s="408" t="s">
        <v>11948</v>
      </c>
      <c r="B50" s="500" t="s">
        <v>11950</v>
      </c>
      <c r="C50" s="500"/>
      <c r="D50" s="500"/>
      <c r="E50" s="500"/>
      <c r="F50" s="500"/>
      <c r="G50" s="500"/>
      <c r="H50" s="500" t="s">
        <v>38</v>
      </c>
      <c r="I50" s="500"/>
      <c r="J50" s="500"/>
      <c r="K50" s="500"/>
      <c r="L50" s="500"/>
    </row>
  </sheetData>
  <mergeCells count="13">
    <mergeCell ref="B50:G50"/>
    <mergeCell ref="H50:L50"/>
    <mergeCell ref="B48:G48"/>
    <mergeCell ref="H48:L48"/>
    <mergeCell ref="B49:G49"/>
    <mergeCell ref="H49:L49"/>
    <mergeCell ref="A1:H1"/>
    <mergeCell ref="I1:L1"/>
    <mergeCell ref="A11:A21"/>
    <mergeCell ref="H16:H17"/>
    <mergeCell ref="H18:H19"/>
    <mergeCell ref="H14:H15"/>
    <mergeCell ref="H11:H13"/>
  </mergeCells>
  <phoneticPr fontId="77"/>
  <printOptions horizontalCentered="1" verticalCentered="1"/>
  <pageMargins left="0.39370078740157483" right="0.39370078740157483" top="0.39370078740157483" bottom="0.39370078740157483" header="0.51181102362204722" footer="0.51181102362204722"/>
  <pageSetup paperSize="9" scale="6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pageSetUpPr fitToPage="1"/>
  </sheetPr>
  <dimension ref="A1:M85"/>
  <sheetViews>
    <sheetView view="pageBreakPreview" workbookViewId="0">
      <selection activeCell="A2" sqref="A2"/>
    </sheetView>
  </sheetViews>
  <sheetFormatPr defaultColWidth="9" defaultRowHeight="14.25" x14ac:dyDescent="0.15"/>
  <cols>
    <col min="1" max="1" width="12.625" style="44" customWidth="1"/>
    <col min="2" max="2" width="2.625" style="44" customWidth="1"/>
    <col min="3" max="4" width="11.875" style="44" customWidth="1"/>
    <col min="5" max="9" width="10.625" style="44" customWidth="1"/>
    <col min="10" max="10" width="15.875" style="44" customWidth="1"/>
    <col min="11" max="16384" width="9" style="44"/>
  </cols>
  <sheetData>
    <row r="1" spans="1:13" ht="30" customHeight="1" x14ac:dyDescent="0.15">
      <c r="A1" s="521" t="str">
        <f>B3</f>
        <v>第15回 全日本不動産協会杯争奪U-12サッカー大会【ラビットカップ】大分県大会</v>
      </c>
      <c r="B1" s="521"/>
      <c r="C1" s="521"/>
      <c r="D1" s="521"/>
      <c r="E1" s="521"/>
      <c r="F1" s="521"/>
      <c r="G1" s="521"/>
      <c r="H1" s="521"/>
      <c r="I1" s="521" t="s">
        <v>39</v>
      </c>
      <c r="J1" s="521"/>
      <c r="K1" s="45"/>
      <c r="L1" s="45"/>
      <c r="M1" s="45"/>
    </row>
    <row r="2" spans="1:13" ht="5.0999999999999996" customHeight="1" x14ac:dyDescent="0.15">
      <c r="A2" s="46"/>
    </row>
    <row r="3" spans="1:13" ht="20.100000000000001" customHeight="1" x14ac:dyDescent="0.15">
      <c r="A3" s="46" t="s">
        <v>40</v>
      </c>
      <c r="B3" s="510" t="s">
        <v>11896</v>
      </c>
      <c r="C3" s="510"/>
      <c r="D3" s="510"/>
      <c r="E3" s="510"/>
      <c r="F3" s="510"/>
      <c r="G3" s="510"/>
      <c r="H3" s="510"/>
      <c r="I3" s="510"/>
      <c r="J3" s="510"/>
    </row>
    <row r="4" spans="1:13" ht="5.0999999999999996" customHeight="1" x14ac:dyDescent="0.15">
      <c r="A4" s="46"/>
    </row>
    <row r="5" spans="1:13" ht="20.100000000000001" customHeight="1" x14ac:dyDescent="0.15">
      <c r="A5" s="46" t="s">
        <v>41</v>
      </c>
      <c r="B5" s="510" t="s">
        <v>42</v>
      </c>
      <c r="C5" s="510"/>
      <c r="D5" s="510"/>
      <c r="E5" s="510"/>
      <c r="F5" s="510"/>
      <c r="G5" s="510"/>
      <c r="H5" s="510"/>
      <c r="I5" s="510"/>
      <c r="J5" s="510"/>
    </row>
    <row r="6" spans="1:13" ht="5.0999999999999996" customHeight="1" x14ac:dyDescent="0.15">
      <c r="A6" s="46"/>
    </row>
    <row r="7" spans="1:13" ht="20.100000000000001" customHeight="1" x14ac:dyDescent="0.15">
      <c r="A7" s="46" t="s">
        <v>43</v>
      </c>
      <c r="B7" s="522" t="s">
        <v>44</v>
      </c>
      <c r="C7" s="522"/>
      <c r="D7" s="522"/>
      <c r="E7" s="522"/>
      <c r="F7" s="522"/>
      <c r="G7" s="522"/>
      <c r="H7" s="522"/>
      <c r="I7" s="522"/>
      <c r="J7" s="522"/>
      <c r="K7" s="47"/>
      <c r="L7" s="47"/>
      <c r="M7" s="47"/>
    </row>
    <row r="8" spans="1:13" ht="5.0999999999999996" customHeight="1" x14ac:dyDescent="0.15">
      <c r="A8" s="46"/>
    </row>
    <row r="9" spans="1:13" ht="20.100000000000001" customHeight="1" x14ac:dyDescent="0.15">
      <c r="A9" s="46" t="s">
        <v>45</v>
      </c>
      <c r="B9" s="510" t="s">
        <v>46</v>
      </c>
      <c r="C9" s="510"/>
      <c r="D9" s="510"/>
      <c r="E9" s="510"/>
      <c r="F9" s="510"/>
      <c r="G9" s="510"/>
      <c r="H9" s="510"/>
      <c r="I9" s="510"/>
      <c r="J9" s="510"/>
    </row>
    <row r="10" spans="1:13" ht="5.0999999999999996" customHeight="1" x14ac:dyDescent="0.15">
      <c r="A10" s="46"/>
    </row>
    <row r="11" spans="1:13" ht="20.100000000000001" customHeight="1" x14ac:dyDescent="0.15">
      <c r="A11" s="46" t="s">
        <v>47</v>
      </c>
      <c r="B11" s="44" t="s">
        <v>11899</v>
      </c>
    </row>
    <row r="12" spans="1:13" ht="5.0999999999999996" customHeight="1" x14ac:dyDescent="0.15">
      <c r="A12" s="46"/>
    </row>
    <row r="13" spans="1:13" ht="20.100000000000001" customHeight="1" x14ac:dyDescent="0.15">
      <c r="A13" s="46" t="s">
        <v>48</v>
      </c>
      <c r="B13" s="510" t="s">
        <v>49</v>
      </c>
      <c r="C13" s="510"/>
      <c r="D13" s="510"/>
      <c r="E13" s="510"/>
      <c r="F13" s="510"/>
      <c r="G13" s="510"/>
      <c r="H13" s="510"/>
      <c r="I13" s="510"/>
      <c r="J13" s="510"/>
    </row>
    <row r="14" spans="1:13" ht="5.0999999999999996" customHeight="1" x14ac:dyDescent="0.15">
      <c r="A14" s="46"/>
    </row>
    <row r="15" spans="1:13" ht="20.100000000000001" customHeight="1" x14ac:dyDescent="0.15">
      <c r="A15" s="46" t="s">
        <v>50</v>
      </c>
      <c r="B15" s="518" t="s">
        <v>11897</v>
      </c>
      <c r="C15" s="518"/>
      <c r="D15" s="518"/>
      <c r="E15" s="518"/>
      <c r="F15" s="518"/>
      <c r="G15" s="518"/>
      <c r="H15" s="518"/>
      <c r="I15" s="518"/>
      <c r="J15" s="518"/>
    </row>
    <row r="16" spans="1:13" ht="5.0999999999999996" customHeight="1" x14ac:dyDescent="0.15">
      <c r="A16" s="46"/>
    </row>
    <row r="17" spans="1:10" ht="20.100000000000001" customHeight="1" x14ac:dyDescent="0.15">
      <c r="A17" s="46" t="s">
        <v>51</v>
      </c>
      <c r="B17" s="519" t="s">
        <v>11915</v>
      </c>
      <c r="C17" s="520"/>
      <c r="D17" s="520"/>
      <c r="E17" s="520"/>
      <c r="F17" s="520"/>
      <c r="G17" s="520"/>
      <c r="H17" s="520"/>
      <c r="I17" s="520"/>
      <c r="J17" s="520"/>
    </row>
    <row r="18" spans="1:10" ht="5.0999999999999996" customHeight="1" x14ac:dyDescent="0.15">
      <c r="A18" s="46"/>
    </row>
    <row r="19" spans="1:10" ht="20.100000000000001" customHeight="1" x14ac:dyDescent="0.15">
      <c r="A19" s="46" t="s">
        <v>52</v>
      </c>
      <c r="B19" s="48" t="s">
        <v>53</v>
      </c>
      <c r="C19" s="512" t="s">
        <v>11898</v>
      </c>
      <c r="D19" s="517"/>
      <c r="E19" s="517"/>
      <c r="F19" s="517"/>
      <c r="G19" s="517"/>
      <c r="H19" s="517"/>
      <c r="I19" s="517"/>
      <c r="J19" s="517"/>
    </row>
    <row r="20" spans="1:10" ht="20.100000000000001" customHeight="1" x14ac:dyDescent="0.15">
      <c r="A20" s="46"/>
      <c r="B20" s="48" t="s">
        <v>54</v>
      </c>
      <c r="C20" s="512" t="s">
        <v>55</v>
      </c>
      <c r="D20" s="517"/>
      <c r="E20" s="517"/>
      <c r="F20" s="517"/>
      <c r="G20" s="517"/>
      <c r="H20" s="517"/>
      <c r="I20" s="517"/>
      <c r="J20" s="517"/>
    </row>
    <row r="21" spans="1:10" ht="45" customHeight="1" x14ac:dyDescent="0.15">
      <c r="A21" s="46"/>
      <c r="B21" s="48" t="s">
        <v>56</v>
      </c>
      <c r="C21" s="512" t="s">
        <v>57</v>
      </c>
      <c r="D21" s="517"/>
      <c r="E21" s="517"/>
      <c r="F21" s="517"/>
      <c r="G21" s="517"/>
      <c r="H21" s="517"/>
      <c r="I21" s="517"/>
      <c r="J21" s="517"/>
    </row>
    <row r="22" spans="1:10" ht="30" customHeight="1" x14ac:dyDescent="0.15">
      <c r="A22" s="46"/>
      <c r="B22" s="48" t="s">
        <v>58</v>
      </c>
      <c r="C22" s="512" t="s">
        <v>59</v>
      </c>
      <c r="D22" s="517"/>
      <c r="E22" s="517"/>
      <c r="F22" s="517"/>
      <c r="G22" s="517"/>
      <c r="H22" s="517"/>
      <c r="I22" s="517"/>
      <c r="J22" s="517"/>
    </row>
    <row r="23" spans="1:10" ht="20.100000000000001" customHeight="1" x14ac:dyDescent="0.15">
      <c r="A23" s="46"/>
      <c r="B23" s="48" t="s">
        <v>60</v>
      </c>
      <c r="C23" s="517" t="s">
        <v>61</v>
      </c>
      <c r="D23" s="517"/>
      <c r="E23" s="517"/>
      <c r="F23" s="517"/>
      <c r="G23" s="517"/>
      <c r="H23" s="517"/>
      <c r="I23" s="517"/>
      <c r="J23" s="517"/>
    </row>
    <row r="24" spans="1:10" ht="20.100000000000001" customHeight="1" x14ac:dyDescent="0.15">
      <c r="A24" s="46"/>
      <c r="B24" s="48" t="s">
        <v>62</v>
      </c>
      <c r="C24" s="517" t="s">
        <v>63</v>
      </c>
      <c r="D24" s="517"/>
      <c r="E24" s="517"/>
      <c r="F24" s="517"/>
      <c r="G24" s="517"/>
      <c r="H24" s="517"/>
      <c r="I24" s="517"/>
      <c r="J24" s="517"/>
    </row>
    <row r="25" spans="1:10" ht="5.0999999999999996" customHeight="1" x14ac:dyDescent="0.15">
      <c r="A25" s="46"/>
    </row>
    <row r="26" spans="1:10" ht="30" customHeight="1" x14ac:dyDescent="0.15">
      <c r="A26" s="44" t="s">
        <v>64</v>
      </c>
      <c r="B26" s="48" t="s">
        <v>53</v>
      </c>
      <c r="C26" s="503" t="s">
        <v>65</v>
      </c>
      <c r="D26" s="504"/>
      <c r="E26" s="504"/>
      <c r="F26" s="504"/>
      <c r="G26" s="504"/>
      <c r="H26" s="504"/>
      <c r="I26" s="504"/>
      <c r="J26" s="504"/>
    </row>
    <row r="27" spans="1:10" ht="20.100000000000001" customHeight="1" x14ac:dyDescent="0.15">
      <c r="B27" s="48"/>
      <c r="C27" s="511" t="s">
        <v>66</v>
      </c>
      <c r="D27" s="510"/>
      <c r="E27" s="510"/>
      <c r="F27" s="510"/>
      <c r="G27" s="510"/>
      <c r="H27" s="510"/>
      <c r="I27" s="510"/>
      <c r="J27" s="510"/>
    </row>
    <row r="28" spans="1:10" ht="30" customHeight="1" x14ac:dyDescent="0.15">
      <c r="A28" s="46"/>
      <c r="B28" s="48" t="s">
        <v>54</v>
      </c>
      <c r="C28" s="511" t="s">
        <v>67</v>
      </c>
      <c r="D28" s="510"/>
      <c r="E28" s="510"/>
      <c r="F28" s="510"/>
      <c r="G28" s="510"/>
      <c r="H28" s="510"/>
      <c r="I28" s="510"/>
      <c r="J28" s="510"/>
    </row>
    <row r="29" spans="1:10" ht="30" customHeight="1" x14ac:dyDescent="0.15">
      <c r="A29" s="46"/>
      <c r="B29" s="48" t="s">
        <v>56</v>
      </c>
      <c r="C29" s="511" t="s">
        <v>68</v>
      </c>
      <c r="D29" s="510"/>
      <c r="E29" s="510"/>
      <c r="F29" s="510"/>
      <c r="G29" s="510"/>
      <c r="H29" s="510"/>
      <c r="I29" s="510"/>
      <c r="J29" s="510"/>
    </row>
    <row r="30" spans="1:10" ht="99.95" customHeight="1" x14ac:dyDescent="0.15">
      <c r="A30" s="46"/>
      <c r="B30" s="48" t="s">
        <v>58</v>
      </c>
      <c r="C30" s="511" t="s">
        <v>69</v>
      </c>
      <c r="D30" s="510"/>
      <c r="E30" s="510"/>
      <c r="F30" s="510"/>
      <c r="G30" s="510"/>
      <c r="H30" s="510"/>
      <c r="I30" s="510"/>
      <c r="J30" s="510"/>
    </row>
    <row r="31" spans="1:10" ht="18.75" customHeight="1" x14ac:dyDescent="0.15">
      <c r="A31" s="46"/>
      <c r="B31" s="48" t="s">
        <v>60</v>
      </c>
      <c r="C31" s="516" t="s">
        <v>11920</v>
      </c>
      <c r="D31" s="508"/>
      <c r="E31" s="508"/>
      <c r="F31" s="508"/>
      <c r="G31" s="508"/>
      <c r="H31" s="508"/>
      <c r="I31" s="508"/>
      <c r="J31" s="508"/>
    </row>
    <row r="32" spans="1:10" ht="50.25" customHeight="1" x14ac:dyDescent="0.15">
      <c r="A32" s="46"/>
      <c r="B32" s="48" t="s">
        <v>62</v>
      </c>
      <c r="C32" s="511" t="s">
        <v>70</v>
      </c>
      <c r="D32" s="511"/>
      <c r="E32" s="511"/>
      <c r="F32" s="511"/>
      <c r="G32" s="511"/>
      <c r="H32" s="511"/>
      <c r="I32" s="511"/>
      <c r="J32" s="511"/>
    </row>
    <row r="33" spans="1:10" ht="20.100000000000001" customHeight="1" x14ac:dyDescent="0.15">
      <c r="A33" s="46"/>
      <c r="B33" s="48" t="s">
        <v>71</v>
      </c>
      <c r="C33" s="510" t="s">
        <v>72</v>
      </c>
      <c r="D33" s="510"/>
      <c r="E33" s="510"/>
      <c r="F33" s="510"/>
      <c r="G33" s="510"/>
      <c r="H33" s="510"/>
      <c r="I33" s="510"/>
      <c r="J33" s="510"/>
    </row>
    <row r="34" spans="1:10" ht="20.100000000000001" customHeight="1" x14ac:dyDescent="0.15">
      <c r="A34" s="46"/>
      <c r="B34" s="48" t="s">
        <v>73</v>
      </c>
      <c r="C34" s="511" t="s">
        <v>74</v>
      </c>
      <c r="D34" s="510"/>
      <c r="E34" s="510"/>
      <c r="F34" s="510"/>
      <c r="G34" s="510"/>
      <c r="H34" s="510"/>
      <c r="I34" s="510"/>
      <c r="J34" s="510"/>
    </row>
    <row r="35" spans="1:10" ht="30" customHeight="1" x14ac:dyDescent="0.15">
      <c r="A35" s="46"/>
      <c r="B35" s="48" t="s">
        <v>75</v>
      </c>
      <c r="C35" s="512" t="s">
        <v>11900</v>
      </c>
      <c r="D35" s="517"/>
      <c r="E35" s="517"/>
      <c r="F35" s="517"/>
      <c r="G35" s="517"/>
      <c r="H35" s="517"/>
      <c r="I35" s="517"/>
      <c r="J35" s="517"/>
    </row>
    <row r="36" spans="1:10" ht="30" customHeight="1" x14ac:dyDescent="0.15">
      <c r="A36" s="46"/>
      <c r="B36" s="48" t="s">
        <v>76</v>
      </c>
      <c r="C36" s="511" t="s">
        <v>77</v>
      </c>
      <c r="D36" s="510"/>
      <c r="E36" s="510"/>
      <c r="F36" s="510"/>
      <c r="G36" s="510"/>
      <c r="H36" s="510"/>
      <c r="I36" s="510"/>
      <c r="J36" s="510"/>
    </row>
    <row r="37" spans="1:10" ht="45" customHeight="1" x14ac:dyDescent="0.15">
      <c r="A37" s="46"/>
      <c r="B37" s="48" t="s">
        <v>78</v>
      </c>
      <c r="C37" s="511" t="s">
        <v>79</v>
      </c>
      <c r="D37" s="510"/>
      <c r="E37" s="510"/>
      <c r="F37" s="510"/>
      <c r="G37" s="510"/>
      <c r="H37" s="510"/>
      <c r="I37" s="510"/>
      <c r="J37" s="510"/>
    </row>
    <row r="38" spans="1:10" ht="50.25" customHeight="1" x14ac:dyDescent="0.15">
      <c r="A38" s="46"/>
      <c r="B38" s="48" t="s">
        <v>80</v>
      </c>
      <c r="C38" s="514" t="s">
        <v>11901</v>
      </c>
      <c r="D38" s="515"/>
      <c r="E38" s="515"/>
      <c r="F38" s="515"/>
      <c r="G38" s="515"/>
      <c r="H38" s="515"/>
      <c r="I38" s="515"/>
      <c r="J38" s="515"/>
    </row>
    <row r="39" spans="1:10" ht="30" customHeight="1" x14ac:dyDescent="0.15">
      <c r="A39" s="46"/>
      <c r="B39" s="48" t="s">
        <v>81</v>
      </c>
      <c r="C39" s="511" t="s">
        <v>82</v>
      </c>
      <c r="D39" s="510"/>
      <c r="E39" s="510"/>
      <c r="F39" s="510"/>
      <c r="G39" s="510"/>
      <c r="H39" s="510"/>
      <c r="I39" s="510"/>
      <c r="J39" s="510"/>
    </row>
    <row r="40" spans="1:10" ht="20.100000000000001" customHeight="1" x14ac:dyDescent="0.15">
      <c r="A40" s="46"/>
      <c r="B40" s="48" t="s">
        <v>83</v>
      </c>
      <c r="C40" s="511" t="s">
        <v>84</v>
      </c>
      <c r="D40" s="511"/>
      <c r="E40" s="511"/>
      <c r="F40" s="511"/>
      <c r="G40" s="511"/>
      <c r="H40" s="511"/>
      <c r="I40" s="511"/>
      <c r="J40" s="511"/>
    </row>
    <row r="41" spans="1:10" ht="5.0999999999999996" customHeight="1" x14ac:dyDescent="0.15">
      <c r="A41" s="46"/>
    </row>
    <row r="42" spans="1:10" s="49" customFormat="1" ht="50.1" customHeight="1" x14ac:dyDescent="0.15">
      <c r="A42" s="50" t="s">
        <v>85</v>
      </c>
      <c r="B42" s="51" t="s">
        <v>53</v>
      </c>
      <c r="C42" s="52" t="s">
        <v>86</v>
      </c>
      <c r="D42" s="512" t="s">
        <v>11902</v>
      </c>
      <c r="E42" s="512"/>
      <c r="F42" s="512"/>
      <c r="G42" s="512"/>
      <c r="H42" s="512"/>
      <c r="I42" s="512"/>
      <c r="J42" s="512"/>
    </row>
    <row r="43" spans="1:10" ht="20.100000000000001" customHeight="1" x14ac:dyDescent="0.15">
      <c r="A43" s="53"/>
      <c r="B43" s="48"/>
      <c r="D43" s="511" t="s">
        <v>87</v>
      </c>
      <c r="E43" s="511"/>
      <c r="F43" s="511"/>
      <c r="G43" s="511"/>
      <c r="H43" s="511"/>
      <c r="I43" s="511"/>
      <c r="J43" s="511"/>
    </row>
    <row r="44" spans="1:10" ht="20.100000000000001" customHeight="1" x14ac:dyDescent="0.15">
      <c r="A44" s="46"/>
      <c r="B44" s="48"/>
      <c r="C44" s="511" t="s">
        <v>88</v>
      </c>
      <c r="D44" s="510"/>
      <c r="E44" s="510"/>
      <c r="F44" s="510"/>
      <c r="G44" s="510"/>
      <c r="H44" s="510"/>
      <c r="I44" s="510"/>
      <c r="J44" s="510"/>
    </row>
    <row r="45" spans="1:10" ht="30.75" customHeight="1" x14ac:dyDescent="0.15">
      <c r="A45" s="53"/>
      <c r="B45" s="48" t="s">
        <v>54</v>
      </c>
      <c r="C45" s="513" t="s">
        <v>11903</v>
      </c>
      <c r="D45" s="513"/>
      <c r="E45" s="44" t="s">
        <v>11904</v>
      </c>
    </row>
    <row r="46" spans="1:10" ht="20.100000000000001" customHeight="1" x14ac:dyDescent="0.15">
      <c r="A46" s="46"/>
      <c r="B46" s="48"/>
      <c r="C46" s="54" t="s">
        <v>89</v>
      </c>
      <c r="D46" s="44" t="s">
        <v>11905</v>
      </c>
    </row>
    <row r="47" spans="1:10" ht="20.100000000000001" customHeight="1" x14ac:dyDescent="0.15">
      <c r="A47" s="46"/>
      <c r="B47" s="48"/>
      <c r="D47" s="441" t="s">
        <v>11906</v>
      </c>
    </row>
    <row r="48" spans="1:10" ht="20.100000000000001" customHeight="1" x14ac:dyDescent="0.15">
      <c r="A48" s="46"/>
      <c r="B48" s="48"/>
      <c r="C48" s="442" t="s">
        <v>11907</v>
      </c>
      <c r="D48" s="443"/>
      <c r="E48" s="443"/>
      <c r="F48" s="443"/>
      <c r="G48" s="443"/>
      <c r="H48" s="443"/>
      <c r="I48" s="443"/>
      <c r="J48" s="443"/>
    </row>
    <row r="49" spans="1:10" ht="20.100000000000001" customHeight="1" x14ac:dyDescent="0.15">
      <c r="A49" s="46"/>
      <c r="B49" s="48"/>
      <c r="C49" s="443" t="s">
        <v>11908</v>
      </c>
      <c r="D49" s="443"/>
      <c r="E49" s="443"/>
      <c r="F49" s="443"/>
      <c r="G49" s="443"/>
      <c r="H49" s="443"/>
      <c r="I49" s="443"/>
      <c r="J49" s="443"/>
    </row>
    <row r="50" spans="1:10" ht="20.100000000000001" customHeight="1" x14ac:dyDescent="0.15">
      <c r="A50" s="46"/>
      <c r="B50" s="48" t="s">
        <v>56</v>
      </c>
      <c r="C50" s="54" t="s">
        <v>90</v>
      </c>
      <c r="D50" s="55" t="s">
        <v>91</v>
      </c>
    </row>
    <row r="51" spans="1:10" ht="20.100000000000001" customHeight="1" x14ac:dyDescent="0.15">
      <c r="A51" s="46"/>
      <c r="B51" s="48"/>
      <c r="D51" s="55" t="s">
        <v>92</v>
      </c>
    </row>
    <row r="52" spans="1:10" ht="5.0999999999999996" customHeight="1" x14ac:dyDescent="0.15">
      <c r="A52" s="46"/>
    </row>
    <row r="53" spans="1:10" ht="35.1" customHeight="1" x14ac:dyDescent="0.15">
      <c r="A53" s="46" t="s">
        <v>93</v>
      </c>
      <c r="B53" s="48" t="s">
        <v>53</v>
      </c>
      <c r="C53" s="511" t="s">
        <v>11909</v>
      </c>
      <c r="D53" s="511"/>
      <c r="E53" s="511"/>
      <c r="F53" s="511"/>
      <c r="G53" s="511"/>
      <c r="H53" s="511"/>
      <c r="I53" s="511"/>
      <c r="J53" s="511"/>
    </row>
    <row r="54" spans="1:10" ht="35.1" customHeight="1" x14ac:dyDescent="0.15">
      <c r="A54" s="46"/>
      <c r="B54" s="48" t="s">
        <v>54</v>
      </c>
      <c r="C54" s="511" t="s">
        <v>94</v>
      </c>
      <c r="D54" s="510"/>
      <c r="E54" s="510"/>
      <c r="F54" s="510"/>
      <c r="G54" s="510"/>
      <c r="H54" s="510"/>
      <c r="I54" s="510"/>
      <c r="J54" s="510"/>
    </row>
    <row r="55" spans="1:10" ht="68.25" customHeight="1" x14ac:dyDescent="0.15">
      <c r="A55" s="46"/>
      <c r="B55" s="48" t="s">
        <v>56</v>
      </c>
      <c r="C55" s="507" t="s">
        <v>95</v>
      </c>
      <c r="D55" s="507"/>
      <c r="E55" s="507"/>
      <c r="F55" s="507"/>
      <c r="G55" s="507"/>
      <c r="H55" s="507"/>
      <c r="I55" s="507"/>
      <c r="J55" s="507"/>
    </row>
    <row r="56" spans="1:10" ht="20.100000000000001" customHeight="1" x14ac:dyDescent="0.15">
      <c r="A56" s="46"/>
      <c r="B56" s="48" t="s">
        <v>58</v>
      </c>
      <c r="C56" s="504" t="s">
        <v>96</v>
      </c>
      <c r="D56" s="504"/>
      <c r="E56" s="504"/>
      <c r="F56" s="504"/>
      <c r="G56" s="504"/>
      <c r="H56" s="504"/>
      <c r="I56" s="504"/>
      <c r="J56" s="504"/>
    </row>
    <row r="57" spans="1:10" ht="30" customHeight="1" x14ac:dyDescent="0.15">
      <c r="A57" s="46"/>
      <c r="B57" s="48" t="s">
        <v>60</v>
      </c>
      <c r="C57" s="511" t="s">
        <v>97</v>
      </c>
      <c r="D57" s="510"/>
      <c r="E57" s="510"/>
      <c r="F57" s="510"/>
      <c r="G57" s="510"/>
      <c r="H57" s="510"/>
      <c r="I57" s="510"/>
      <c r="J57" s="510"/>
    </row>
    <row r="58" spans="1:10" ht="20.100000000000001" customHeight="1" x14ac:dyDescent="0.15">
      <c r="A58" s="46"/>
      <c r="B58" s="48"/>
      <c r="C58" s="510" t="s">
        <v>98</v>
      </c>
      <c r="D58" s="510"/>
      <c r="E58" s="510"/>
      <c r="F58" s="510"/>
      <c r="G58" s="510"/>
      <c r="H58" s="510"/>
      <c r="I58" s="510"/>
      <c r="J58" s="510"/>
    </row>
    <row r="59" spans="1:10" ht="20.100000000000001" customHeight="1" x14ac:dyDescent="0.15">
      <c r="A59" s="46"/>
      <c r="B59" s="48"/>
      <c r="C59" s="510" t="s">
        <v>99</v>
      </c>
      <c r="D59" s="510"/>
      <c r="E59" s="510"/>
      <c r="F59" s="510"/>
      <c r="G59" s="510"/>
      <c r="H59" s="510"/>
      <c r="I59" s="510"/>
      <c r="J59" s="510"/>
    </row>
    <row r="60" spans="1:10" ht="20.100000000000001" customHeight="1" x14ac:dyDescent="0.15">
      <c r="A60" s="46"/>
      <c r="B60" s="48"/>
      <c r="C60" s="510" t="s">
        <v>100</v>
      </c>
      <c r="D60" s="510"/>
      <c r="E60" s="510"/>
      <c r="F60" s="510"/>
      <c r="G60" s="510"/>
      <c r="H60" s="510"/>
      <c r="I60" s="510"/>
      <c r="J60" s="510"/>
    </row>
    <row r="61" spans="1:10" ht="20.100000000000001" customHeight="1" x14ac:dyDescent="0.15">
      <c r="A61" s="46"/>
      <c r="B61" s="48"/>
      <c r="C61" s="510" t="s">
        <v>101</v>
      </c>
      <c r="D61" s="510"/>
      <c r="E61" s="510"/>
      <c r="F61" s="510"/>
      <c r="G61" s="510"/>
      <c r="H61" s="510"/>
      <c r="I61" s="510"/>
      <c r="J61" s="510"/>
    </row>
    <row r="62" spans="1:10" ht="20.100000000000001" customHeight="1" x14ac:dyDescent="0.15">
      <c r="A62" s="46"/>
      <c r="B62" s="48"/>
      <c r="C62" s="511" t="s">
        <v>102</v>
      </c>
      <c r="D62" s="510"/>
      <c r="E62" s="510"/>
      <c r="F62" s="510"/>
      <c r="G62" s="510"/>
      <c r="H62" s="510"/>
      <c r="I62" s="510"/>
      <c r="J62" s="510"/>
    </row>
    <row r="63" spans="1:10" ht="20.100000000000001" customHeight="1" x14ac:dyDescent="0.15">
      <c r="A63" s="46"/>
      <c r="B63" s="48"/>
      <c r="C63" s="504" t="s">
        <v>103</v>
      </c>
      <c r="D63" s="504"/>
      <c r="E63" s="504"/>
      <c r="F63" s="504"/>
      <c r="G63" s="504"/>
      <c r="H63" s="504"/>
      <c r="I63" s="504"/>
      <c r="J63" s="504"/>
    </row>
    <row r="64" spans="1:10" ht="35.1" customHeight="1" x14ac:dyDescent="0.15">
      <c r="A64" s="46"/>
      <c r="B64" s="48"/>
      <c r="C64" s="503" t="s">
        <v>104</v>
      </c>
      <c r="D64" s="504"/>
      <c r="E64" s="504"/>
      <c r="F64" s="504"/>
      <c r="G64" s="504"/>
      <c r="H64" s="504"/>
      <c r="I64" s="504"/>
      <c r="J64" s="504"/>
    </row>
    <row r="65" spans="2:10" ht="20.100000000000001" customHeight="1" x14ac:dyDescent="0.15">
      <c r="B65" s="48" t="s">
        <v>62</v>
      </c>
      <c r="C65" s="504" t="s">
        <v>105</v>
      </c>
      <c r="D65" s="504"/>
      <c r="E65" s="504"/>
      <c r="F65" s="504"/>
      <c r="G65" s="504"/>
      <c r="H65" s="504"/>
      <c r="I65" s="504"/>
      <c r="J65" s="504"/>
    </row>
    <row r="66" spans="2:10" ht="20.100000000000001" customHeight="1" x14ac:dyDescent="0.15">
      <c r="B66" s="48" t="s">
        <v>71</v>
      </c>
      <c r="C66" s="504" t="s">
        <v>106</v>
      </c>
      <c r="D66" s="504"/>
      <c r="E66" s="504"/>
      <c r="F66" s="504"/>
      <c r="G66" s="504"/>
      <c r="H66" s="504"/>
      <c r="I66" s="504"/>
      <c r="J66" s="504"/>
    </row>
    <row r="67" spans="2:10" ht="20.100000000000001" customHeight="1" x14ac:dyDescent="0.15">
      <c r="B67" s="48"/>
      <c r="C67" s="504" t="s">
        <v>107</v>
      </c>
      <c r="D67" s="504"/>
      <c r="E67" s="504"/>
      <c r="F67" s="504"/>
      <c r="G67" s="504"/>
      <c r="H67" s="504"/>
      <c r="I67" s="504"/>
      <c r="J67" s="504"/>
    </row>
    <row r="68" spans="2:10" ht="20.100000000000001" customHeight="1" x14ac:dyDescent="0.15">
      <c r="B68" s="48"/>
      <c r="C68" s="504" t="s">
        <v>108</v>
      </c>
      <c r="D68" s="504"/>
      <c r="E68" s="504"/>
      <c r="F68" s="504"/>
      <c r="G68" s="504"/>
      <c r="H68" s="504"/>
      <c r="I68" s="504"/>
      <c r="J68" s="504"/>
    </row>
    <row r="69" spans="2:10" ht="20.100000000000001" customHeight="1" x14ac:dyDescent="0.15">
      <c r="B69" s="48"/>
      <c r="C69" s="504" t="s">
        <v>109</v>
      </c>
      <c r="D69" s="504"/>
      <c r="E69" s="504"/>
      <c r="F69" s="504"/>
      <c r="G69" s="504"/>
      <c r="H69" s="504"/>
      <c r="I69" s="504"/>
      <c r="J69" s="504"/>
    </row>
    <row r="70" spans="2:10" ht="100.5" customHeight="1" x14ac:dyDescent="0.15">
      <c r="B70" s="48"/>
      <c r="C70" s="508" t="s">
        <v>11921</v>
      </c>
      <c r="D70" s="509"/>
      <c r="E70" s="509"/>
      <c r="F70" s="509"/>
      <c r="G70" s="509"/>
      <c r="H70" s="509"/>
      <c r="I70" s="509"/>
      <c r="J70" s="509"/>
    </row>
    <row r="71" spans="2:10" ht="20.100000000000001" customHeight="1" x14ac:dyDescent="0.15">
      <c r="B71" s="48"/>
      <c r="C71" s="504" t="s">
        <v>110</v>
      </c>
      <c r="D71" s="504"/>
      <c r="E71" s="504"/>
      <c r="F71" s="504"/>
      <c r="G71" s="504"/>
      <c r="H71" s="504"/>
      <c r="I71" s="504"/>
      <c r="J71" s="504"/>
    </row>
    <row r="72" spans="2:10" ht="20.100000000000001" customHeight="1" x14ac:dyDescent="0.15">
      <c r="B72" s="48"/>
      <c r="C72" s="503" t="s">
        <v>111</v>
      </c>
      <c r="D72" s="504"/>
      <c r="E72" s="504"/>
      <c r="F72" s="504"/>
      <c r="G72" s="504"/>
      <c r="H72" s="504"/>
      <c r="I72" s="504"/>
      <c r="J72" s="504"/>
    </row>
    <row r="73" spans="2:10" ht="20.100000000000001" customHeight="1" x14ac:dyDescent="0.15">
      <c r="B73" s="48"/>
      <c r="C73" s="504" t="s">
        <v>112</v>
      </c>
      <c r="D73" s="504"/>
      <c r="E73" s="504"/>
      <c r="F73" s="504"/>
      <c r="G73" s="504"/>
      <c r="H73" s="504"/>
      <c r="I73" s="504"/>
      <c r="J73" s="504"/>
    </row>
    <row r="74" spans="2:10" ht="65.25" customHeight="1" x14ac:dyDescent="0.15">
      <c r="B74" s="48" t="s">
        <v>73</v>
      </c>
      <c r="C74" s="503" t="s">
        <v>113</v>
      </c>
      <c r="D74" s="504"/>
      <c r="E74" s="504"/>
      <c r="F74" s="504"/>
      <c r="G74" s="504"/>
      <c r="H74" s="504"/>
      <c r="I74" s="504"/>
      <c r="J74" s="504"/>
    </row>
    <row r="75" spans="2:10" ht="20.100000000000001" customHeight="1" x14ac:dyDescent="0.15">
      <c r="B75" s="48"/>
      <c r="C75" s="504" t="s">
        <v>11910</v>
      </c>
      <c r="D75" s="504"/>
      <c r="E75" s="504"/>
      <c r="F75" s="504"/>
      <c r="G75" s="504"/>
      <c r="H75" s="504"/>
      <c r="I75" s="504"/>
      <c r="J75" s="504"/>
    </row>
    <row r="76" spans="2:10" ht="20.100000000000001" customHeight="1" x14ac:dyDescent="0.15">
      <c r="B76" s="48"/>
      <c r="C76" s="504" t="s">
        <v>11911</v>
      </c>
      <c r="D76" s="504"/>
      <c r="E76" s="504"/>
      <c r="F76" s="504"/>
      <c r="G76" s="504"/>
      <c r="H76" s="504"/>
      <c r="I76" s="504"/>
      <c r="J76" s="504"/>
    </row>
    <row r="77" spans="2:10" ht="30" customHeight="1" x14ac:dyDescent="0.15">
      <c r="B77" s="48"/>
      <c r="C77" s="503" t="s">
        <v>114</v>
      </c>
      <c r="D77" s="503"/>
      <c r="E77" s="503"/>
      <c r="F77" s="503"/>
      <c r="G77" s="503"/>
      <c r="H77" s="503"/>
      <c r="I77" s="503"/>
      <c r="J77" s="503"/>
    </row>
    <row r="78" spans="2:10" ht="52.5" customHeight="1" x14ac:dyDescent="0.15">
      <c r="B78" s="48" t="s">
        <v>75</v>
      </c>
      <c r="C78" s="503" t="s">
        <v>115</v>
      </c>
      <c r="D78" s="504"/>
      <c r="E78" s="504"/>
      <c r="F78" s="504"/>
      <c r="G78" s="504"/>
      <c r="H78" s="504"/>
      <c r="I78" s="504"/>
      <c r="J78" s="504"/>
    </row>
    <row r="79" spans="2:10" ht="79.5" customHeight="1" x14ac:dyDescent="0.15">
      <c r="B79" s="48" t="s">
        <v>76</v>
      </c>
      <c r="C79" s="505" t="s">
        <v>11912</v>
      </c>
      <c r="D79" s="506"/>
      <c r="E79" s="506"/>
      <c r="F79" s="506"/>
      <c r="G79" s="506"/>
      <c r="H79" s="506"/>
      <c r="I79" s="506"/>
      <c r="J79" s="506"/>
    </row>
    <row r="80" spans="2:10" ht="68.25" customHeight="1" x14ac:dyDescent="0.15">
      <c r="B80" s="48" t="s">
        <v>78</v>
      </c>
      <c r="C80" s="503" t="s">
        <v>11913</v>
      </c>
      <c r="D80" s="504"/>
      <c r="E80" s="504"/>
      <c r="F80" s="504"/>
      <c r="G80" s="504"/>
      <c r="H80" s="504"/>
      <c r="I80" s="504"/>
      <c r="J80" s="504"/>
    </row>
    <row r="81" spans="2:10" ht="20.100000000000001" customHeight="1" x14ac:dyDescent="0.15">
      <c r="B81" s="44" t="s">
        <v>80</v>
      </c>
      <c r="C81" s="507" t="s">
        <v>116</v>
      </c>
      <c r="D81" s="507"/>
      <c r="E81" s="507"/>
      <c r="F81" s="507"/>
      <c r="G81" s="507"/>
      <c r="H81" s="507"/>
      <c r="I81" s="507"/>
      <c r="J81" s="507"/>
    </row>
    <row r="82" spans="2:10" ht="20.100000000000001" customHeight="1" x14ac:dyDescent="0.15">
      <c r="B82" s="44" t="s">
        <v>81</v>
      </c>
      <c r="C82" s="44" t="s">
        <v>117</v>
      </c>
    </row>
    <row r="83" spans="2:10" ht="20.100000000000001" customHeight="1" x14ac:dyDescent="0.15">
      <c r="C83" s="44" t="s">
        <v>118</v>
      </c>
    </row>
    <row r="84" spans="2:10" ht="63.75" customHeight="1" x14ac:dyDescent="0.15">
      <c r="B84" s="44" t="s">
        <v>83</v>
      </c>
      <c r="C84" s="502" t="s">
        <v>11922</v>
      </c>
      <c r="D84" s="502"/>
      <c r="E84" s="502"/>
      <c r="F84" s="502"/>
      <c r="G84" s="502"/>
      <c r="H84" s="502"/>
      <c r="I84" s="502"/>
      <c r="J84" s="502"/>
    </row>
    <row r="85" spans="2:10" ht="20.100000000000001" customHeight="1" x14ac:dyDescent="0.15">
      <c r="B85" s="44" t="s">
        <v>11914</v>
      </c>
      <c r="C85" s="503" t="s">
        <v>119</v>
      </c>
      <c r="D85" s="504"/>
      <c r="E85" s="504"/>
      <c r="F85" s="504"/>
      <c r="G85" s="504"/>
      <c r="H85" s="504"/>
      <c r="I85" s="504"/>
      <c r="J85" s="504"/>
    </row>
  </sheetData>
  <mergeCells count="65">
    <mergeCell ref="A1:H1"/>
    <mergeCell ref="I1:J1"/>
    <mergeCell ref="B3:J3"/>
    <mergeCell ref="B5:J5"/>
    <mergeCell ref="B7:J7"/>
    <mergeCell ref="B9:J9"/>
    <mergeCell ref="B13:J13"/>
    <mergeCell ref="B15:J15"/>
    <mergeCell ref="B17:J17"/>
    <mergeCell ref="C19:J19"/>
    <mergeCell ref="C20:J20"/>
    <mergeCell ref="C21:J21"/>
    <mergeCell ref="C22:J22"/>
    <mergeCell ref="C23:J23"/>
    <mergeCell ref="C24:J24"/>
    <mergeCell ref="C26:J26"/>
    <mergeCell ref="C27:J27"/>
    <mergeCell ref="C28:J28"/>
    <mergeCell ref="C29:J29"/>
    <mergeCell ref="C30:J30"/>
    <mergeCell ref="C31:J31"/>
    <mergeCell ref="C32:J32"/>
    <mergeCell ref="C33:J33"/>
    <mergeCell ref="C34:J34"/>
    <mergeCell ref="C35:J35"/>
    <mergeCell ref="D42:J42"/>
    <mergeCell ref="D43:J43"/>
    <mergeCell ref="C44:J44"/>
    <mergeCell ref="C45:D45"/>
    <mergeCell ref="C36:J36"/>
    <mergeCell ref="C37:J37"/>
    <mergeCell ref="C38:J38"/>
    <mergeCell ref="C39:J39"/>
    <mergeCell ref="C40:J40"/>
    <mergeCell ref="C53:J53"/>
    <mergeCell ref="C54:J54"/>
    <mergeCell ref="C55:J55"/>
    <mergeCell ref="C56:J56"/>
    <mergeCell ref="C57:J57"/>
    <mergeCell ref="C58:J58"/>
    <mergeCell ref="C59:J59"/>
    <mergeCell ref="C60:J60"/>
    <mergeCell ref="C61:J61"/>
    <mergeCell ref="C62:J62"/>
    <mergeCell ref="C63:J63"/>
    <mergeCell ref="C64:J64"/>
    <mergeCell ref="C65:J65"/>
    <mergeCell ref="C66:J66"/>
    <mergeCell ref="C67:J67"/>
    <mergeCell ref="C68:J68"/>
    <mergeCell ref="C69:J69"/>
    <mergeCell ref="C70:J70"/>
    <mergeCell ref="C71:J71"/>
    <mergeCell ref="C72:J72"/>
    <mergeCell ref="C84:J84"/>
    <mergeCell ref="C85:J85"/>
    <mergeCell ref="C78:J78"/>
    <mergeCell ref="C79:J79"/>
    <mergeCell ref="C73:J73"/>
    <mergeCell ref="C74:J74"/>
    <mergeCell ref="C75:J75"/>
    <mergeCell ref="C76:J76"/>
    <mergeCell ref="C77:J77"/>
    <mergeCell ref="C80:J80"/>
    <mergeCell ref="C81:J81"/>
  </mergeCells>
  <phoneticPr fontId="77"/>
  <printOptions verticalCentered="1"/>
  <pageMargins left="0.59055118110236227" right="0.31496062992125984" top="0.39370078740157483" bottom="0.39370078740157483" header="0.31496062992125984" footer="0.31496062992125984"/>
  <pageSetup paperSize="9" scale="75" fitToHeight="2" orientation="portrait" r:id="rId1"/>
  <rowBreaks count="2" manualBreakCount="2">
    <brk id="41" max="10" man="1"/>
    <brk id="75" max="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7">
    <pageSetUpPr fitToPage="1"/>
  </sheetPr>
  <dimension ref="A1:AJ122"/>
  <sheetViews>
    <sheetView showGridLines="0" showZeros="0" zoomScale="80" workbookViewId="0">
      <selection activeCell="A5" sqref="A5"/>
    </sheetView>
  </sheetViews>
  <sheetFormatPr defaultColWidth="9" defaultRowHeight="13.5" x14ac:dyDescent="0.15"/>
  <cols>
    <col min="1" max="96" width="2.625" style="457" customWidth="1"/>
    <col min="97" max="165" width="3.625" style="457" customWidth="1"/>
    <col min="166" max="16384" width="9" style="457"/>
  </cols>
  <sheetData>
    <row r="1" spans="1:36" s="453" customFormat="1" ht="30" customHeight="1" x14ac:dyDescent="0.15">
      <c r="A1" s="523" t="s">
        <v>120</v>
      </c>
      <c r="B1" s="523"/>
      <c r="C1" s="523"/>
      <c r="D1" s="523"/>
      <c r="E1" s="523"/>
      <c r="F1" s="523"/>
      <c r="G1" s="523"/>
      <c r="H1" s="523"/>
      <c r="I1" s="523"/>
      <c r="J1" s="523"/>
      <c r="K1" s="523"/>
      <c r="L1" s="523"/>
      <c r="M1" s="523"/>
      <c r="N1" s="523"/>
      <c r="O1" s="523"/>
      <c r="P1" s="523"/>
      <c r="Q1" s="523"/>
      <c r="R1" s="523"/>
      <c r="S1" s="523"/>
      <c r="T1" s="523"/>
      <c r="U1" s="523"/>
      <c r="V1" s="523"/>
      <c r="W1" s="523"/>
      <c r="X1" s="523"/>
      <c r="Y1" s="523"/>
      <c r="Z1" s="523"/>
      <c r="AA1" s="523"/>
      <c r="AB1" s="523"/>
      <c r="AC1" s="523"/>
      <c r="AD1" s="523"/>
      <c r="AE1" s="523"/>
      <c r="AF1" s="523"/>
      <c r="AG1" s="523"/>
      <c r="AH1" s="523"/>
    </row>
    <row r="2" spans="1:36" s="453" customFormat="1" x14ac:dyDescent="0.15">
      <c r="A2" s="524" t="str">
        <f>大会要項!B3</f>
        <v>第15回 全日本不動産協会杯争奪U-12サッカー大会【ラビットカップ】大分県大会</v>
      </c>
      <c r="B2" s="524"/>
      <c r="C2" s="524"/>
      <c r="D2" s="524"/>
      <c r="E2" s="524"/>
      <c r="F2" s="524"/>
      <c r="G2" s="524"/>
      <c r="H2" s="524"/>
      <c r="I2" s="524"/>
      <c r="J2" s="524"/>
      <c r="K2" s="524"/>
      <c r="L2" s="524"/>
      <c r="M2" s="524"/>
      <c r="N2" s="524"/>
      <c r="O2" s="524"/>
      <c r="P2" s="524"/>
      <c r="Q2" s="524"/>
      <c r="R2" s="524"/>
      <c r="S2" s="524"/>
      <c r="T2" s="524"/>
      <c r="U2" s="524"/>
      <c r="V2" s="524"/>
      <c r="W2" s="524"/>
      <c r="X2" s="524"/>
      <c r="Y2" s="524"/>
      <c r="Z2" s="524"/>
      <c r="AA2" s="524"/>
      <c r="AB2" s="524"/>
      <c r="AC2" s="524"/>
      <c r="AD2" s="524"/>
      <c r="AE2" s="524"/>
      <c r="AF2" s="524"/>
      <c r="AG2" s="524"/>
      <c r="AH2" s="524"/>
    </row>
    <row r="3" spans="1:36" s="453" customFormat="1" x14ac:dyDescent="0.15">
      <c r="A3" s="524"/>
      <c r="B3" s="524"/>
      <c r="C3" s="524"/>
      <c r="D3" s="524"/>
      <c r="E3" s="524"/>
      <c r="F3" s="524"/>
      <c r="G3" s="524"/>
      <c r="H3" s="524"/>
      <c r="I3" s="524"/>
      <c r="J3" s="524"/>
      <c r="K3" s="524"/>
      <c r="L3" s="524"/>
      <c r="M3" s="524"/>
      <c r="N3" s="524"/>
      <c r="O3" s="524"/>
      <c r="P3" s="524"/>
      <c r="Q3" s="524"/>
      <c r="R3" s="524"/>
      <c r="S3" s="524"/>
      <c r="T3" s="524"/>
      <c r="U3" s="524"/>
      <c r="V3" s="524"/>
      <c r="W3" s="524"/>
      <c r="X3" s="524"/>
      <c r="Y3" s="524"/>
      <c r="Z3" s="524"/>
      <c r="AA3" s="524"/>
      <c r="AB3" s="524"/>
      <c r="AC3" s="524"/>
      <c r="AD3" s="524"/>
      <c r="AE3" s="524"/>
      <c r="AF3" s="524"/>
      <c r="AG3" s="524"/>
      <c r="AH3" s="524"/>
    </row>
    <row r="4" spans="1:36" s="453" customFormat="1" x14ac:dyDescent="0.15">
      <c r="A4" s="524"/>
      <c r="B4" s="524"/>
      <c r="C4" s="524"/>
      <c r="D4" s="524"/>
      <c r="E4" s="524"/>
      <c r="F4" s="524"/>
      <c r="G4" s="524"/>
      <c r="H4" s="524"/>
      <c r="I4" s="524"/>
      <c r="J4" s="524"/>
      <c r="K4" s="524"/>
      <c r="L4" s="524"/>
      <c r="M4" s="524"/>
      <c r="N4" s="524"/>
      <c r="O4" s="524"/>
      <c r="P4" s="524"/>
      <c r="Q4" s="524"/>
      <c r="R4" s="524"/>
      <c r="S4" s="524"/>
      <c r="T4" s="524"/>
      <c r="U4" s="524"/>
      <c r="V4" s="524"/>
      <c r="W4" s="524"/>
      <c r="X4" s="524"/>
      <c r="Y4" s="524"/>
      <c r="Z4" s="524"/>
      <c r="AA4" s="524"/>
      <c r="AB4" s="524"/>
      <c r="AC4" s="524"/>
      <c r="AD4" s="524"/>
      <c r="AE4" s="524"/>
      <c r="AF4" s="524"/>
      <c r="AG4" s="524"/>
      <c r="AH4" s="524"/>
    </row>
    <row r="5" spans="1:36" s="453" customFormat="1" ht="18" customHeight="1" x14ac:dyDescent="0.15">
      <c r="A5" s="454"/>
      <c r="B5" s="454"/>
      <c r="C5" s="454"/>
      <c r="D5" s="454"/>
      <c r="E5" s="454"/>
      <c r="F5" s="454"/>
      <c r="G5" s="454"/>
      <c r="H5" s="454"/>
      <c r="I5" s="454"/>
      <c r="J5" s="454"/>
      <c r="K5" s="454"/>
      <c r="L5" s="454"/>
      <c r="M5" s="454"/>
      <c r="N5" s="454"/>
      <c r="O5" s="454"/>
      <c r="P5" s="454"/>
      <c r="Q5" s="454"/>
      <c r="R5" s="454"/>
      <c r="S5" s="454"/>
      <c r="T5" s="454"/>
      <c r="U5" s="454"/>
      <c r="V5" s="454"/>
      <c r="W5" s="454"/>
      <c r="X5" s="454"/>
      <c r="Y5" s="454"/>
      <c r="Z5" s="454"/>
      <c r="AA5" s="454"/>
      <c r="AB5" s="454"/>
      <c r="AC5" s="454"/>
      <c r="AD5" s="454"/>
      <c r="AE5" s="454"/>
      <c r="AF5" s="454"/>
      <c r="AG5" s="454"/>
      <c r="AH5" s="454"/>
    </row>
    <row r="6" spans="1:36" s="455" customFormat="1" ht="18" customHeight="1" x14ac:dyDescent="0.15">
      <c r="J6" s="525" t="s">
        <v>121</v>
      </c>
      <c r="K6" s="525"/>
      <c r="L6" s="525"/>
      <c r="M6" s="525"/>
      <c r="N6" s="525"/>
      <c r="O6" s="525"/>
      <c r="P6" s="525"/>
      <c r="Q6" s="525"/>
      <c r="R6" s="526"/>
      <c r="S6" s="526"/>
      <c r="T6" s="526"/>
      <c r="Y6" s="456"/>
      <c r="Z6" s="456"/>
      <c r="AA6" s="456"/>
      <c r="AB6" s="456"/>
      <c r="AC6" s="456"/>
      <c r="AD6" s="456"/>
      <c r="AE6" s="456"/>
      <c r="AF6" s="456"/>
      <c r="AG6" s="456"/>
      <c r="AH6" s="456"/>
    </row>
    <row r="7" spans="1:36" s="455" customFormat="1" ht="18" customHeight="1" x14ac:dyDescent="0.15"/>
    <row r="8" spans="1:36" s="455" customFormat="1" ht="18" customHeight="1" x14ac:dyDescent="0.15">
      <c r="B8" s="527" t="s">
        <v>122</v>
      </c>
      <c r="C8" s="527"/>
      <c r="D8" s="527"/>
      <c r="E8" s="527"/>
      <c r="F8" s="527"/>
      <c r="G8" s="527"/>
      <c r="H8" s="527"/>
      <c r="I8" s="527"/>
      <c r="J8" s="527"/>
      <c r="K8" s="444" t="s">
        <v>123</v>
      </c>
      <c r="L8" s="527"/>
      <c r="M8" s="527"/>
      <c r="N8" s="527"/>
      <c r="O8" s="528" t="s">
        <v>124</v>
      </c>
      <c r="P8" s="528"/>
      <c r="Q8" s="527" t="s">
        <v>125</v>
      </c>
      <c r="R8" s="527"/>
      <c r="S8" s="527" t="s">
        <v>126</v>
      </c>
      <c r="T8" s="527"/>
      <c r="U8" s="527"/>
      <c r="V8" s="527"/>
      <c r="W8" s="527"/>
      <c r="X8" s="527"/>
      <c r="Y8" s="527"/>
      <c r="Z8" s="527"/>
      <c r="AA8" s="527"/>
      <c r="AB8" s="444" t="s">
        <v>123</v>
      </c>
      <c r="AC8" s="527"/>
      <c r="AD8" s="527"/>
      <c r="AE8" s="527"/>
      <c r="AF8" s="528" t="s">
        <v>124</v>
      </c>
      <c r="AG8" s="528"/>
    </row>
    <row r="9" spans="1:36" s="455" customFormat="1" ht="9.9499999999999993" customHeight="1" x14ac:dyDescent="0.15"/>
    <row r="10" spans="1:36" s="455" customFormat="1" ht="18" customHeight="1" x14ac:dyDescent="0.15">
      <c r="A10" s="532" t="s">
        <v>11918</v>
      </c>
      <c r="B10" s="532"/>
      <c r="C10" s="532"/>
      <c r="D10" s="532"/>
      <c r="E10" s="532"/>
      <c r="F10" s="532"/>
      <c r="G10" s="532"/>
      <c r="H10" s="532"/>
      <c r="I10" s="532"/>
      <c r="J10" s="532"/>
      <c r="K10" s="533" t="s">
        <v>11916</v>
      </c>
      <c r="L10" s="533"/>
      <c r="M10" s="533"/>
      <c r="N10" s="533"/>
      <c r="O10" s="533"/>
      <c r="P10" s="533"/>
      <c r="Q10" s="533"/>
      <c r="R10" s="533"/>
      <c r="S10" s="533"/>
      <c r="T10" s="533"/>
      <c r="U10" s="533"/>
      <c r="V10" s="533"/>
      <c r="W10" s="533"/>
      <c r="X10" s="533"/>
      <c r="Y10" s="533"/>
      <c r="Z10" s="533"/>
      <c r="AA10" s="533"/>
      <c r="AB10" s="533"/>
      <c r="AC10" s="533"/>
      <c r="AD10" s="533"/>
      <c r="AE10" s="533"/>
      <c r="AF10" s="533"/>
      <c r="AG10" s="533"/>
      <c r="AH10" s="533"/>
      <c r="AI10" s="533"/>
      <c r="AJ10" s="533"/>
    </row>
    <row r="11" spans="1:36" s="455" customFormat="1" ht="18" customHeight="1" x14ac:dyDescent="0.15">
      <c r="A11" s="532"/>
      <c r="B11" s="532"/>
      <c r="C11" s="532"/>
      <c r="D11" s="532"/>
      <c r="E11" s="532"/>
      <c r="F11" s="532"/>
      <c r="G11" s="532"/>
      <c r="H11" s="532"/>
      <c r="I11" s="532"/>
      <c r="J11" s="532"/>
      <c r="K11" s="533" t="s">
        <v>11917</v>
      </c>
      <c r="L11" s="533"/>
      <c r="M11" s="533"/>
      <c r="N11" s="533"/>
      <c r="O11" s="533"/>
      <c r="P11" s="533"/>
      <c r="Q11" s="533"/>
      <c r="R11" s="533"/>
      <c r="S11" s="533"/>
      <c r="T11" s="533"/>
      <c r="U11" s="533"/>
      <c r="V11" s="533"/>
      <c r="W11" s="533"/>
      <c r="X11" s="533"/>
      <c r="Y11" s="533"/>
      <c r="Z11" s="533"/>
      <c r="AA11" s="533"/>
      <c r="AB11" s="533"/>
      <c r="AC11" s="533"/>
      <c r="AD11" s="533"/>
      <c r="AE11" s="533"/>
      <c r="AF11" s="533"/>
      <c r="AG11" s="533"/>
      <c r="AH11" s="533"/>
      <c r="AI11" s="533"/>
      <c r="AJ11" s="533"/>
    </row>
    <row r="12" spans="1:36" s="455" customFormat="1" ht="18" customHeight="1" x14ac:dyDescent="0.15">
      <c r="A12" s="531" t="s">
        <v>11919</v>
      </c>
      <c r="B12" s="531"/>
      <c r="C12" s="531"/>
      <c r="D12" s="531"/>
      <c r="E12" s="531"/>
      <c r="F12" s="531"/>
      <c r="G12" s="531"/>
      <c r="H12" s="531"/>
      <c r="I12" s="531"/>
      <c r="J12" s="531"/>
      <c r="K12" s="534" t="s">
        <v>11916</v>
      </c>
      <c r="L12" s="534"/>
      <c r="M12" s="534"/>
      <c r="N12" s="534"/>
      <c r="O12" s="534"/>
      <c r="P12" s="534"/>
      <c r="Q12" s="534"/>
      <c r="R12" s="534"/>
      <c r="S12" s="534"/>
      <c r="T12" s="534"/>
      <c r="U12" s="534"/>
      <c r="V12" s="534"/>
      <c r="W12" s="534"/>
      <c r="X12" s="534"/>
      <c r="Y12" s="534"/>
      <c r="Z12" s="534"/>
      <c r="AA12" s="534"/>
      <c r="AB12" s="534"/>
      <c r="AC12" s="534"/>
      <c r="AD12" s="534"/>
      <c r="AE12" s="534"/>
      <c r="AF12" s="534"/>
      <c r="AG12" s="534"/>
      <c r="AH12" s="534"/>
      <c r="AI12" s="534"/>
      <c r="AJ12" s="534"/>
    </row>
    <row r="13" spans="1:36" s="455" customFormat="1" ht="18" customHeight="1" x14ac:dyDescent="0.15">
      <c r="E13" s="529" t="str">
        <f>大会要項!B15</f>
        <v>2026年(令和8年) 6月27日(土)・6月28日(日)</v>
      </c>
      <c r="F13" s="526"/>
      <c r="G13" s="526"/>
      <c r="H13" s="526"/>
      <c r="I13" s="526"/>
      <c r="J13" s="526"/>
      <c r="K13" s="526"/>
      <c r="L13" s="526"/>
      <c r="M13" s="526"/>
      <c r="N13" s="526"/>
      <c r="O13" s="526"/>
      <c r="P13" s="526"/>
      <c r="Q13" s="526"/>
      <c r="R13" s="526"/>
      <c r="S13" s="526"/>
      <c r="T13" s="526"/>
      <c r="U13" s="526"/>
      <c r="V13" s="526"/>
      <c r="W13" s="526"/>
      <c r="X13" s="526"/>
      <c r="Y13" s="526"/>
      <c r="Z13" s="526"/>
      <c r="AA13" s="526"/>
      <c r="AB13" s="526"/>
      <c r="AC13" s="526"/>
      <c r="AD13" s="526"/>
    </row>
    <row r="14" spans="1:36" s="455" customFormat="1" ht="18" customHeight="1" x14ac:dyDescent="0.15">
      <c r="A14" s="526" t="s">
        <v>127</v>
      </c>
      <c r="B14" s="526"/>
      <c r="C14" s="526"/>
      <c r="E14" s="530" t="s">
        <v>128</v>
      </c>
      <c r="F14" s="530"/>
      <c r="G14" s="530"/>
      <c r="H14" s="530"/>
      <c r="I14" s="530"/>
      <c r="J14" s="530"/>
      <c r="K14" s="530"/>
      <c r="L14" s="530"/>
      <c r="M14" s="530"/>
      <c r="N14" s="530"/>
      <c r="O14" s="530"/>
      <c r="P14" s="530"/>
      <c r="Q14" s="530"/>
      <c r="R14" s="530"/>
      <c r="S14" s="530"/>
      <c r="T14" s="530"/>
      <c r="U14" s="530"/>
      <c r="V14" s="530"/>
      <c r="W14" s="530"/>
      <c r="X14" s="530"/>
      <c r="Y14" s="530"/>
      <c r="Z14" s="530"/>
      <c r="AA14" s="530"/>
      <c r="AB14" s="530"/>
      <c r="AC14" s="530"/>
      <c r="AD14" s="530"/>
      <c r="AE14" s="530"/>
      <c r="AF14" s="530"/>
      <c r="AG14" s="530"/>
    </row>
    <row r="15" spans="1:36" s="455" customFormat="1" ht="18" customHeight="1" x14ac:dyDescent="0.15">
      <c r="A15" s="526" t="s">
        <v>129</v>
      </c>
      <c r="B15" s="526"/>
      <c r="C15" s="526"/>
      <c r="E15" s="530" t="s">
        <v>130</v>
      </c>
      <c r="F15" s="530"/>
      <c r="G15" s="530"/>
      <c r="H15" s="530"/>
      <c r="I15" s="530"/>
      <c r="J15" s="530"/>
      <c r="K15" s="530"/>
      <c r="L15" s="530"/>
      <c r="M15" s="530"/>
      <c r="N15" s="530"/>
      <c r="O15" s="530"/>
      <c r="P15" s="530"/>
      <c r="Q15" s="530"/>
      <c r="R15" s="530"/>
      <c r="S15" s="530"/>
      <c r="T15" s="530"/>
      <c r="U15" s="530"/>
      <c r="V15" s="530"/>
      <c r="W15" s="530"/>
      <c r="X15" s="530"/>
      <c r="Y15" s="530"/>
      <c r="Z15" s="530"/>
      <c r="AA15" s="530"/>
      <c r="AB15" s="530"/>
      <c r="AC15" s="530"/>
      <c r="AD15" s="530"/>
      <c r="AE15" s="530"/>
      <c r="AF15" s="530"/>
      <c r="AG15" s="530"/>
    </row>
    <row r="16" spans="1:36" ht="9.9499999999999993" customHeight="1" x14ac:dyDescent="0.15"/>
    <row r="17" spans="1:34" ht="16.5" customHeight="1" x14ac:dyDescent="0.15">
      <c r="A17" s="458">
        <v>1</v>
      </c>
      <c r="B17" s="458" t="s">
        <v>131</v>
      </c>
      <c r="C17" s="458"/>
      <c r="D17" s="458"/>
      <c r="E17" s="458"/>
      <c r="M17" s="457" t="s">
        <v>132</v>
      </c>
    </row>
    <row r="18" spans="1:34" ht="16.5" customHeight="1" x14ac:dyDescent="0.15">
      <c r="B18" s="535" t="s">
        <v>133</v>
      </c>
      <c r="C18" s="535"/>
      <c r="D18" s="457" t="s">
        <v>134</v>
      </c>
      <c r="Q18" s="535"/>
      <c r="R18" s="535"/>
      <c r="S18" s="535"/>
      <c r="T18" s="535"/>
      <c r="U18" s="535"/>
      <c r="V18" s="535"/>
      <c r="W18" s="535"/>
      <c r="X18" s="535"/>
      <c r="Y18" s="535" t="s">
        <v>135</v>
      </c>
      <c r="Z18" s="535"/>
    </row>
    <row r="19" spans="1:34" ht="16.5" customHeight="1" x14ac:dyDescent="0.15">
      <c r="B19" s="535" t="s">
        <v>136</v>
      </c>
      <c r="C19" s="535"/>
      <c r="D19" s="457" t="s">
        <v>137</v>
      </c>
      <c r="M19" s="457" t="s">
        <v>138</v>
      </c>
      <c r="Q19" s="535"/>
      <c r="R19" s="535"/>
      <c r="S19" s="535"/>
      <c r="T19" s="535"/>
      <c r="U19" s="535"/>
      <c r="V19" s="535"/>
      <c r="W19" s="535"/>
      <c r="X19" s="535"/>
      <c r="Y19" s="535" t="s">
        <v>135</v>
      </c>
      <c r="Z19" s="535"/>
    </row>
    <row r="20" spans="1:34" ht="16.5" customHeight="1" x14ac:dyDescent="0.15">
      <c r="B20" s="535" t="s">
        <v>139</v>
      </c>
      <c r="C20" s="535"/>
      <c r="D20" s="536" t="s">
        <v>122</v>
      </c>
      <c r="E20" s="536"/>
      <c r="F20" s="536"/>
      <c r="G20" s="536"/>
      <c r="H20" s="536"/>
      <c r="I20" s="536"/>
      <c r="J20" s="536"/>
      <c r="K20" s="536"/>
      <c r="L20" s="536"/>
      <c r="M20" s="457" t="s">
        <v>138</v>
      </c>
      <c r="Q20" s="535"/>
      <c r="R20" s="535"/>
      <c r="S20" s="535"/>
      <c r="T20" s="535"/>
      <c r="U20" s="535"/>
      <c r="V20" s="535"/>
      <c r="W20" s="535"/>
      <c r="X20" s="535"/>
      <c r="Y20" s="535" t="s">
        <v>135</v>
      </c>
      <c r="Z20" s="535"/>
    </row>
    <row r="21" spans="1:34" ht="16.5" customHeight="1" x14ac:dyDescent="0.15">
      <c r="B21" s="535" t="s">
        <v>140</v>
      </c>
      <c r="C21" s="535"/>
      <c r="D21" s="536" t="s">
        <v>126</v>
      </c>
      <c r="E21" s="536"/>
      <c r="F21" s="536"/>
      <c r="G21" s="536"/>
      <c r="H21" s="536"/>
      <c r="I21" s="536"/>
      <c r="J21" s="536"/>
      <c r="K21" s="536"/>
      <c r="L21" s="536"/>
      <c r="M21" s="457" t="s">
        <v>138</v>
      </c>
      <c r="Q21" s="535"/>
      <c r="R21" s="535"/>
      <c r="S21" s="535"/>
      <c r="T21" s="535"/>
      <c r="U21" s="535"/>
      <c r="V21" s="535"/>
      <c r="W21" s="535"/>
      <c r="X21" s="535"/>
      <c r="Y21" s="535" t="s">
        <v>135</v>
      </c>
      <c r="Z21" s="535"/>
    </row>
    <row r="22" spans="1:34" ht="16.5" customHeight="1" x14ac:dyDescent="0.15">
      <c r="B22" s="535" t="s">
        <v>141</v>
      </c>
      <c r="C22" s="535"/>
      <c r="D22" s="457" t="s">
        <v>142</v>
      </c>
      <c r="H22" s="457" t="s">
        <v>143</v>
      </c>
      <c r="Q22" s="535"/>
      <c r="R22" s="535"/>
      <c r="S22" s="535"/>
      <c r="T22" s="535"/>
      <c r="U22" s="535"/>
      <c r="V22" s="535"/>
      <c r="W22" s="535"/>
      <c r="X22" s="535"/>
      <c r="Y22" s="535" t="s">
        <v>135</v>
      </c>
      <c r="Z22" s="535"/>
      <c r="AA22" s="459"/>
      <c r="AB22" s="459"/>
    </row>
    <row r="23" spans="1:34" ht="16.5" customHeight="1" x14ac:dyDescent="0.15">
      <c r="H23" s="457" t="s">
        <v>144</v>
      </c>
      <c r="Q23" s="535"/>
      <c r="R23" s="535"/>
      <c r="S23" s="535"/>
      <c r="T23" s="535"/>
      <c r="U23" s="535"/>
      <c r="V23" s="535"/>
      <c r="W23" s="535"/>
      <c r="X23" s="535"/>
      <c r="Y23" s="535" t="s">
        <v>135</v>
      </c>
      <c r="Z23" s="535"/>
      <c r="AA23" s="459"/>
      <c r="AB23" s="459"/>
    </row>
    <row r="24" spans="1:34" ht="16.5" customHeight="1" x14ac:dyDescent="0.15">
      <c r="H24" s="457" t="s">
        <v>145</v>
      </c>
      <c r="Q24" s="535"/>
      <c r="R24" s="535"/>
      <c r="S24" s="535"/>
      <c r="T24" s="535"/>
      <c r="U24" s="535"/>
      <c r="V24" s="535"/>
      <c r="W24" s="535"/>
      <c r="X24" s="535"/>
      <c r="Y24" s="535" t="s">
        <v>135</v>
      </c>
      <c r="Z24" s="535"/>
    </row>
    <row r="25" spans="1:34" ht="16.5" customHeight="1" x14ac:dyDescent="0.15">
      <c r="H25" s="457" t="s">
        <v>146</v>
      </c>
      <c r="Q25" s="535"/>
      <c r="R25" s="535"/>
      <c r="S25" s="535"/>
      <c r="T25" s="535"/>
      <c r="U25" s="535"/>
      <c r="V25" s="535"/>
      <c r="W25" s="535"/>
      <c r="X25" s="535"/>
      <c r="Y25" s="535" t="s">
        <v>135</v>
      </c>
      <c r="Z25" s="535"/>
    </row>
    <row r="26" spans="1:34" ht="16.5" customHeight="1" x14ac:dyDescent="0.15">
      <c r="B26" s="535" t="s">
        <v>147</v>
      </c>
      <c r="C26" s="535"/>
      <c r="D26" s="457" t="s">
        <v>148</v>
      </c>
      <c r="Q26" s="535"/>
      <c r="R26" s="535"/>
      <c r="S26" s="535"/>
      <c r="T26" s="535"/>
      <c r="U26" s="535"/>
      <c r="V26" s="535"/>
      <c r="W26" s="535"/>
      <c r="X26" s="535"/>
      <c r="Y26" s="535" t="s">
        <v>135</v>
      </c>
      <c r="Z26" s="535"/>
    </row>
    <row r="27" spans="1:34" ht="9.9499999999999993" customHeight="1" x14ac:dyDescent="0.15">
      <c r="B27" s="535"/>
      <c r="C27" s="535"/>
    </row>
    <row r="28" spans="1:34" ht="16.5" customHeight="1" x14ac:dyDescent="0.15">
      <c r="A28" s="458">
        <v>2</v>
      </c>
      <c r="B28" s="458" t="s">
        <v>149</v>
      </c>
      <c r="C28" s="458"/>
      <c r="S28" s="535"/>
      <c r="T28" s="535"/>
      <c r="U28" s="535"/>
      <c r="V28" s="535"/>
      <c r="W28" s="535"/>
      <c r="X28" s="535"/>
      <c r="Y28" s="535"/>
    </row>
    <row r="29" spans="1:34" ht="16.5" customHeight="1" x14ac:dyDescent="0.15">
      <c r="B29" s="537" t="s">
        <v>150</v>
      </c>
      <c r="C29" s="538"/>
      <c r="D29" s="462" t="s">
        <v>151</v>
      </c>
      <c r="E29" s="462"/>
      <c r="F29" s="462"/>
      <c r="G29" s="462"/>
      <c r="L29" s="536" t="s">
        <v>152</v>
      </c>
      <c r="M29" s="536"/>
      <c r="N29" s="536"/>
      <c r="O29" s="536"/>
      <c r="P29" s="536"/>
      <c r="Q29" s="536"/>
      <c r="R29" s="536"/>
      <c r="S29" s="536"/>
      <c r="T29" s="536"/>
      <c r="U29" s="536"/>
      <c r="V29" s="536"/>
      <c r="W29" s="536"/>
      <c r="X29" s="536"/>
      <c r="Y29" s="536"/>
      <c r="Z29" s="536"/>
      <c r="AA29" s="536"/>
      <c r="AB29" s="536"/>
      <c r="AC29" s="536"/>
      <c r="AD29" s="536"/>
      <c r="AE29" s="536"/>
      <c r="AF29" s="536"/>
      <c r="AG29" s="536"/>
      <c r="AH29" s="536"/>
    </row>
    <row r="30" spans="1:34" s="463" customFormat="1" ht="16.5" customHeight="1" x14ac:dyDescent="0.15">
      <c r="C30" s="539" t="str">
        <f t="shared" ref="C30:C31" si="0">+D20</f>
        <v>組み合わせ左側チーム</v>
      </c>
      <c r="D30" s="539"/>
      <c r="E30" s="539"/>
      <c r="F30" s="539"/>
      <c r="G30" s="539"/>
      <c r="H30" s="539"/>
      <c r="I30" s="539"/>
      <c r="J30" s="539"/>
      <c r="K30" s="464"/>
      <c r="L30" s="464"/>
      <c r="M30" s="464"/>
      <c r="N30" s="464"/>
      <c r="O30" s="464"/>
      <c r="P30" s="464"/>
      <c r="Q30" s="464"/>
      <c r="R30" s="464"/>
      <c r="S30" s="464"/>
      <c r="T30" s="464"/>
      <c r="U30" s="464"/>
      <c r="V30" s="464"/>
      <c r="W30" s="464"/>
      <c r="X30" s="464"/>
      <c r="Y30" s="464"/>
      <c r="Z30" s="464"/>
      <c r="AA30" s="464"/>
      <c r="AB30" s="464"/>
      <c r="AC30" s="464"/>
      <c r="AD30" s="464"/>
      <c r="AE30" s="464"/>
      <c r="AF30" s="464"/>
      <c r="AG30" s="464"/>
    </row>
    <row r="31" spans="1:34" s="463" customFormat="1" ht="16.5" customHeight="1" x14ac:dyDescent="0.15">
      <c r="C31" s="539" t="str">
        <f t="shared" si="0"/>
        <v>組み合わせ右側チーム</v>
      </c>
      <c r="D31" s="539"/>
      <c r="E31" s="539"/>
      <c r="F31" s="539"/>
      <c r="G31" s="539"/>
      <c r="H31" s="539"/>
      <c r="I31" s="539"/>
      <c r="J31" s="539"/>
      <c r="K31" s="465"/>
      <c r="L31" s="465"/>
      <c r="M31" s="465"/>
      <c r="N31" s="465"/>
      <c r="O31" s="465"/>
      <c r="P31" s="465"/>
      <c r="Q31" s="464"/>
      <c r="R31" s="465"/>
      <c r="S31" s="465"/>
      <c r="T31" s="465"/>
      <c r="U31" s="465"/>
      <c r="V31" s="465"/>
      <c r="W31" s="465"/>
      <c r="X31" s="465"/>
      <c r="Y31" s="465"/>
      <c r="Z31" s="465"/>
      <c r="AA31" s="465"/>
      <c r="AB31" s="465"/>
      <c r="AC31" s="465"/>
      <c r="AD31" s="465"/>
      <c r="AE31" s="465"/>
      <c r="AF31" s="465"/>
      <c r="AG31" s="465"/>
      <c r="AH31" s="465"/>
    </row>
    <row r="32" spans="1:34" ht="16.5" customHeight="1" x14ac:dyDescent="0.15">
      <c r="B32" s="537" t="s">
        <v>153</v>
      </c>
      <c r="C32" s="538"/>
      <c r="D32" s="462" t="s">
        <v>154</v>
      </c>
      <c r="E32" s="462"/>
      <c r="F32" s="462"/>
    </row>
    <row r="33" spans="2:35" ht="9.9499999999999993" customHeight="1" x14ac:dyDescent="0.15"/>
    <row r="34" spans="2:35" ht="16.5" customHeight="1" x14ac:dyDescent="0.15">
      <c r="B34" s="537" t="s">
        <v>155</v>
      </c>
      <c r="C34" s="538"/>
      <c r="D34" s="462" t="s">
        <v>156</v>
      </c>
      <c r="E34" s="462"/>
      <c r="F34" s="462"/>
      <c r="G34" s="462"/>
    </row>
    <row r="35" spans="2:35" ht="9.9499999999999993" customHeight="1" x14ac:dyDescent="0.15"/>
    <row r="36" spans="2:35" ht="16.5" customHeight="1" x14ac:dyDescent="0.15">
      <c r="B36" s="537" t="s">
        <v>157</v>
      </c>
      <c r="C36" s="538"/>
      <c r="D36" s="462" t="s">
        <v>158</v>
      </c>
      <c r="E36" s="462"/>
    </row>
    <row r="37" spans="2:35" ht="21.95" customHeight="1" x14ac:dyDescent="0.15">
      <c r="B37" s="466" t="s">
        <v>159</v>
      </c>
      <c r="C37" s="540" t="s">
        <v>160</v>
      </c>
      <c r="D37" s="540"/>
      <c r="E37" s="540"/>
      <c r="F37" s="540"/>
      <c r="G37" s="540"/>
      <c r="H37" s="540"/>
      <c r="I37" s="540"/>
      <c r="J37" s="540"/>
      <c r="K37" s="540"/>
      <c r="L37" s="540"/>
      <c r="M37" s="540"/>
      <c r="N37" s="540"/>
      <c r="O37" s="540"/>
      <c r="P37" s="540"/>
      <c r="Q37" s="540"/>
      <c r="R37" s="540"/>
      <c r="S37" s="540"/>
      <c r="T37" s="540"/>
      <c r="U37" s="540"/>
      <c r="V37" s="540"/>
      <c r="W37" s="540"/>
      <c r="X37" s="540"/>
      <c r="Y37" s="540"/>
      <c r="Z37" s="540"/>
      <c r="AA37" s="540"/>
      <c r="AB37" s="540"/>
      <c r="AC37" s="540"/>
      <c r="AD37" s="540"/>
      <c r="AE37" s="540"/>
      <c r="AF37" s="540"/>
      <c r="AG37" s="540"/>
      <c r="AH37" s="540"/>
      <c r="AI37" s="540"/>
    </row>
    <row r="38" spans="2:35" ht="21.95" customHeight="1" x14ac:dyDescent="0.15">
      <c r="B38" s="466"/>
      <c r="C38" s="540"/>
      <c r="D38" s="540"/>
      <c r="E38" s="540"/>
      <c r="F38" s="540"/>
      <c r="G38" s="540"/>
      <c r="H38" s="540"/>
      <c r="I38" s="540"/>
      <c r="J38" s="540"/>
      <c r="K38" s="540"/>
      <c r="L38" s="540"/>
      <c r="M38" s="540"/>
      <c r="N38" s="540"/>
      <c r="O38" s="540"/>
      <c r="P38" s="540"/>
      <c r="Q38" s="540"/>
      <c r="R38" s="540"/>
      <c r="S38" s="540"/>
      <c r="T38" s="540"/>
      <c r="U38" s="540"/>
      <c r="V38" s="540"/>
      <c r="W38" s="540"/>
      <c r="X38" s="540"/>
      <c r="Y38" s="540"/>
      <c r="Z38" s="540"/>
      <c r="AA38" s="540"/>
      <c r="AB38" s="540"/>
      <c r="AC38" s="540"/>
      <c r="AD38" s="540"/>
      <c r="AE38" s="540"/>
      <c r="AF38" s="540"/>
      <c r="AG38" s="540"/>
      <c r="AH38" s="540"/>
      <c r="AI38" s="540"/>
    </row>
    <row r="39" spans="2:35" ht="21.95" customHeight="1" x14ac:dyDescent="0.15">
      <c r="C39" s="540"/>
      <c r="D39" s="540"/>
      <c r="E39" s="540"/>
      <c r="F39" s="540"/>
      <c r="G39" s="540"/>
      <c r="H39" s="540"/>
      <c r="I39" s="540"/>
      <c r="J39" s="540"/>
      <c r="K39" s="540"/>
      <c r="L39" s="540"/>
      <c r="M39" s="540"/>
      <c r="N39" s="540"/>
      <c r="O39" s="540"/>
      <c r="P39" s="540"/>
      <c r="Q39" s="540"/>
      <c r="R39" s="540"/>
      <c r="S39" s="540"/>
      <c r="T39" s="540"/>
      <c r="U39" s="540"/>
      <c r="V39" s="540"/>
      <c r="W39" s="540"/>
      <c r="X39" s="540"/>
      <c r="Y39" s="540"/>
      <c r="Z39" s="540"/>
      <c r="AA39" s="540"/>
      <c r="AB39" s="540"/>
      <c r="AC39" s="540"/>
      <c r="AD39" s="540"/>
      <c r="AE39" s="540"/>
      <c r="AF39" s="540"/>
      <c r="AG39" s="540"/>
      <c r="AH39" s="540"/>
      <c r="AI39" s="540"/>
    </row>
    <row r="40" spans="2:35" ht="21.95" customHeight="1" x14ac:dyDescent="0.15">
      <c r="B40" s="466" t="s">
        <v>159</v>
      </c>
      <c r="C40" s="541" t="s">
        <v>161</v>
      </c>
      <c r="D40" s="541"/>
      <c r="E40" s="541"/>
      <c r="F40" s="541"/>
      <c r="G40" s="541"/>
      <c r="H40" s="541"/>
      <c r="I40" s="541"/>
      <c r="J40" s="541"/>
      <c r="K40" s="541"/>
      <c r="L40" s="541"/>
      <c r="M40" s="541"/>
      <c r="N40" s="541"/>
      <c r="O40" s="541"/>
      <c r="P40" s="541"/>
      <c r="Q40" s="541"/>
      <c r="R40" s="541"/>
      <c r="S40" s="541"/>
      <c r="T40" s="541"/>
      <c r="U40" s="541"/>
      <c r="V40" s="541"/>
      <c r="W40" s="541"/>
      <c r="X40" s="541"/>
      <c r="Y40" s="541"/>
      <c r="Z40" s="541"/>
      <c r="AA40" s="541"/>
      <c r="AB40" s="541"/>
      <c r="AC40" s="541"/>
      <c r="AD40" s="541"/>
      <c r="AE40" s="541"/>
      <c r="AF40" s="541"/>
      <c r="AG40" s="541"/>
      <c r="AH40" s="541"/>
      <c r="AI40" s="541"/>
    </row>
    <row r="41" spans="2:35" ht="21.95" customHeight="1" x14ac:dyDescent="0.15">
      <c r="C41" s="541"/>
      <c r="D41" s="541"/>
      <c r="E41" s="541"/>
      <c r="F41" s="541"/>
      <c r="G41" s="541"/>
      <c r="H41" s="541"/>
      <c r="I41" s="541"/>
      <c r="J41" s="541"/>
      <c r="K41" s="541"/>
      <c r="L41" s="541"/>
      <c r="M41" s="541"/>
      <c r="N41" s="541"/>
      <c r="O41" s="541"/>
      <c r="P41" s="541"/>
      <c r="Q41" s="541"/>
      <c r="R41" s="541"/>
      <c r="S41" s="541"/>
      <c r="T41" s="541"/>
      <c r="U41" s="541"/>
      <c r="V41" s="541"/>
      <c r="W41" s="541"/>
      <c r="X41" s="541"/>
      <c r="Y41" s="541"/>
      <c r="Z41" s="541"/>
      <c r="AA41" s="541"/>
      <c r="AB41" s="541"/>
      <c r="AC41" s="541"/>
      <c r="AD41" s="541"/>
      <c r="AE41" s="541"/>
      <c r="AF41" s="541"/>
      <c r="AG41" s="541"/>
      <c r="AH41" s="541"/>
      <c r="AI41" s="541"/>
    </row>
    <row r="42" spans="2:35" ht="21.95" customHeight="1" x14ac:dyDescent="0.15">
      <c r="C42" s="541"/>
      <c r="D42" s="541"/>
      <c r="E42" s="541"/>
      <c r="F42" s="541"/>
      <c r="G42" s="541"/>
      <c r="H42" s="541"/>
      <c r="I42" s="541"/>
      <c r="J42" s="541"/>
      <c r="K42" s="541"/>
      <c r="L42" s="541"/>
      <c r="M42" s="541"/>
      <c r="N42" s="541"/>
      <c r="O42" s="541"/>
      <c r="P42" s="541"/>
      <c r="Q42" s="541"/>
      <c r="R42" s="541"/>
      <c r="S42" s="541"/>
      <c r="T42" s="541"/>
      <c r="U42" s="541"/>
      <c r="V42" s="541"/>
      <c r="W42" s="541"/>
      <c r="X42" s="541"/>
      <c r="Y42" s="541"/>
      <c r="Z42" s="541"/>
      <c r="AA42" s="541"/>
      <c r="AB42" s="541"/>
      <c r="AC42" s="541"/>
      <c r="AD42" s="541"/>
      <c r="AE42" s="541"/>
      <c r="AF42" s="541"/>
      <c r="AG42" s="541"/>
      <c r="AH42" s="541"/>
      <c r="AI42" s="541"/>
    </row>
    <row r="43" spans="2:35" ht="16.5" customHeight="1" x14ac:dyDescent="0.15">
      <c r="B43" s="457" t="s">
        <v>159</v>
      </c>
      <c r="C43" s="542" t="s">
        <v>162</v>
      </c>
      <c r="D43" s="542"/>
      <c r="E43" s="542"/>
      <c r="F43" s="542"/>
      <c r="G43" s="542"/>
      <c r="H43" s="542"/>
      <c r="I43" s="542"/>
      <c r="J43" s="542"/>
      <c r="K43" s="542"/>
      <c r="L43" s="542"/>
      <c r="M43" s="542"/>
      <c r="N43" s="542"/>
      <c r="O43" s="542"/>
      <c r="P43" s="542"/>
      <c r="Q43" s="542"/>
      <c r="R43" s="542"/>
      <c r="S43" s="542"/>
      <c r="T43" s="542"/>
      <c r="U43" s="542"/>
      <c r="V43" s="542"/>
      <c r="W43" s="542"/>
      <c r="X43" s="542"/>
      <c r="Y43" s="542"/>
      <c r="Z43" s="542"/>
      <c r="AA43" s="542"/>
      <c r="AB43" s="542"/>
      <c r="AC43" s="542"/>
      <c r="AD43" s="542"/>
      <c r="AE43" s="542"/>
      <c r="AF43" s="542"/>
      <c r="AG43" s="542"/>
      <c r="AH43" s="542"/>
      <c r="AI43" s="542"/>
    </row>
    <row r="44" spans="2:35" ht="16.5" customHeight="1" x14ac:dyDescent="0.15">
      <c r="B44" s="457" t="s">
        <v>159</v>
      </c>
      <c r="C44" s="467" t="s">
        <v>163</v>
      </c>
      <c r="E44" s="467"/>
      <c r="F44" s="467"/>
      <c r="G44" s="467"/>
      <c r="H44" s="467"/>
      <c r="I44" s="467"/>
      <c r="J44" s="467"/>
      <c r="K44" s="467"/>
      <c r="L44" s="467"/>
      <c r="M44" s="467"/>
      <c r="N44" s="467"/>
      <c r="O44" s="467" t="s">
        <v>164</v>
      </c>
      <c r="P44" s="467"/>
      <c r="Q44" s="467"/>
      <c r="R44" s="467"/>
      <c r="S44" s="467"/>
      <c r="T44" s="467"/>
      <c r="U44" s="467"/>
      <c r="V44" s="467"/>
      <c r="W44" s="467"/>
      <c r="X44" s="467"/>
      <c r="Y44" s="467"/>
      <c r="Z44" s="467"/>
    </row>
    <row r="45" spans="2:35" ht="16.5" customHeight="1" x14ac:dyDescent="0.15">
      <c r="B45" s="537" t="s">
        <v>165</v>
      </c>
      <c r="C45" s="538"/>
      <c r="D45" s="462" t="s">
        <v>166</v>
      </c>
      <c r="E45" s="462"/>
      <c r="F45" s="462"/>
    </row>
    <row r="46" spans="2:35" ht="23.25" customHeight="1" x14ac:dyDescent="0.15">
      <c r="B46" s="543" t="s">
        <v>167</v>
      </c>
      <c r="C46" s="544"/>
      <c r="D46" s="544"/>
      <c r="E46" s="544"/>
      <c r="F46" s="544"/>
      <c r="G46" s="544"/>
      <c r="H46" s="544"/>
      <c r="I46" s="544"/>
      <c r="J46" s="544"/>
      <c r="K46" s="544"/>
      <c r="L46" s="544"/>
      <c r="M46" s="544"/>
      <c r="N46" s="544"/>
      <c r="O46" s="544"/>
      <c r="P46" s="544"/>
      <c r="Q46" s="544"/>
      <c r="R46" s="544"/>
      <c r="S46" s="544"/>
      <c r="T46" s="544"/>
      <c r="U46" s="544"/>
      <c r="V46" s="544"/>
      <c r="W46" s="544"/>
      <c r="X46" s="544"/>
      <c r="Y46" s="544"/>
      <c r="Z46" s="544"/>
      <c r="AA46" s="544"/>
      <c r="AB46" s="544"/>
      <c r="AC46" s="544"/>
      <c r="AD46" s="544"/>
      <c r="AE46" s="544"/>
      <c r="AF46" s="544"/>
      <c r="AG46" s="544"/>
    </row>
    <row r="47" spans="2:35" ht="23.25" customHeight="1" x14ac:dyDescent="0.15">
      <c r="B47" s="544"/>
      <c r="C47" s="544"/>
      <c r="D47" s="544"/>
      <c r="E47" s="544"/>
      <c r="F47" s="544"/>
      <c r="G47" s="544"/>
      <c r="H47" s="544"/>
      <c r="I47" s="544"/>
      <c r="J47" s="544"/>
      <c r="K47" s="544"/>
      <c r="L47" s="544"/>
      <c r="M47" s="544"/>
      <c r="N47" s="544"/>
      <c r="O47" s="544"/>
      <c r="P47" s="544"/>
      <c r="Q47" s="544"/>
      <c r="R47" s="544"/>
      <c r="S47" s="544"/>
      <c r="T47" s="544"/>
      <c r="U47" s="544"/>
      <c r="V47" s="544"/>
      <c r="W47" s="544"/>
      <c r="X47" s="544"/>
      <c r="Y47" s="544"/>
      <c r="Z47" s="544"/>
      <c r="AA47" s="544"/>
      <c r="AB47" s="544"/>
      <c r="AC47" s="544"/>
      <c r="AD47" s="544"/>
      <c r="AE47" s="544"/>
      <c r="AF47" s="544"/>
      <c r="AG47" s="544"/>
    </row>
    <row r="48" spans="2:35" ht="23.25" customHeight="1" x14ac:dyDescent="0.15">
      <c r="B48" s="544"/>
      <c r="C48" s="544"/>
      <c r="D48" s="544"/>
      <c r="E48" s="544"/>
      <c r="F48" s="544"/>
      <c r="G48" s="544"/>
      <c r="H48" s="544"/>
      <c r="I48" s="544"/>
      <c r="J48" s="544"/>
      <c r="K48" s="544"/>
      <c r="L48" s="544"/>
      <c r="M48" s="544"/>
      <c r="N48" s="544"/>
      <c r="O48" s="544"/>
      <c r="P48" s="544"/>
      <c r="Q48" s="544"/>
      <c r="R48" s="544"/>
      <c r="S48" s="544"/>
      <c r="T48" s="544"/>
      <c r="U48" s="544"/>
      <c r="V48" s="544"/>
      <c r="W48" s="544"/>
      <c r="X48" s="544"/>
      <c r="Y48" s="544"/>
      <c r="Z48" s="544"/>
      <c r="AA48" s="544"/>
      <c r="AB48" s="544"/>
      <c r="AC48" s="544"/>
      <c r="AD48" s="544"/>
      <c r="AE48" s="544"/>
      <c r="AF48" s="544"/>
      <c r="AG48" s="544"/>
    </row>
    <row r="49" spans="2:34" ht="16.5" customHeight="1" x14ac:dyDescent="0.15">
      <c r="B49" s="537" t="s">
        <v>168</v>
      </c>
      <c r="C49" s="538"/>
      <c r="D49" s="462" t="s">
        <v>169</v>
      </c>
      <c r="E49" s="462"/>
      <c r="O49" s="468"/>
      <c r="P49" s="468"/>
      <c r="Q49" s="468"/>
      <c r="R49" s="468"/>
      <c r="S49" s="468"/>
      <c r="T49" s="468"/>
      <c r="U49" s="468"/>
      <c r="V49" s="468"/>
      <c r="W49" s="468"/>
      <c r="X49" s="468"/>
      <c r="Y49" s="468"/>
      <c r="Z49" s="468"/>
      <c r="AA49" s="468"/>
      <c r="AB49" s="468"/>
      <c r="AC49" s="468"/>
      <c r="AD49" s="468"/>
      <c r="AE49" s="468"/>
      <c r="AF49" s="468"/>
      <c r="AG49" s="468"/>
      <c r="AH49" s="468"/>
    </row>
    <row r="50" spans="2:34" ht="18" customHeight="1" x14ac:dyDescent="0.15">
      <c r="B50" s="545" t="s">
        <v>170</v>
      </c>
      <c r="C50" s="545"/>
      <c r="D50" s="545"/>
      <c r="E50" s="545"/>
      <c r="F50" s="545"/>
      <c r="G50" s="545"/>
      <c r="H50" s="545"/>
      <c r="I50" s="545"/>
      <c r="J50" s="545"/>
      <c r="K50" s="545"/>
      <c r="L50" s="545"/>
      <c r="M50" s="545"/>
      <c r="N50" s="545"/>
      <c r="O50" s="545"/>
      <c r="P50" s="545"/>
      <c r="Q50" s="545"/>
      <c r="R50" s="545"/>
      <c r="S50" s="545"/>
      <c r="T50" s="545"/>
      <c r="U50" s="545"/>
      <c r="V50" s="545"/>
      <c r="W50" s="545"/>
      <c r="X50" s="545"/>
      <c r="Y50" s="545"/>
      <c r="Z50" s="545"/>
      <c r="AA50" s="545"/>
      <c r="AB50" s="545"/>
      <c r="AC50" s="545"/>
      <c r="AD50" s="545"/>
      <c r="AE50" s="545"/>
      <c r="AF50" s="545"/>
      <c r="AG50" s="545"/>
    </row>
    <row r="51" spans="2:34" ht="18" customHeight="1" x14ac:dyDescent="0.15">
      <c r="B51" s="545"/>
      <c r="C51" s="545"/>
      <c r="D51" s="545"/>
      <c r="E51" s="545"/>
      <c r="F51" s="545"/>
      <c r="G51" s="545"/>
      <c r="H51" s="545"/>
      <c r="I51" s="545"/>
      <c r="J51" s="545"/>
      <c r="K51" s="545"/>
      <c r="L51" s="545"/>
      <c r="M51" s="545"/>
      <c r="N51" s="545"/>
      <c r="O51" s="545"/>
      <c r="P51" s="545"/>
      <c r="Q51" s="545"/>
      <c r="R51" s="545"/>
      <c r="S51" s="545"/>
      <c r="T51" s="545"/>
      <c r="U51" s="545"/>
      <c r="V51" s="545"/>
      <c r="W51" s="545"/>
      <c r="X51" s="545"/>
      <c r="Y51" s="545"/>
      <c r="Z51" s="545"/>
      <c r="AA51" s="545"/>
      <c r="AB51" s="545"/>
      <c r="AC51" s="545"/>
      <c r="AD51" s="545"/>
      <c r="AE51" s="545"/>
      <c r="AF51" s="545"/>
      <c r="AG51" s="545"/>
    </row>
    <row r="52" spans="2:34" ht="18" customHeight="1" x14ac:dyDescent="0.15">
      <c r="B52" s="545"/>
      <c r="C52" s="545"/>
      <c r="D52" s="545"/>
      <c r="E52" s="545"/>
      <c r="F52" s="545"/>
      <c r="G52" s="545"/>
      <c r="H52" s="545"/>
      <c r="I52" s="545"/>
      <c r="J52" s="545"/>
      <c r="K52" s="545"/>
      <c r="L52" s="545"/>
      <c r="M52" s="545"/>
      <c r="N52" s="545"/>
      <c r="O52" s="545"/>
      <c r="P52" s="545"/>
      <c r="Q52" s="545"/>
      <c r="R52" s="545"/>
      <c r="S52" s="545"/>
      <c r="T52" s="545"/>
      <c r="U52" s="545"/>
      <c r="V52" s="545"/>
      <c r="W52" s="545"/>
      <c r="X52" s="545"/>
      <c r="Y52" s="545"/>
      <c r="Z52" s="545"/>
      <c r="AA52" s="545"/>
      <c r="AB52" s="545"/>
      <c r="AC52" s="545"/>
      <c r="AD52" s="545"/>
      <c r="AE52" s="545"/>
      <c r="AF52" s="545"/>
      <c r="AG52" s="545"/>
    </row>
    <row r="53" spans="2:34" ht="18" customHeight="1" x14ac:dyDescent="0.15">
      <c r="B53" s="545"/>
      <c r="C53" s="545"/>
      <c r="D53" s="545"/>
      <c r="E53" s="545"/>
      <c r="F53" s="545"/>
      <c r="G53" s="545"/>
      <c r="H53" s="545"/>
      <c r="I53" s="545"/>
      <c r="J53" s="545"/>
      <c r="K53" s="545"/>
      <c r="L53" s="545"/>
      <c r="M53" s="545"/>
      <c r="N53" s="545"/>
      <c r="O53" s="545"/>
      <c r="P53" s="545"/>
      <c r="Q53" s="545"/>
      <c r="R53" s="545"/>
      <c r="S53" s="545"/>
      <c r="T53" s="545"/>
      <c r="U53" s="545"/>
      <c r="V53" s="545"/>
      <c r="W53" s="545"/>
      <c r="X53" s="545"/>
      <c r="Y53" s="545"/>
      <c r="Z53" s="545"/>
      <c r="AA53" s="545"/>
      <c r="AB53" s="545"/>
      <c r="AC53" s="545"/>
      <c r="AD53" s="545"/>
      <c r="AE53" s="545"/>
      <c r="AF53" s="545"/>
      <c r="AG53" s="545"/>
    </row>
    <row r="54" spans="2:34" ht="18" customHeight="1" x14ac:dyDescent="0.15">
      <c r="B54" s="545"/>
      <c r="C54" s="545"/>
      <c r="D54" s="545"/>
      <c r="E54" s="545"/>
      <c r="F54" s="545"/>
      <c r="G54" s="545"/>
      <c r="H54" s="545"/>
      <c r="I54" s="545"/>
      <c r="J54" s="545"/>
      <c r="K54" s="545"/>
      <c r="L54" s="545"/>
      <c r="M54" s="545"/>
      <c r="N54" s="545"/>
      <c r="O54" s="545"/>
      <c r="P54" s="545"/>
      <c r="Q54" s="545"/>
      <c r="R54" s="545"/>
      <c r="S54" s="545"/>
      <c r="T54" s="545"/>
      <c r="U54" s="545"/>
      <c r="V54" s="545"/>
      <c r="W54" s="545"/>
      <c r="X54" s="545"/>
      <c r="Y54" s="545"/>
      <c r="Z54" s="545"/>
      <c r="AA54" s="545"/>
      <c r="AB54" s="545"/>
      <c r="AC54" s="545"/>
      <c r="AD54" s="545"/>
      <c r="AE54" s="545"/>
      <c r="AF54" s="545"/>
      <c r="AG54" s="545"/>
    </row>
    <row r="55" spans="2:34" ht="16.5" customHeight="1" x14ac:dyDescent="0.15">
      <c r="B55" s="537" t="s">
        <v>171</v>
      </c>
      <c r="C55" s="538"/>
      <c r="D55" s="462" t="s">
        <v>172</v>
      </c>
      <c r="E55" s="462"/>
    </row>
    <row r="56" spans="2:34" ht="23.25" customHeight="1" x14ac:dyDescent="0.15">
      <c r="C56" s="543" t="s">
        <v>173</v>
      </c>
      <c r="D56" s="543"/>
      <c r="E56" s="543"/>
      <c r="F56" s="543"/>
      <c r="G56" s="543"/>
      <c r="H56" s="543"/>
      <c r="I56" s="543"/>
      <c r="J56" s="543"/>
      <c r="K56" s="543"/>
      <c r="L56" s="543"/>
      <c r="M56" s="543"/>
      <c r="N56" s="543"/>
      <c r="O56" s="543"/>
      <c r="P56" s="543"/>
      <c r="Q56" s="543"/>
      <c r="R56" s="543"/>
      <c r="S56" s="543"/>
      <c r="T56" s="543"/>
      <c r="U56" s="543"/>
      <c r="V56" s="543"/>
      <c r="W56" s="543"/>
      <c r="X56" s="543"/>
      <c r="Y56" s="543"/>
      <c r="Z56" s="543"/>
      <c r="AA56" s="543"/>
      <c r="AB56" s="543"/>
      <c r="AC56" s="543"/>
      <c r="AD56" s="543"/>
      <c r="AE56" s="543"/>
      <c r="AF56" s="543"/>
      <c r="AG56" s="543"/>
      <c r="AH56" s="543"/>
    </row>
    <row r="57" spans="2:34" ht="23.25" customHeight="1" x14ac:dyDescent="0.15">
      <c r="C57" s="543"/>
      <c r="D57" s="543"/>
      <c r="E57" s="543"/>
      <c r="F57" s="543"/>
      <c r="G57" s="543"/>
      <c r="H57" s="543"/>
      <c r="I57" s="543"/>
      <c r="J57" s="543"/>
      <c r="K57" s="543"/>
      <c r="L57" s="543"/>
      <c r="M57" s="543"/>
      <c r="N57" s="543"/>
      <c r="O57" s="543"/>
      <c r="P57" s="543"/>
      <c r="Q57" s="543"/>
      <c r="R57" s="543"/>
      <c r="S57" s="543"/>
      <c r="T57" s="543"/>
      <c r="U57" s="543"/>
      <c r="V57" s="543"/>
      <c r="W57" s="543"/>
      <c r="X57" s="543"/>
      <c r="Y57" s="543"/>
      <c r="Z57" s="543"/>
      <c r="AA57" s="543"/>
      <c r="AB57" s="543"/>
      <c r="AC57" s="543"/>
      <c r="AD57" s="543"/>
      <c r="AE57" s="543"/>
      <c r="AF57" s="543"/>
      <c r="AG57" s="543"/>
      <c r="AH57" s="543"/>
    </row>
    <row r="58" spans="2:34" ht="16.5" customHeight="1" x14ac:dyDescent="0.15">
      <c r="B58" s="537" t="s">
        <v>174</v>
      </c>
      <c r="C58" s="538"/>
      <c r="D58" s="462" t="s">
        <v>175</v>
      </c>
      <c r="E58" s="462"/>
      <c r="F58" s="462"/>
      <c r="G58" s="462"/>
    </row>
    <row r="59" spans="2:34" ht="16.5" customHeight="1" x14ac:dyDescent="0.15">
      <c r="B59" s="457" t="s">
        <v>176</v>
      </c>
    </row>
    <row r="60" spans="2:34" ht="16.5" customHeight="1" x14ac:dyDescent="0.15">
      <c r="B60" s="457" t="s">
        <v>159</v>
      </c>
      <c r="C60" s="457" t="s">
        <v>177</v>
      </c>
      <c r="F60" s="467" t="s">
        <v>178</v>
      </c>
      <c r="G60" s="467"/>
      <c r="H60" s="467"/>
      <c r="I60" s="467"/>
      <c r="J60" s="467"/>
      <c r="K60" s="467"/>
      <c r="L60" s="467"/>
      <c r="M60" s="467"/>
      <c r="N60" s="467"/>
      <c r="O60" s="467"/>
      <c r="P60" s="467"/>
      <c r="Q60" s="467"/>
      <c r="R60" s="467"/>
      <c r="S60" s="467"/>
      <c r="T60" s="467"/>
      <c r="U60" s="467"/>
      <c r="V60" s="467"/>
      <c r="W60" s="467"/>
      <c r="X60" s="467"/>
      <c r="Y60" s="467"/>
      <c r="Z60" s="467"/>
      <c r="AA60" s="467"/>
      <c r="AB60" s="467"/>
      <c r="AC60" s="467"/>
      <c r="AD60" s="467"/>
      <c r="AE60" s="467"/>
      <c r="AF60" s="467"/>
      <c r="AG60" s="467"/>
    </row>
    <row r="61" spans="2:34" ht="16.5" customHeight="1" x14ac:dyDescent="0.15">
      <c r="B61" s="457" t="s">
        <v>159</v>
      </c>
      <c r="C61" s="457" t="s">
        <v>179</v>
      </c>
      <c r="F61" s="546" t="s">
        <v>180</v>
      </c>
      <c r="G61" s="546"/>
      <c r="H61" s="546"/>
      <c r="I61" s="546"/>
      <c r="J61" s="546"/>
      <c r="K61" s="546"/>
      <c r="L61" s="546"/>
      <c r="M61" s="546"/>
      <c r="N61" s="546"/>
      <c r="O61" s="546"/>
      <c r="P61" s="546"/>
      <c r="Q61" s="546"/>
      <c r="R61" s="546"/>
      <c r="S61" s="546"/>
      <c r="T61" s="546"/>
      <c r="U61" s="546"/>
      <c r="V61" s="546"/>
      <c r="W61" s="546"/>
      <c r="X61" s="546"/>
      <c r="Y61" s="546"/>
      <c r="Z61" s="546"/>
      <c r="AA61" s="546"/>
      <c r="AB61" s="546"/>
      <c r="AC61" s="546"/>
      <c r="AD61" s="546"/>
      <c r="AE61" s="546"/>
      <c r="AF61" s="546"/>
      <c r="AG61" s="546"/>
      <c r="AH61" s="469"/>
    </row>
    <row r="62" spans="2:34" ht="16.5" customHeight="1" x14ac:dyDescent="0.15">
      <c r="F62" s="546" t="s">
        <v>181</v>
      </c>
      <c r="G62" s="546"/>
      <c r="H62" s="546"/>
      <c r="I62" s="546"/>
      <c r="J62" s="546"/>
      <c r="K62" s="546"/>
      <c r="L62" s="546"/>
      <c r="M62" s="546"/>
      <c r="N62" s="546"/>
      <c r="O62" s="546"/>
      <c r="P62" s="546"/>
      <c r="Q62" s="546"/>
      <c r="R62" s="546"/>
      <c r="S62" s="546"/>
      <c r="T62" s="546"/>
      <c r="U62" s="546"/>
      <c r="V62" s="546"/>
      <c r="W62" s="546"/>
      <c r="X62" s="546"/>
      <c r="Y62" s="546"/>
      <c r="Z62" s="546"/>
      <c r="AA62" s="546"/>
      <c r="AB62" s="546"/>
      <c r="AC62" s="546"/>
      <c r="AD62" s="546"/>
      <c r="AE62" s="546"/>
      <c r="AF62" s="546"/>
      <c r="AG62" s="546"/>
      <c r="AH62" s="469"/>
    </row>
    <row r="63" spans="2:34" ht="16.5" customHeight="1" x14ac:dyDescent="0.15">
      <c r="B63" s="457" t="s">
        <v>159</v>
      </c>
      <c r="C63" s="457" t="s">
        <v>182</v>
      </c>
      <c r="J63" s="547" t="s">
        <v>183</v>
      </c>
      <c r="K63" s="547"/>
      <c r="L63" s="547"/>
      <c r="M63" s="547"/>
      <c r="N63" s="547"/>
      <c r="O63" s="547"/>
    </row>
    <row r="64" spans="2:34" ht="16.5" customHeight="1" x14ac:dyDescent="0.15">
      <c r="B64" s="457" t="s">
        <v>184</v>
      </c>
    </row>
    <row r="65" spans="2:36" ht="16.5" customHeight="1" x14ac:dyDescent="0.15">
      <c r="B65" s="457" t="s">
        <v>159</v>
      </c>
      <c r="C65" s="457" t="s">
        <v>177</v>
      </c>
      <c r="F65" s="457" t="s">
        <v>185</v>
      </c>
    </row>
    <row r="66" spans="2:36" ht="16.5" customHeight="1" x14ac:dyDescent="0.15">
      <c r="B66" s="457" t="s">
        <v>159</v>
      </c>
      <c r="C66" s="457" t="s">
        <v>182</v>
      </c>
      <c r="J66" s="547" t="s">
        <v>186</v>
      </c>
      <c r="K66" s="547"/>
      <c r="L66" s="547"/>
      <c r="M66" s="547"/>
      <c r="N66" s="547"/>
      <c r="O66" s="547"/>
    </row>
    <row r="67" spans="2:36" ht="16.5" customHeight="1" x14ac:dyDescent="0.15">
      <c r="B67" s="457" t="s">
        <v>159</v>
      </c>
      <c r="C67" s="457" t="s">
        <v>187</v>
      </c>
      <c r="F67" s="542" t="s">
        <v>188</v>
      </c>
      <c r="G67" s="542"/>
      <c r="H67" s="542"/>
      <c r="I67" s="542"/>
      <c r="J67" s="542"/>
      <c r="K67" s="542"/>
      <c r="L67" s="542"/>
      <c r="M67" s="542"/>
      <c r="N67" s="542"/>
      <c r="O67" s="542"/>
      <c r="P67" s="542"/>
      <c r="Q67" s="542"/>
      <c r="R67" s="542"/>
      <c r="S67" s="542"/>
      <c r="T67" s="542"/>
      <c r="U67" s="542"/>
      <c r="V67" s="542"/>
      <c r="W67" s="542"/>
      <c r="X67" s="542"/>
      <c r="Y67" s="542"/>
      <c r="Z67" s="542"/>
      <c r="AA67" s="542"/>
      <c r="AB67" s="542"/>
      <c r="AC67" s="542"/>
      <c r="AD67" s="542"/>
      <c r="AE67" s="542"/>
      <c r="AF67" s="542"/>
      <c r="AG67" s="542"/>
    </row>
    <row r="68" spans="2:36" ht="16.5" customHeight="1" x14ac:dyDescent="0.15">
      <c r="F68" s="542"/>
      <c r="G68" s="542"/>
      <c r="H68" s="542"/>
      <c r="I68" s="542"/>
      <c r="J68" s="542"/>
      <c r="K68" s="542"/>
      <c r="L68" s="542"/>
      <c r="M68" s="542"/>
      <c r="N68" s="542"/>
      <c r="O68" s="542"/>
      <c r="P68" s="542"/>
      <c r="Q68" s="542"/>
      <c r="R68" s="542"/>
      <c r="S68" s="542"/>
      <c r="T68" s="542"/>
      <c r="U68" s="542"/>
      <c r="V68" s="542"/>
      <c r="W68" s="542"/>
      <c r="X68" s="542"/>
      <c r="Y68" s="542"/>
      <c r="Z68" s="542"/>
      <c r="AA68" s="542"/>
      <c r="AB68" s="542"/>
      <c r="AC68" s="542"/>
      <c r="AD68" s="542"/>
      <c r="AE68" s="542"/>
      <c r="AF68" s="542"/>
      <c r="AG68" s="542"/>
    </row>
    <row r="69" spans="2:36" ht="16.5" customHeight="1" x14ac:dyDescent="0.15">
      <c r="B69" s="537" t="s">
        <v>189</v>
      </c>
      <c r="C69" s="538"/>
      <c r="D69" s="462" t="s">
        <v>190</v>
      </c>
      <c r="E69" s="462"/>
    </row>
    <row r="70" spans="2:36" ht="16.5" customHeight="1" x14ac:dyDescent="0.15">
      <c r="C70" s="470" t="s">
        <v>159</v>
      </c>
      <c r="D70" s="541" t="s">
        <v>191</v>
      </c>
      <c r="E70" s="541"/>
      <c r="F70" s="541"/>
      <c r="G70" s="541"/>
      <c r="H70" s="541"/>
      <c r="I70" s="541"/>
      <c r="J70" s="541"/>
      <c r="K70" s="541"/>
      <c r="L70" s="541"/>
      <c r="M70" s="541"/>
      <c r="N70" s="541"/>
      <c r="O70" s="541"/>
      <c r="P70" s="541"/>
      <c r="Q70" s="541"/>
      <c r="R70" s="541"/>
      <c r="S70" s="541"/>
      <c r="T70" s="541"/>
      <c r="U70" s="541"/>
      <c r="V70" s="541"/>
      <c r="W70" s="541"/>
      <c r="X70" s="541"/>
      <c r="Y70" s="541"/>
      <c r="Z70" s="541"/>
      <c r="AA70" s="541"/>
      <c r="AB70" s="541"/>
      <c r="AC70" s="541"/>
      <c r="AD70" s="541"/>
      <c r="AE70" s="541"/>
      <c r="AF70" s="541"/>
      <c r="AG70" s="541"/>
      <c r="AH70" s="541"/>
      <c r="AI70" s="541"/>
      <c r="AJ70" s="541"/>
    </row>
    <row r="71" spans="2:36" ht="16.5" customHeight="1" x14ac:dyDescent="0.15">
      <c r="C71" s="470"/>
      <c r="D71" s="541"/>
      <c r="E71" s="541"/>
      <c r="F71" s="541"/>
      <c r="G71" s="541"/>
      <c r="H71" s="541"/>
      <c r="I71" s="541"/>
      <c r="J71" s="541"/>
      <c r="K71" s="541"/>
      <c r="L71" s="541"/>
      <c r="M71" s="541"/>
      <c r="N71" s="541"/>
      <c r="O71" s="541"/>
      <c r="P71" s="541"/>
      <c r="Q71" s="541"/>
      <c r="R71" s="541"/>
      <c r="S71" s="541"/>
      <c r="T71" s="541"/>
      <c r="U71" s="541"/>
      <c r="V71" s="541"/>
      <c r="W71" s="541"/>
      <c r="X71" s="541"/>
      <c r="Y71" s="541"/>
      <c r="Z71" s="541"/>
      <c r="AA71" s="541"/>
      <c r="AB71" s="541"/>
      <c r="AC71" s="541"/>
      <c r="AD71" s="541"/>
      <c r="AE71" s="541"/>
      <c r="AF71" s="541"/>
      <c r="AG71" s="541"/>
      <c r="AH71" s="541"/>
      <c r="AI71" s="541"/>
      <c r="AJ71" s="541"/>
    </row>
    <row r="72" spans="2:36" ht="16.5" customHeight="1" x14ac:dyDescent="0.15">
      <c r="C72" s="470" t="s">
        <v>159</v>
      </c>
      <c r="D72" s="541" t="s">
        <v>192</v>
      </c>
      <c r="E72" s="541"/>
      <c r="F72" s="541"/>
      <c r="G72" s="541"/>
      <c r="H72" s="541"/>
      <c r="I72" s="541"/>
      <c r="J72" s="541"/>
      <c r="K72" s="541"/>
      <c r="L72" s="541"/>
      <c r="M72" s="541"/>
      <c r="N72" s="541"/>
      <c r="O72" s="541"/>
      <c r="P72" s="541"/>
      <c r="Q72" s="541"/>
      <c r="R72" s="541"/>
      <c r="S72" s="541"/>
      <c r="T72" s="541"/>
      <c r="U72" s="541"/>
      <c r="V72" s="541"/>
      <c r="W72" s="541"/>
      <c r="X72" s="541"/>
      <c r="Y72" s="541"/>
      <c r="Z72" s="541"/>
      <c r="AA72" s="541"/>
      <c r="AB72" s="541"/>
      <c r="AC72" s="541"/>
      <c r="AD72" s="541"/>
      <c r="AE72" s="541"/>
      <c r="AF72" s="541"/>
      <c r="AG72" s="541"/>
      <c r="AH72" s="541"/>
      <c r="AI72" s="541"/>
      <c r="AJ72" s="541"/>
    </row>
    <row r="73" spans="2:36" ht="16.5" customHeight="1" x14ac:dyDescent="0.15">
      <c r="C73" s="470"/>
      <c r="D73" s="541"/>
      <c r="E73" s="541"/>
      <c r="F73" s="541"/>
      <c r="G73" s="541"/>
      <c r="H73" s="541"/>
      <c r="I73" s="541"/>
      <c r="J73" s="541"/>
      <c r="K73" s="541"/>
      <c r="L73" s="541"/>
      <c r="M73" s="541"/>
      <c r="N73" s="541"/>
      <c r="O73" s="541"/>
      <c r="P73" s="541"/>
      <c r="Q73" s="541"/>
      <c r="R73" s="541"/>
      <c r="S73" s="541"/>
      <c r="T73" s="541"/>
      <c r="U73" s="541"/>
      <c r="V73" s="541"/>
      <c r="W73" s="541"/>
      <c r="X73" s="541"/>
      <c r="Y73" s="541"/>
      <c r="Z73" s="541"/>
      <c r="AA73" s="541"/>
      <c r="AB73" s="541"/>
      <c r="AC73" s="541"/>
      <c r="AD73" s="541"/>
      <c r="AE73" s="541"/>
      <c r="AF73" s="541"/>
      <c r="AG73" s="541"/>
      <c r="AH73" s="541"/>
      <c r="AI73" s="541"/>
      <c r="AJ73" s="541"/>
    </row>
    <row r="74" spans="2:36" ht="16.5" customHeight="1" x14ac:dyDescent="0.15">
      <c r="C74" s="471"/>
      <c r="D74" s="541"/>
      <c r="E74" s="541"/>
      <c r="F74" s="541"/>
      <c r="G74" s="541"/>
      <c r="H74" s="541"/>
      <c r="I74" s="541"/>
      <c r="J74" s="541"/>
      <c r="K74" s="541"/>
      <c r="L74" s="541"/>
      <c r="M74" s="541"/>
      <c r="N74" s="541"/>
      <c r="O74" s="541"/>
      <c r="P74" s="541"/>
      <c r="Q74" s="541"/>
      <c r="R74" s="541"/>
      <c r="S74" s="541"/>
      <c r="T74" s="541"/>
      <c r="U74" s="541"/>
      <c r="V74" s="541"/>
      <c r="W74" s="541"/>
      <c r="X74" s="541"/>
      <c r="Y74" s="541"/>
      <c r="Z74" s="541"/>
      <c r="AA74" s="541"/>
      <c r="AB74" s="541"/>
      <c r="AC74" s="541"/>
      <c r="AD74" s="541"/>
      <c r="AE74" s="541"/>
      <c r="AF74" s="541"/>
      <c r="AG74" s="541"/>
      <c r="AH74" s="541"/>
      <c r="AI74" s="541"/>
      <c r="AJ74" s="541"/>
    </row>
    <row r="75" spans="2:36" ht="16.5" customHeight="1" x14ac:dyDescent="0.15">
      <c r="B75" s="537" t="s">
        <v>193</v>
      </c>
      <c r="C75" s="538"/>
      <c r="D75" s="462" t="s">
        <v>194</v>
      </c>
      <c r="E75" s="462"/>
    </row>
    <row r="76" spans="2:36" s="473" customFormat="1" ht="16.5" customHeight="1" x14ac:dyDescent="0.15">
      <c r="B76" s="472" t="s">
        <v>159</v>
      </c>
      <c r="C76" s="548" t="s">
        <v>195</v>
      </c>
      <c r="D76" s="548"/>
      <c r="E76" s="548"/>
      <c r="F76" s="548"/>
      <c r="G76" s="548"/>
      <c r="H76" s="548"/>
      <c r="I76" s="548"/>
      <c r="J76" s="548"/>
      <c r="K76" s="548"/>
      <c r="L76" s="548"/>
      <c r="M76" s="548"/>
      <c r="N76" s="548"/>
      <c r="O76" s="548"/>
      <c r="P76" s="548"/>
      <c r="Q76" s="548"/>
      <c r="R76" s="548"/>
      <c r="S76" s="548"/>
      <c r="T76" s="548"/>
      <c r="U76" s="548"/>
      <c r="V76" s="548"/>
      <c r="W76" s="548"/>
      <c r="X76" s="548"/>
      <c r="Y76" s="548"/>
      <c r="Z76" s="548"/>
      <c r="AA76" s="548"/>
      <c r="AB76" s="548"/>
      <c r="AC76" s="548"/>
      <c r="AD76" s="548"/>
      <c r="AE76" s="548"/>
      <c r="AF76" s="548"/>
      <c r="AG76" s="548"/>
    </row>
    <row r="77" spans="2:36" s="473" customFormat="1" ht="15" customHeight="1" x14ac:dyDescent="0.15">
      <c r="B77" s="470" t="s">
        <v>159</v>
      </c>
      <c r="C77" s="549" t="s">
        <v>196</v>
      </c>
      <c r="D77" s="549"/>
      <c r="E77" s="549"/>
      <c r="F77" s="549"/>
      <c r="G77" s="549"/>
      <c r="H77" s="549"/>
      <c r="I77" s="549"/>
      <c r="J77" s="549"/>
      <c r="K77" s="549"/>
      <c r="L77" s="549"/>
      <c r="M77" s="549"/>
      <c r="N77" s="549"/>
      <c r="O77" s="549"/>
      <c r="P77" s="549"/>
      <c r="Q77" s="549"/>
      <c r="R77" s="549"/>
      <c r="S77" s="549"/>
      <c r="T77" s="549"/>
      <c r="U77" s="549"/>
      <c r="V77" s="549"/>
      <c r="W77" s="549"/>
      <c r="X77" s="549"/>
      <c r="Y77" s="549"/>
      <c r="Z77" s="549"/>
      <c r="AA77" s="549"/>
      <c r="AB77" s="549"/>
      <c r="AC77" s="549"/>
      <c r="AD77" s="549"/>
      <c r="AE77" s="549"/>
      <c r="AF77" s="549"/>
      <c r="AG77" s="549"/>
    </row>
    <row r="78" spans="2:36" s="473" customFormat="1" ht="15" customHeight="1" x14ac:dyDescent="0.15">
      <c r="B78" s="470"/>
      <c r="C78" s="549"/>
      <c r="D78" s="549"/>
      <c r="E78" s="549"/>
      <c r="F78" s="549"/>
      <c r="G78" s="549"/>
      <c r="H78" s="549"/>
      <c r="I78" s="549"/>
      <c r="J78" s="549"/>
      <c r="K78" s="549"/>
      <c r="L78" s="549"/>
      <c r="M78" s="549"/>
      <c r="N78" s="549"/>
      <c r="O78" s="549"/>
      <c r="P78" s="549"/>
      <c r="Q78" s="549"/>
      <c r="R78" s="549"/>
      <c r="S78" s="549"/>
      <c r="T78" s="549"/>
      <c r="U78" s="549"/>
      <c r="V78" s="549"/>
      <c r="W78" s="549"/>
      <c r="X78" s="549"/>
      <c r="Y78" s="549"/>
      <c r="Z78" s="549"/>
      <c r="AA78" s="549"/>
      <c r="AB78" s="549"/>
      <c r="AC78" s="549"/>
      <c r="AD78" s="549"/>
      <c r="AE78" s="549"/>
      <c r="AF78" s="549"/>
      <c r="AG78" s="549"/>
    </row>
    <row r="79" spans="2:36" s="473" customFormat="1" ht="16.5" customHeight="1" x14ac:dyDescent="0.15">
      <c r="B79" s="470" t="s">
        <v>159</v>
      </c>
      <c r="C79" s="548" t="s">
        <v>197</v>
      </c>
      <c r="D79" s="548"/>
      <c r="E79" s="548"/>
      <c r="F79" s="548"/>
      <c r="G79" s="548"/>
      <c r="H79" s="548"/>
      <c r="I79" s="548"/>
      <c r="J79" s="548"/>
      <c r="K79" s="548"/>
      <c r="L79" s="548"/>
      <c r="M79" s="548"/>
      <c r="N79" s="548"/>
      <c r="O79" s="548"/>
      <c r="P79" s="548"/>
      <c r="Q79" s="548"/>
      <c r="R79" s="548"/>
      <c r="S79" s="548"/>
      <c r="T79" s="548"/>
      <c r="U79" s="548"/>
      <c r="V79" s="548"/>
      <c r="W79" s="548"/>
      <c r="X79" s="548"/>
      <c r="Y79" s="548"/>
      <c r="Z79" s="548"/>
      <c r="AA79" s="548"/>
      <c r="AB79" s="548"/>
      <c r="AC79" s="548"/>
      <c r="AD79" s="548"/>
      <c r="AE79" s="548"/>
      <c r="AF79" s="548"/>
      <c r="AG79" s="548"/>
    </row>
    <row r="80" spans="2:36" s="473" customFormat="1" ht="15" customHeight="1" x14ac:dyDescent="0.15">
      <c r="B80" s="470" t="s">
        <v>159</v>
      </c>
      <c r="C80" s="549" t="s">
        <v>198</v>
      </c>
      <c r="D80" s="549"/>
      <c r="E80" s="549"/>
      <c r="F80" s="549"/>
      <c r="G80" s="549"/>
      <c r="H80" s="549"/>
      <c r="I80" s="549"/>
      <c r="J80" s="549"/>
      <c r="K80" s="549"/>
      <c r="L80" s="549"/>
      <c r="M80" s="549"/>
      <c r="N80" s="549"/>
      <c r="O80" s="549"/>
      <c r="P80" s="549"/>
      <c r="Q80" s="549"/>
      <c r="R80" s="549"/>
      <c r="S80" s="549"/>
      <c r="T80" s="549"/>
      <c r="U80" s="549"/>
      <c r="V80" s="549"/>
      <c r="W80" s="549"/>
      <c r="X80" s="549"/>
      <c r="Y80" s="549"/>
      <c r="Z80" s="549"/>
      <c r="AA80" s="549"/>
      <c r="AB80" s="549"/>
      <c r="AC80" s="549"/>
      <c r="AD80" s="549"/>
      <c r="AE80" s="549"/>
      <c r="AF80" s="549"/>
      <c r="AG80" s="549"/>
    </row>
    <row r="81" spans="2:36" s="473" customFormat="1" ht="15" customHeight="1" x14ac:dyDescent="0.15">
      <c r="B81" s="470"/>
      <c r="C81" s="549"/>
      <c r="D81" s="549"/>
      <c r="E81" s="549"/>
      <c r="F81" s="549"/>
      <c r="G81" s="549"/>
      <c r="H81" s="549"/>
      <c r="I81" s="549"/>
      <c r="J81" s="549"/>
      <c r="K81" s="549"/>
      <c r="L81" s="549"/>
      <c r="M81" s="549"/>
      <c r="N81" s="549"/>
      <c r="O81" s="549"/>
      <c r="P81" s="549"/>
      <c r="Q81" s="549"/>
      <c r="R81" s="549"/>
      <c r="S81" s="549"/>
      <c r="T81" s="549"/>
      <c r="U81" s="549"/>
      <c r="V81" s="549"/>
      <c r="W81" s="549"/>
      <c r="X81" s="549"/>
      <c r="Y81" s="549"/>
      <c r="Z81" s="549"/>
      <c r="AA81" s="549"/>
      <c r="AB81" s="549"/>
      <c r="AC81" s="549"/>
      <c r="AD81" s="549"/>
      <c r="AE81" s="549"/>
      <c r="AF81" s="549"/>
      <c r="AG81" s="549"/>
    </row>
    <row r="82" spans="2:36" s="473" customFormat="1" ht="15" customHeight="1" x14ac:dyDescent="0.15">
      <c r="B82" s="470" t="s">
        <v>159</v>
      </c>
      <c r="C82" s="548" t="s">
        <v>199</v>
      </c>
      <c r="D82" s="548"/>
      <c r="E82" s="548"/>
      <c r="F82" s="548"/>
      <c r="G82" s="548"/>
      <c r="H82" s="548"/>
      <c r="I82" s="548"/>
      <c r="J82" s="548"/>
      <c r="K82" s="548"/>
      <c r="L82" s="548"/>
      <c r="M82" s="548"/>
      <c r="N82" s="548"/>
      <c r="O82" s="548"/>
      <c r="P82" s="548"/>
      <c r="Q82" s="548"/>
      <c r="R82" s="548"/>
      <c r="S82" s="548"/>
      <c r="T82" s="548"/>
      <c r="U82" s="548"/>
      <c r="V82" s="548"/>
      <c r="W82" s="548"/>
      <c r="X82" s="548"/>
      <c r="Y82" s="548"/>
      <c r="Z82" s="548"/>
      <c r="AA82" s="548"/>
      <c r="AB82" s="548"/>
      <c r="AC82" s="548"/>
      <c r="AD82" s="548"/>
      <c r="AE82" s="548"/>
      <c r="AF82" s="548"/>
      <c r="AG82" s="548"/>
    </row>
    <row r="83" spans="2:36" s="473" customFormat="1" ht="15" customHeight="1" x14ac:dyDescent="0.15">
      <c r="B83" s="470"/>
      <c r="C83" s="548"/>
      <c r="D83" s="548"/>
      <c r="E83" s="548"/>
      <c r="F83" s="548"/>
      <c r="G83" s="548"/>
      <c r="H83" s="548"/>
      <c r="I83" s="548"/>
      <c r="J83" s="548"/>
      <c r="K83" s="548"/>
      <c r="L83" s="548"/>
      <c r="M83" s="548"/>
      <c r="N83" s="548"/>
      <c r="O83" s="548"/>
      <c r="P83" s="548"/>
      <c r="Q83" s="548"/>
      <c r="R83" s="548"/>
      <c r="S83" s="548"/>
      <c r="T83" s="548"/>
      <c r="U83" s="548"/>
      <c r="V83" s="548"/>
      <c r="W83" s="548"/>
      <c r="X83" s="548"/>
      <c r="Y83" s="548"/>
      <c r="Z83" s="548"/>
      <c r="AA83" s="548"/>
      <c r="AB83" s="548"/>
      <c r="AC83" s="548"/>
      <c r="AD83" s="548"/>
      <c r="AE83" s="548"/>
      <c r="AF83" s="548"/>
      <c r="AG83" s="548"/>
    </row>
    <row r="84" spans="2:36" s="473" customFormat="1" ht="15" customHeight="1" x14ac:dyDescent="0.15">
      <c r="B84" s="470" t="s">
        <v>159</v>
      </c>
      <c r="C84" s="548" t="s">
        <v>200</v>
      </c>
      <c r="D84" s="548"/>
      <c r="E84" s="548"/>
      <c r="F84" s="548"/>
      <c r="G84" s="548"/>
      <c r="H84" s="548"/>
      <c r="I84" s="548"/>
      <c r="J84" s="548"/>
      <c r="K84" s="548"/>
      <c r="L84" s="548"/>
      <c r="M84" s="548"/>
      <c r="N84" s="548"/>
      <c r="O84" s="548"/>
      <c r="P84" s="548"/>
      <c r="Q84" s="548"/>
      <c r="R84" s="548"/>
      <c r="S84" s="548"/>
      <c r="T84" s="548"/>
      <c r="U84" s="548"/>
      <c r="V84" s="548"/>
      <c r="W84" s="548"/>
      <c r="X84" s="548"/>
      <c r="Y84" s="548"/>
      <c r="Z84" s="548"/>
      <c r="AA84" s="548"/>
      <c r="AB84" s="548"/>
      <c r="AC84" s="548"/>
      <c r="AD84" s="548"/>
      <c r="AE84" s="548"/>
      <c r="AF84" s="548"/>
      <c r="AG84" s="548"/>
    </row>
    <row r="85" spans="2:36" s="473" customFormat="1" ht="15" customHeight="1" x14ac:dyDescent="0.15">
      <c r="B85" s="470"/>
      <c r="C85" s="548"/>
      <c r="D85" s="548"/>
      <c r="E85" s="548"/>
      <c r="F85" s="548"/>
      <c r="G85" s="548"/>
      <c r="H85" s="548"/>
      <c r="I85" s="548"/>
      <c r="J85" s="548"/>
      <c r="K85" s="548"/>
      <c r="L85" s="548"/>
      <c r="M85" s="548"/>
      <c r="N85" s="548"/>
      <c r="O85" s="548"/>
      <c r="P85" s="548"/>
      <c r="Q85" s="548"/>
      <c r="R85" s="548"/>
      <c r="S85" s="548"/>
      <c r="T85" s="548"/>
      <c r="U85" s="548"/>
      <c r="V85" s="548"/>
      <c r="W85" s="548"/>
      <c r="X85" s="548"/>
      <c r="Y85" s="548"/>
      <c r="Z85" s="548"/>
      <c r="AA85" s="548"/>
      <c r="AB85" s="548"/>
      <c r="AC85" s="548"/>
      <c r="AD85" s="548"/>
      <c r="AE85" s="548"/>
      <c r="AF85" s="548"/>
      <c r="AG85" s="548"/>
    </row>
    <row r="86" spans="2:36" ht="16.5" customHeight="1" x14ac:dyDescent="0.15">
      <c r="B86" s="537" t="s">
        <v>201</v>
      </c>
      <c r="C86" s="537"/>
      <c r="D86" s="462" t="s">
        <v>202</v>
      </c>
      <c r="E86" s="462"/>
      <c r="F86" s="462"/>
    </row>
    <row r="87" spans="2:36" ht="16.5" customHeight="1" x14ac:dyDescent="0.15">
      <c r="B87" s="457" t="s">
        <v>159</v>
      </c>
      <c r="C87" s="457" t="s">
        <v>203</v>
      </c>
      <c r="K87" s="457" t="s">
        <v>159</v>
      </c>
      <c r="L87" s="457" t="s">
        <v>204</v>
      </c>
    </row>
    <row r="88" spans="2:36" ht="16.5" customHeight="1" x14ac:dyDescent="0.15">
      <c r="B88" s="457" t="s">
        <v>159</v>
      </c>
      <c r="C88" s="457" t="s">
        <v>205</v>
      </c>
      <c r="M88" s="457" t="s">
        <v>159</v>
      </c>
      <c r="N88" s="457" t="s">
        <v>206</v>
      </c>
    </row>
    <row r="89" spans="2:36" ht="16.5" customHeight="1" x14ac:dyDescent="0.15">
      <c r="B89" s="457" t="s">
        <v>159</v>
      </c>
      <c r="C89" s="457" t="s">
        <v>207</v>
      </c>
      <c r="W89" s="474"/>
      <c r="X89" s="474"/>
      <c r="Y89" s="474"/>
      <c r="Z89" s="474"/>
      <c r="AA89" s="474"/>
      <c r="AB89" s="474"/>
      <c r="AC89" s="474"/>
      <c r="AD89" s="474"/>
      <c r="AE89" s="474"/>
      <c r="AF89" s="474"/>
      <c r="AG89" s="474"/>
      <c r="AH89" s="474"/>
      <c r="AI89" s="474"/>
    </row>
    <row r="90" spans="2:36" ht="16.5" customHeight="1" x14ac:dyDescent="0.15">
      <c r="B90" s="537" t="s">
        <v>208</v>
      </c>
      <c r="C90" s="538"/>
      <c r="D90" s="462" t="s">
        <v>209</v>
      </c>
      <c r="E90" s="462"/>
      <c r="G90" s="467" t="s">
        <v>210</v>
      </c>
      <c r="H90" s="550" t="s">
        <v>211</v>
      </c>
      <c r="I90" s="550"/>
      <c r="J90" s="550"/>
      <c r="K90" s="550"/>
      <c r="L90" s="550"/>
      <c r="M90" s="550"/>
      <c r="N90" s="550"/>
      <c r="O90" s="550"/>
      <c r="P90" s="550"/>
      <c r="Q90" s="467" t="s">
        <v>212</v>
      </c>
      <c r="X90" s="474"/>
      <c r="Y90" s="474"/>
      <c r="Z90" s="474"/>
      <c r="AA90" s="474"/>
      <c r="AB90" s="474"/>
      <c r="AC90" s="474"/>
      <c r="AD90" s="474"/>
      <c r="AE90" s="474"/>
      <c r="AF90" s="474"/>
      <c r="AG90" s="474"/>
      <c r="AH90" s="474"/>
      <c r="AI90" s="474"/>
      <c r="AJ90" s="474"/>
    </row>
    <row r="91" spans="2:36" ht="16.5" customHeight="1" x14ac:dyDescent="0.15">
      <c r="B91" s="460"/>
      <c r="C91" s="461"/>
      <c r="D91" s="462"/>
      <c r="E91" s="462"/>
      <c r="G91" s="467" t="s">
        <v>210</v>
      </c>
      <c r="H91" s="550" t="s">
        <v>213</v>
      </c>
      <c r="I91" s="550"/>
      <c r="J91" s="550"/>
      <c r="K91" s="550"/>
      <c r="L91" s="550"/>
      <c r="M91" s="550"/>
      <c r="N91" s="550"/>
      <c r="O91" s="550"/>
      <c r="P91" s="550"/>
      <c r="Q91" s="467" t="s">
        <v>212</v>
      </c>
      <c r="X91" s="474"/>
      <c r="Y91" s="474"/>
      <c r="Z91" s="474"/>
      <c r="AA91" s="474"/>
      <c r="AB91" s="474"/>
      <c r="AC91" s="474"/>
      <c r="AD91" s="474"/>
      <c r="AE91" s="474"/>
      <c r="AF91" s="474"/>
      <c r="AG91" s="474"/>
      <c r="AH91" s="474"/>
      <c r="AI91" s="474"/>
      <c r="AJ91" s="474"/>
    </row>
    <row r="92" spans="2:36" ht="16.5" customHeight="1" x14ac:dyDescent="0.15">
      <c r="B92" s="537" t="s">
        <v>214</v>
      </c>
      <c r="C92" s="538"/>
      <c r="D92" s="462" t="s">
        <v>215</v>
      </c>
      <c r="E92" s="462"/>
      <c r="F92" s="462"/>
      <c r="I92" s="475" t="s">
        <v>216</v>
      </c>
      <c r="J92" s="473"/>
      <c r="K92" s="473"/>
      <c r="L92" s="473"/>
      <c r="M92" s="473"/>
      <c r="N92" s="473"/>
      <c r="O92" s="473"/>
      <c r="P92" s="473"/>
      <c r="Q92" s="473"/>
      <c r="R92" s="473"/>
      <c r="S92" s="473"/>
      <c r="T92" s="473"/>
      <c r="U92" s="473"/>
      <c r="V92" s="473"/>
      <c r="W92" s="473"/>
      <c r="X92" s="473"/>
      <c r="Y92" s="473"/>
      <c r="Z92" s="473"/>
      <c r="AA92" s="473"/>
      <c r="AB92" s="473"/>
      <c r="AC92" s="473"/>
      <c r="AD92" s="473"/>
      <c r="AE92" s="473"/>
    </row>
    <row r="93" spans="2:36" s="476" customFormat="1" ht="13.35" customHeight="1" x14ac:dyDescent="0.15">
      <c r="C93" s="470" t="s">
        <v>159</v>
      </c>
      <c r="D93" s="545" t="s">
        <v>217</v>
      </c>
      <c r="E93" s="545"/>
      <c r="F93" s="545"/>
      <c r="G93" s="545"/>
      <c r="H93" s="545"/>
      <c r="I93" s="545"/>
      <c r="J93" s="545"/>
      <c r="K93" s="545"/>
      <c r="L93" s="545"/>
      <c r="M93" s="545"/>
      <c r="N93" s="545"/>
      <c r="O93" s="545"/>
      <c r="P93" s="545"/>
      <c r="Q93" s="545"/>
      <c r="R93" s="545"/>
      <c r="S93" s="545"/>
      <c r="T93" s="545"/>
      <c r="U93" s="545"/>
      <c r="V93" s="545"/>
      <c r="W93" s="545"/>
      <c r="X93" s="545"/>
      <c r="Y93" s="545"/>
      <c r="Z93" s="545"/>
      <c r="AA93" s="545"/>
      <c r="AB93" s="545"/>
      <c r="AC93" s="545"/>
      <c r="AD93" s="545"/>
      <c r="AE93" s="545"/>
      <c r="AF93" s="545"/>
      <c r="AG93" s="545"/>
      <c r="AH93" s="545"/>
      <c r="AI93" s="545"/>
      <c r="AJ93" s="545"/>
    </row>
    <row r="94" spans="2:36" s="476" customFormat="1" x14ac:dyDescent="0.15">
      <c r="D94" s="545"/>
      <c r="E94" s="545"/>
      <c r="F94" s="545"/>
      <c r="G94" s="545"/>
      <c r="H94" s="545"/>
      <c r="I94" s="545"/>
      <c r="J94" s="545"/>
      <c r="K94" s="545"/>
      <c r="L94" s="545"/>
      <c r="M94" s="545"/>
      <c r="N94" s="545"/>
      <c r="O94" s="545"/>
      <c r="P94" s="545"/>
      <c r="Q94" s="545"/>
      <c r="R94" s="545"/>
      <c r="S94" s="545"/>
      <c r="T94" s="545"/>
      <c r="U94" s="545"/>
      <c r="V94" s="545"/>
      <c r="W94" s="545"/>
      <c r="X94" s="545"/>
      <c r="Y94" s="545"/>
      <c r="Z94" s="545"/>
      <c r="AA94" s="545"/>
      <c r="AB94" s="545"/>
      <c r="AC94" s="545"/>
      <c r="AD94" s="545"/>
      <c r="AE94" s="545"/>
      <c r="AF94" s="545"/>
      <c r="AG94" s="545"/>
      <c r="AH94" s="545"/>
      <c r="AI94" s="545"/>
      <c r="AJ94" s="545"/>
    </row>
    <row r="95" spans="2:36" s="476" customFormat="1" x14ac:dyDescent="0.15">
      <c r="C95" s="470" t="s">
        <v>159</v>
      </c>
      <c r="D95" s="551" t="s">
        <v>218</v>
      </c>
      <c r="E95" s="551"/>
      <c r="F95" s="551"/>
      <c r="G95" s="551"/>
      <c r="H95" s="551"/>
      <c r="I95" s="551"/>
      <c r="J95" s="551"/>
      <c r="K95" s="551"/>
      <c r="L95" s="551"/>
      <c r="M95" s="551"/>
      <c r="N95" s="551"/>
      <c r="O95" s="551"/>
      <c r="P95" s="551"/>
      <c r="Q95" s="551"/>
      <c r="R95" s="551"/>
      <c r="S95" s="551"/>
      <c r="T95" s="551"/>
      <c r="U95" s="551"/>
      <c r="V95" s="551"/>
      <c r="W95" s="551"/>
      <c r="X95" s="551"/>
      <c r="Y95" s="551"/>
      <c r="Z95" s="551"/>
      <c r="AA95" s="551"/>
      <c r="AB95" s="551"/>
      <c r="AC95" s="551"/>
      <c r="AD95" s="551"/>
      <c r="AE95" s="551"/>
      <c r="AF95" s="551"/>
      <c r="AG95" s="551"/>
      <c r="AH95" s="551"/>
      <c r="AI95" s="551"/>
      <c r="AJ95" s="551"/>
    </row>
    <row r="96" spans="2:36" s="476" customFormat="1" x14ac:dyDescent="0.15">
      <c r="C96" s="457"/>
      <c r="D96" s="551"/>
      <c r="E96" s="551"/>
      <c r="F96" s="551"/>
      <c r="G96" s="551"/>
      <c r="H96" s="551"/>
      <c r="I96" s="551"/>
      <c r="J96" s="551"/>
      <c r="K96" s="551"/>
      <c r="L96" s="551"/>
      <c r="M96" s="551"/>
      <c r="N96" s="551"/>
      <c r="O96" s="551"/>
      <c r="P96" s="551"/>
      <c r="Q96" s="551"/>
      <c r="R96" s="551"/>
      <c r="S96" s="551"/>
      <c r="T96" s="551"/>
      <c r="U96" s="551"/>
      <c r="V96" s="551"/>
      <c r="W96" s="551"/>
      <c r="X96" s="551"/>
      <c r="Y96" s="551"/>
      <c r="Z96" s="551"/>
      <c r="AA96" s="551"/>
      <c r="AB96" s="551"/>
      <c r="AC96" s="551"/>
      <c r="AD96" s="551"/>
      <c r="AE96" s="551"/>
      <c r="AF96" s="551"/>
      <c r="AG96" s="551"/>
      <c r="AH96" s="551"/>
      <c r="AI96" s="551"/>
      <c r="AJ96" s="551"/>
    </row>
    <row r="97" spans="1:36" s="476" customFormat="1" x14ac:dyDescent="0.15">
      <c r="C97" s="470" t="s">
        <v>159</v>
      </c>
      <c r="D97" s="552" t="s">
        <v>219</v>
      </c>
      <c r="E97" s="552"/>
      <c r="F97" s="552"/>
      <c r="G97" s="552"/>
      <c r="H97" s="552"/>
      <c r="I97" s="552"/>
      <c r="J97" s="552"/>
      <c r="K97" s="552"/>
      <c r="L97" s="552"/>
      <c r="M97" s="552"/>
      <c r="N97" s="552"/>
      <c r="O97" s="552"/>
      <c r="P97" s="552"/>
      <c r="Q97" s="552"/>
      <c r="R97" s="552"/>
      <c r="S97" s="552"/>
      <c r="T97" s="552"/>
      <c r="U97" s="552"/>
      <c r="V97" s="552"/>
      <c r="W97" s="552"/>
      <c r="X97" s="552"/>
      <c r="Y97" s="552"/>
      <c r="Z97" s="552"/>
      <c r="AA97" s="552"/>
      <c r="AB97" s="552"/>
      <c r="AC97" s="552"/>
      <c r="AD97" s="552"/>
      <c r="AE97" s="552"/>
      <c r="AF97" s="552"/>
      <c r="AG97" s="552"/>
      <c r="AH97" s="552"/>
      <c r="AI97" s="552"/>
      <c r="AJ97" s="552"/>
    </row>
    <row r="98" spans="1:36" s="476" customFormat="1" x14ac:dyDescent="0.15">
      <c r="C98" s="470"/>
      <c r="D98" s="552"/>
      <c r="E98" s="552"/>
      <c r="F98" s="552"/>
      <c r="G98" s="552"/>
      <c r="H98" s="552"/>
      <c r="I98" s="552"/>
      <c r="J98" s="552"/>
      <c r="K98" s="552"/>
      <c r="L98" s="552"/>
      <c r="M98" s="552"/>
      <c r="N98" s="552"/>
      <c r="O98" s="552"/>
      <c r="P98" s="552"/>
      <c r="Q98" s="552"/>
      <c r="R98" s="552"/>
      <c r="S98" s="552"/>
      <c r="T98" s="552"/>
      <c r="U98" s="552"/>
      <c r="V98" s="552"/>
      <c r="W98" s="552"/>
      <c r="X98" s="552"/>
      <c r="Y98" s="552"/>
      <c r="Z98" s="552"/>
      <c r="AA98" s="552"/>
      <c r="AB98" s="552"/>
      <c r="AC98" s="552"/>
      <c r="AD98" s="552"/>
      <c r="AE98" s="552"/>
      <c r="AF98" s="552"/>
      <c r="AG98" s="552"/>
      <c r="AH98" s="552"/>
      <c r="AI98" s="552"/>
      <c r="AJ98" s="552"/>
    </row>
    <row r="99" spans="1:36" s="476" customFormat="1" x14ac:dyDescent="0.15">
      <c r="C99" s="470" t="s">
        <v>159</v>
      </c>
      <c r="D99" s="552" t="s">
        <v>220</v>
      </c>
      <c r="E99" s="552"/>
      <c r="F99" s="552"/>
      <c r="G99" s="552"/>
      <c r="H99" s="552"/>
      <c r="I99" s="552"/>
      <c r="J99" s="552"/>
      <c r="K99" s="552"/>
      <c r="L99" s="552"/>
      <c r="M99" s="552"/>
      <c r="N99" s="552"/>
      <c r="O99" s="552"/>
      <c r="P99" s="552"/>
      <c r="Q99" s="552"/>
      <c r="R99" s="552"/>
      <c r="S99" s="552"/>
      <c r="T99" s="552"/>
      <c r="U99" s="552"/>
      <c r="V99" s="552"/>
      <c r="W99" s="552"/>
      <c r="X99" s="552"/>
      <c r="Y99" s="552"/>
      <c r="Z99" s="552"/>
      <c r="AA99" s="552"/>
      <c r="AB99" s="552"/>
      <c r="AC99" s="552"/>
      <c r="AD99" s="552"/>
      <c r="AE99" s="552"/>
      <c r="AF99" s="552"/>
      <c r="AG99" s="552"/>
      <c r="AH99" s="552"/>
      <c r="AI99" s="552"/>
      <c r="AJ99" s="552"/>
    </row>
    <row r="100" spans="1:36" s="476" customFormat="1" x14ac:dyDescent="0.15">
      <c r="C100" s="470"/>
      <c r="D100" s="552"/>
      <c r="E100" s="552"/>
      <c r="F100" s="552"/>
      <c r="G100" s="552"/>
      <c r="H100" s="552"/>
      <c r="I100" s="552"/>
      <c r="J100" s="552"/>
      <c r="K100" s="552"/>
      <c r="L100" s="552"/>
      <c r="M100" s="552"/>
      <c r="N100" s="552"/>
      <c r="O100" s="552"/>
      <c r="P100" s="552"/>
      <c r="Q100" s="552"/>
      <c r="R100" s="552"/>
      <c r="S100" s="552"/>
      <c r="T100" s="552"/>
      <c r="U100" s="552"/>
      <c r="V100" s="552"/>
      <c r="W100" s="552"/>
      <c r="X100" s="552"/>
      <c r="Y100" s="552"/>
      <c r="Z100" s="552"/>
      <c r="AA100" s="552"/>
      <c r="AB100" s="552"/>
      <c r="AC100" s="552"/>
      <c r="AD100" s="552"/>
      <c r="AE100" s="552"/>
      <c r="AF100" s="552"/>
      <c r="AG100" s="552"/>
      <c r="AH100" s="552"/>
      <c r="AI100" s="552"/>
      <c r="AJ100" s="552"/>
    </row>
    <row r="101" spans="1:36" s="476" customFormat="1" x14ac:dyDescent="0.15">
      <c r="C101" s="470" t="s">
        <v>159</v>
      </c>
      <c r="D101" s="477" t="s">
        <v>221</v>
      </c>
      <c r="E101" s="477"/>
      <c r="F101" s="477"/>
      <c r="G101" s="477"/>
      <c r="H101" s="477"/>
      <c r="I101" s="477"/>
      <c r="J101" s="477"/>
      <c r="K101" s="477"/>
      <c r="L101" s="477"/>
      <c r="M101" s="477"/>
      <c r="N101" s="477"/>
      <c r="O101" s="477"/>
      <c r="P101" s="477"/>
      <c r="Q101" s="477"/>
      <c r="R101" s="477"/>
      <c r="S101" s="477"/>
      <c r="T101" s="477"/>
      <c r="U101" s="477"/>
      <c r="V101" s="477"/>
      <c r="W101" s="477"/>
      <c r="X101" s="477"/>
      <c r="Y101" s="477"/>
      <c r="Z101" s="477"/>
      <c r="AA101" s="477"/>
      <c r="AB101" s="477"/>
      <c r="AC101" s="477"/>
      <c r="AD101" s="477"/>
      <c r="AE101" s="477"/>
      <c r="AF101" s="477"/>
      <c r="AG101" s="477"/>
      <c r="AH101" s="477"/>
      <c r="AI101" s="477"/>
      <c r="AJ101" s="477"/>
    </row>
    <row r="102" spans="1:36" s="476" customFormat="1" x14ac:dyDescent="0.15">
      <c r="C102" s="470" t="s">
        <v>159</v>
      </c>
      <c r="D102" s="477" t="s">
        <v>222</v>
      </c>
      <c r="E102" s="477"/>
      <c r="F102" s="477"/>
      <c r="G102" s="477"/>
      <c r="H102" s="477"/>
      <c r="I102" s="477"/>
      <c r="J102" s="477"/>
      <c r="K102" s="477"/>
      <c r="L102" s="477"/>
      <c r="M102" s="477"/>
      <c r="N102" s="477"/>
      <c r="O102" s="477"/>
      <c r="P102" s="477"/>
      <c r="Q102" s="477"/>
      <c r="R102" s="477"/>
      <c r="S102" s="477"/>
      <c r="T102" s="477"/>
      <c r="U102" s="477"/>
      <c r="V102" s="477"/>
      <c r="W102" s="477"/>
      <c r="X102" s="477"/>
      <c r="Y102" s="477"/>
      <c r="Z102" s="477"/>
      <c r="AA102" s="477"/>
      <c r="AB102" s="477"/>
      <c r="AC102" s="477"/>
      <c r="AD102" s="477"/>
      <c r="AE102" s="477"/>
      <c r="AF102" s="477"/>
      <c r="AG102" s="477"/>
      <c r="AH102" s="477"/>
      <c r="AI102" s="477"/>
      <c r="AJ102" s="477"/>
    </row>
    <row r="103" spans="1:36" x14ac:dyDescent="0.15">
      <c r="C103" s="470" t="s">
        <v>159</v>
      </c>
      <c r="D103" s="477" t="s">
        <v>223</v>
      </c>
      <c r="E103" s="477"/>
      <c r="F103" s="477"/>
      <c r="G103" s="477"/>
      <c r="H103" s="477"/>
      <c r="I103" s="477"/>
      <c r="J103" s="477"/>
      <c r="K103" s="477"/>
      <c r="L103" s="477"/>
      <c r="M103" s="477"/>
      <c r="N103" s="477"/>
      <c r="O103" s="477"/>
      <c r="P103" s="477"/>
      <c r="Q103" s="477"/>
      <c r="R103" s="477"/>
      <c r="S103" s="477"/>
      <c r="T103" s="477"/>
      <c r="U103" s="477"/>
      <c r="V103" s="477"/>
      <c r="W103" s="477"/>
      <c r="X103" s="477"/>
      <c r="Y103" s="477"/>
      <c r="Z103" s="477"/>
      <c r="AA103" s="477"/>
      <c r="AB103" s="477"/>
      <c r="AC103" s="477"/>
      <c r="AD103" s="477"/>
      <c r="AE103" s="477"/>
      <c r="AF103" s="477"/>
      <c r="AG103" s="477"/>
      <c r="AH103" s="477"/>
      <c r="AI103" s="477"/>
      <c r="AJ103" s="477"/>
    </row>
    <row r="104" spans="1:36" x14ac:dyDescent="0.15">
      <c r="C104" s="470" t="s">
        <v>159</v>
      </c>
      <c r="D104" s="477" t="s">
        <v>224</v>
      </c>
      <c r="E104" s="477"/>
      <c r="F104" s="477"/>
      <c r="G104" s="477"/>
      <c r="H104" s="477"/>
      <c r="I104" s="477"/>
      <c r="J104" s="477"/>
      <c r="K104" s="477"/>
      <c r="L104" s="477"/>
      <c r="M104" s="477"/>
      <c r="N104" s="477"/>
      <c r="O104" s="477"/>
      <c r="P104" s="477"/>
      <c r="Q104" s="477"/>
      <c r="R104" s="477"/>
      <c r="S104" s="477"/>
      <c r="T104" s="477"/>
      <c r="U104" s="477"/>
      <c r="V104" s="477"/>
      <c r="W104" s="477"/>
      <c r="X104" s="477"/>
      <c r="Y104" s="477"/>
      <c r="Z104" s="477"/>
      <c r="AA104" s="477"/>
      <c r="AB104" s="477"/>
      <c r="AC104" s="477"/>
      <c r="AD104" s="477"/>
      <c r="AE104" s="477"/>
      <c r="AF104" s="477"/>
      <c r="AG104" s="477"/>
      <c r="AH104" s="477"/>
      <c r="AI104" s="477"/>
      <c r="AJ104" s="477"/>
    </row>
    <row r="105" spans="1:36" ht="16.5" customHeight="1" x14ac:dyDescent="0.15">
      <c r="B105" s="537" t="s">
        <v>225</v>
      </c>
      <c r="C105" s="538"/>
      <c r="D105" s="462" t="s">
        <v>226</v>
      </c>
      <c r="E105" s="462"/>
      <c r="F105" s="462"/>
      <c r="G105" s="462"/>
      <c r="N105" s="457" t="s">
        <v>227</v>
      </c>
    </row>
    <row r="106" spans="1:36" s="478" customFormat="1" ht="18.75" customHeight="1" x14ac:dyDescent="0.15">
      <c r="C106" s="478" t="s">
        <v>159</v>
      </c>
      <c r="D106" s="479" t="s">
        <v>11940</v>
      </c>
      <c r="K106" s="480"/>
      <c r="L106" s="480"/>
      <c r="M106" s="480"/>
      <c r="N106" s="480"/>
      <c r="O106" s="480"/>
      <c r="P106" s="480"/>
      <c r="Q106" s="480"/>
      <c r="R106" s="480"/>
      <c r="S106" s="480"/>
      <c r="T106" s="480"/>
    </row>
    <row r="107" spans="1:36" ht="16.5" customHeight="1" x14ac:dyDescent="0.15"/>
    <row r="108" spans="1:36" ht="16.5" customHeight="1" x14ac:dyDescent="0.15">
      <c r="D108" s="457" t="s">
        <v>228</v>
      </c>
      <c r="E108" s="553" t="str">
        <f>+D20</f>
        <v>組み合わせ左側チーム</v>
      </c>
      <c r="F108" s="553"/>
      <c r="G108" s="553"/>
      <c r="H108" s="553"/>
      <c r="I108" s="553"/>
      <c r="J108" s="553"/>
      <c r="K108" s="553"/>
      <c r="L108" s="553"/>
      <c r="M108" s="553"/>
      <c r="N108" s="457" t="s">
        <v>229</v>
      </c>
      <c r="O108" s="535" t="s">
        <v>230</v>
      </c>
      <c r="P108" s="535"/>
      <c r="Q108" s="535"/>
      <c r="R108" s="535"/>
      <c r="S108" s="535"/>
      <c r="T108" s="535"/>
      <c r="U108" s="457" t="s">
        <v>228</v>
      </c>
      <c r="V108" s="553" t="str">
        <f>+D21</f>
        <v>組み合わせ右側チーム</v>
      </c>
      <c r="W108" s="553"/>
      <c r="X108" s="553"/>
      <c r="Y108" s="553"/>
      <c r="Z108" s="553"/>
      <c r="AA108" s="553"/>
      <c r="AB108" s="553"/>
      <c r="AC108" s="553"/>
      <c r="AD108" s="553"/>
      <c r="AE108" s="457" t="s">
        <v>229</v>
      </c>
    </row>
    <row r="109" spans="1:36" ht="16.5" customHeight="1" x14ac:dyDescent="0.15">
      <c r="O109" s="535" t="s">
        <v>231</v>
      </c>
      <c r="P109" s="535"/>
      <c r="Q109" s="535"/>
      <c r="R109" s="535"/>
      <c r="S109" s="535"/>
      <c r="T109" s="535"/>
    </row>
    <row r="110" spans="1:36" ht="16.5" customHeight="1" x14ac:dyDescent="0.15">
      <c r="A110" s="481">
        <v>3</v>
      </c>
      <c r="B110" s="481" t="s">
        <v>6830</v>
      </c>
    </row>
    <row r="111" spans="1:36" s="483" customFormat="1" ht="16.5" customHeight="1" x14ac:dyDescent="0.15">
      <c r="A111" s="470"/>
      <c r="B111" s="470"/>
      <c r="C111" s="482" t="s">
        <v>11931</v>
      </c>
      <c r="D111" s="470"/>
      <c r="E111" s="470"/>
      <c r="F111" s="470"/>
      <c r="G111" s="470"/>
      <c r="H111" s="470"/>
      <c r="I111" s="470"/>
      <c r="J111" s="470"/>
      <c r="K111" s="470"/>
      <c r="L111" s="470"/>
      <c r="M111" s="470"/>
      <c r="N111" s="470"/>
      <c r="O111" s="470"/>
      <c r="P111" s="470"/>
      <c r="Q111" s="470"/>
      <c r="R111" s="470"/>
      <c r="S111" s="470"/>
      <c r="T111" s="470"/>
      <c r="U111" s="470"/>
      <c r="V111" s="470"/>
      <c r="W111" s="470"/>
      <c r="X111" s="470"/>
      <c r="Y111" s="470"/>
      <c r="Z111" s="470"/>
      <c r="AA111" s="470"/>
      <c r="AB111" s="470"/>
      <c r="AC111" s="470"/>
      <c r="AD111" s="470"/>
      <c r="AE111" s="470"/>
      <c r="AF111" s="470"/>
      <c r="AG111" s="470"/>
      <c r="AH111" s="470"/>
      <c r="AI111" s="470"/>
      <c r="AJ111" s="470"/>
    </row>
    <row r="112" spans="1:36" s="473" customFormat="1" ht="16.5" customHeight="1" x14ac:dyDescent="0.15">
      <c r="A112" s="470"/>
      <c r="B112" s="470"/>
      <c r="C112" s="484" t="s">
        <v>11934</v>
      </c>
      <c r="D112" s="485"/>
      <c r="E112" s="470"/>
      <c r="F112" s="470"/>
      <c r="G112" s="470"/>
      <c r="H112" s="470"/>
      <c r="I112" s="470"/>
      <c r="J112" s="470"/>
      <c r="K112" s="470"/>
      <c r="L112" s="470"/>
      <c r="M112" s="470"/>
      <c r="N112" s="470"/>
      <c r="O112" s="470"/>
      <c r="P112" s="470"/>
      <c r="Q112" s="470"/>
      <c r="R112" s="470"/>
      <c r="S112" s="470"/>
      <c r="T112" s="470"/>
      <c r="U112" s="470"/>
      <c r="V112" s="470"/>
      <c r="W112" s="470"/>
      <c r="X112" s="470"/>
      <c r="Y112" s="470"/>
      <c r="Z112" s="470"/>
      <c r="AA112" s="470"/>
      <c r="AB112" s="470"/>
      <c r="AC112" s="470"/>
      <c r="AD112" s="470"/>
      <c r="AE112" s="470"/>
      <c r="AF112" s="470"/>
      <c r="AG112" s="470"/>
      <c r="AH112" s="470"/>
      <c r="AI112" s="470"/>
      <c r="AJ112" s="470"/>
    </row>
    <row r="113" spans="1:36" s="473" customFormat="1" ht="16.5" customHeight="1" x14ac:dyDescent="0.15">
      <c r="A113" s="470"/>
      <c r="B113" s="470"/>
      <c r="C113" s="484" t="s">
        <v>11935</v>
      </c>
      <c r="D113" s="485"/>
      <c r="E113" s="470"/>
      <c r="F113" s="470"/>
      <c r="G113" s="470"/>
      <c r="H113" s="470"/>
      <c r="I113" s="470"/>
      <c r="J113" s="470"/>
      <c r="K113" s="470"/>
      <c r="L113" s="470"/>
      <c r="M113" s="470"/>
      <c r="N113" s="470"/>
      <c r="O113" s="470"/>
      <c r="P113" s="470"/>
      <c r="Q113" s="470"/>
      <c r="R113" s="470"/>
      <c r="S113" s="470"/>
      <c r="T113" s="470"/>
      <c r="U113" s="470"/>
      <c r="V113" s="470"/>
      <c r="W113" s="470"/>
      <c r="X113" s="470"/>
      <c r="Y113" s="470"/>
      <c r="Z113" s="470"/>
      <c r="AA113" s="470"/>
      <c r="AB113" s="470"/>
      <c r="AC113" s="470"/>
      <c r="AD113" s="470"/>
      <c r="AE113" s="470"/>
      <c r="AF113" s="470"/>
      <c r="AG113" s="470"/>
      <c r="AH113" s="470"/>
      <c r="AI113" s="470"/>
      <c r="AJ113" s="470"/>
    </row>
    <row r="114" spans="1:36" ht="16.5" customHeight="1" x14ac:dyDescent="0.15">
      <c r="A114" s="470"/>
      <c r="B114" s="470"/>
      <c r="C114" s="484" t="s">
        <v>11936</v>
      </c>
      <c r="D114" s="485"/>
      <c r="E114" s="470"/>
      <c r="F114" s="470"/>
      <c r="G114" s="470"/>
      <c r="H114" s="470"/>
      <c r="I114" s="470"/>
      <c r="J114" s="470"/>
      <c r="K114" s="470"/>
      <c r="L114" s="470"/>
      <c r="M114" s="470"/>
      <c r="N114" s="470"/>
      <c r="O114" s="470"/>
      <c r="P114" s="470"/>
      <c r="Q114" s="470"/>
      <c r="R114" s="470"/>
      <c r="S114" s="470"/>
      <c r="T114" s="470"/>
      <c r="U114" s="470"/>
      <c r="V114" s="470"/>
      <c r="W114" s="470"/>
      <c r="X114" s="470"/>
      <c r="Y114" s="470"/>
      <c r="Z114" s="470"/>
      <c r="AA114" s="470"/>
      <c r="AB114" s="470"/>
      <c r="AC114" s="470"/>
      <c r="AD114" s="470"/>
      <c r="AE114" s="470"/>
      <c r="AF114" s="470"/>
      <c r="AG114" s="470"/>
      <c r="AH114" s="470"/>
      <c r="AI114" s="470"/>
      <c r="AJ114" s="470"/>
    </row>
    <row r="115" spans="1:36" ht="16.5" customHeight="1" x14ac:dyDescent="0.15">
      <c r="A115" s="470"/>
      <c r="B115" s="470"/>
      <c r="C115" s="484" t="s">
        <v>11937</v>
      </c>
      <c r="D115" s="485"/>
      <c r="E115" s="470"/>
      <c r="F115" s="470"/>
      <c r="G115" s="470"/>
      <c r="H115" s="470"/>
      <c r="I115" s="470"/>
      <c r="J115" s="470"/>
      <c r="K115" s="470"/>
      <c r="L115" s="470"/>
      <c r="M115" s="470"/>
      <c r="N115" s="470"/>
      <c r="O115" s="470"/>
      <c r="P115" s="470"/>
      <c r="Q115" s="470"/>
      <c r="R115" s="470"/>
      <c r="S115" s="470"/>
      <c r="T115" s="470"/>
      <c r="U115" s="470"/>
      <c r="V115" s="470"/>
      <c r="W115" s="470"/>
      <c r="X115" s="470"/>
      <c r="Y115" s="470"/>
      <c r="Z115" s="470"/>
      <c r="AA115" s="470"/>
      <c r="AB115" s="470"/>
      <c r="AC115" s="470"/>
      <c r="AD115" s="470"/>
      <c r="AE115" s="470"/>
      <c r="AF115" s="470"/>
      <c r="AG115" s="470"/>
      <c r="AH115" s="470"/>
      <c r="AI115" s="470"/>
      <c r="AJ115" s="470"/>
    </row>
    <row r="116" spans="1:36" ht="16.5" customHeight="1" x14ac:dyDescent="0.15">
      <c r="A116" s="470"/>
      <c r="B116" s="470"/>
      <c r="C116" s="484" t="s">
        <v>11938</v>
      </c>
      <c r="D116" s="485"/>
      <c r="E116" s="470"/>
      <c r="F116" s="470"/>
      <c r="G116" s="470"/>
      <c r="H116" s="470"/>
      <c r="I116" s="470"/>
      <c r="J116" s="470"/>
      <c r="K116" s="470"/>
      <c r="L116" s="470"/>
      <c r="M116" s="470"/>
      <c r="N116" s="470"/>
      <c r="O116" s="470"/>
      <c r="P116" s="470"/>
      <c r="Q116" s="470"/>
      <c r="R116" s="470"/>
      <c r="S116" s="470"/>
      <c r="T116" s="470"/>
      <c r="U116" s="470"/>
      <c r="V116" s="470"/>
      <c r="W116" s="470"/>
      <c r="X116" s="470"/>
      <c r="Y116" s="470"/>
      <c r="Z116" s="470"/>
      <c r="AA116" s="470"/>
      <c r="AB116" s="470"/>
      <c r="AC116" s="470"/>
      <c r="AD116" s="470"/>
      <c r="AE116" s="470"/>
      <c r="AF116" s="470"/>
      <c r="AG116" s="470"/>
      <c r="AH116" s="470"/>
      <c r="AI116" s="470"/>
      <c r="AJ116" s="470"/>
    </row>
    <row r="117" spans="1:36" ht="16.5" customHeight="1" x14ac:dyDescent="0.15">
      <c r="A117" s="470"/>
      <c r="B117" s="470"/>
      <c r="C117" s="484" t="s">
        <v>11939</v>
      </c>
      <c r="D117" s="485"/>
      <c r="E117" s="470"/>
      <c r="F117" s="470"/>
      <c r="G117" s="470"/>
      <c r="H117" s="470"/>
      <c r="I117" s="470"/>
      <c r="J117" s="470"/>
      <c r="K117" s="470"/>
      <c r="L117" s="470"/>
      <c r="M117" s="470"/>
      <c r="N117" s="470"/>
      <c r="O117" s="470"/>
      <c r="P117" s="470"/>
      <c r="Q117" s="470"/>
      <c r="R117" s="470"/>
      <c r="S117" s="470"/>
      <c r="T117" s="470"/>
      <c r="U117" s="470"/>
      <c r="V117" s="470"/>
      <c r="W117" s="470"/>
      <c r="X117" s="470"/>
      <c r="Y117" s="470"/>
      <c r="Z117" s="470"/>
      <c r="AA117" s="470"/>
      <c r="AB117" s="470"/>
      <c r="AC117" s="470"/>
      <c r="AD117" s="470"/>
      <c r="AE117" s="470"/>
      <c r="AF117" s="470"/>
      <c r="AG117" s="470"/>
      <c r="AH117" s="470"/>
      <c r="AI117" s="470"/>
      <c r="AJ117" s="470"/>
    </row>
    <row r="118" spans="1:36" ht="16.5" customHeight="1" x14ac:dyDescent="0.15">
      <c r="A118" s="486"/>
      <c r="B118" s="486"/>
      <c r="C118" s="487" t="s">
        <v>11933</v>
      </c>
      <c r="D118" s="488"/>
      <c r="E118" s="488"/>
      <c r="F118" s="488"/>
      <c r="G118" s="488"/>
      <c r="H118" s="488"/>
      <c r="I118" s="488"/>
      <c r="J118" s="488"/>
      <c r="K118" s="488"/>
      <c r="L118" s="488"/>
      <c r="M118" s="488"/>
      <c r="N118" s="488"/>
      <c r="O118" s="488"/>
      <c r="P118" s="488"/>
      <c r="Q118" s="488"/>
      <c r="R118" s="488"/>
      <c r="S118" s="488"/>
      <c r="T118" s="488"/>
      <c r="U118" s="488"/>
      <c r="V118" s="488"/>
      <c r="W118" s="488"/>
      <c r="X118" s="488"/>
      <c r="Y118" s="488"/>
      <c r="Z118" s="488"/>
      <c r="AA118" s="488"/>
      <c r="AB118" s="488"/>
      <c r="AC118" s="488"/>
      <c r="AD118" s="488"/>
      <c r="AE118" s="488"/>
      <c r="AF118" s="488"/>
      <c r="AG118" s="488"/>
      <c r="AH118" s="488"/>
      <c r="AI118" s="486"/>
      <c r="AJ118" s="486"/>
    </row>
    <row r="119" spans="1:36" ht="16.5" customHeight="1" x14ac:dyDescent="0.15">
      <c r="A119" s="486"/>
      <c r="B119" s="486"/>
      <c r="C119" s="488"/>
      <c r="D119" s="488"/>
      <c r="E119" s="488"/>
      <c r="F119" s="488"/>
      <c r="G119" s="488"/>
      <c r="H119" s="488"/>
      <c r="I119" s="488"/>
      <c r="J119" s="488"/>
      <c r="K119" s="488"/>
      <c r="L119" s="488"/>
      <c r="M119" s="488"/>
      <c r="N119" s="488"/>
      <c r="O119" s="488"/>
      <c r="P119" s="488"/>
      <c r="Q119" s="488"/>
      <c r="R119" s="488"/>
      <c r="S119" s="488"/>
      <c r="T119" s="488"/>
      <c r="U119" s="488"/>
      <c r="V119" s="488"/>
      <c r="W119" s="488"/>
      <c r="X119" s="488"/>
      <c r="Y119" s="488"/>
      <c r="Z119" s="488"/>
      <c r="AA119" s="488"/>
      <c r="AB119" s="488"/>
      <c r="AC119" s="488"/>
      <c r="AD119" s="488"/>
      <c r="AE119" s="488"/>
      <c r="AF119" s="488"/>
      <c r="AG119" s="488"/>
      <c r="AH119" s="488"/>
      <c r="AI119" s="486"/>
      <c r="AJ119" s="486"/>
    </row>
    <row r="120" spans="1:36" ht="16.5" customHeight="1" x14ac:dyDescent="0.15">
      <c r="A120" s="486"/>
      <c r="B120" s="486"/>
      <c r="C120" s="457" t="s">
        <v>11932</v>
      </c>
      <c r="D120" s="488"/>
      <c r="E120" s="488"/>
      <c r="F120" s="488"/>
      <c r="G120" s="488"/>
      <c r="H120" s="488"/>
      <c r="I120" s="488"/>
      <c r="J120" s="488"/>
      <c r="K120" s="488"/>
      <c r="L120" s="488"/>
      <c r="M120" s="488"/>
      <c r="N120" s="488"/>
      <c r="O120" s="488"/>
      <c r="P120" s="488"/>
      <c r="Q120" s="488"/>
      <c r="R120" s="488"/>
      <c r="S120" s="488"/>
      <c r="T120" s="488"/>
      <c r="U120" s="488"/>
      <c r="V120" s="488"/>
      <c r="W120" s="488"/>
      <c r="X120" s="488"/>
      <c r="Y120" s="488"/>
      <c r="Z120" s="488"/>
      <c r="AA120" s="488"/>
      <c r="AB120" s="488"/>
      <c r="AC120" s="488"/>
      <c r="AD120" s="488"/>
      <c r="AE120" s="488"/>
      <c r="AF120" s="488"/>
      <c r="AG120" s="488"/>
      <c r="AH120" s="488"/>
      <c r="AI120" s="486"/>
      <c r="AJ120" s="486"/>
    </row>
    <row r="121" spans="1:36" ht="16.5" customHeight="1" x14ac:dyDescent="0.15">
      <c r="A121" s="486"/>
      <c r="B121" s="486"/>
      <c r="C121" s="457" t="s">
        <v>6831</v>
      </c>
      <c r="D121" s="488"/>
      <c r="E121" s="488"/>
      <c r="F121" s="488"/>
      <c r="G121" s="488"/>
      <c r="H121" s="488"/>
      <c r="I121" s="488"/>
      <c r="J121" s="488"/>
      <c r="K121" s="488"/>
      <c r="L121" s="488"/>
      <c r="M121" s="488"/>
      <c r="N121" s="488"/>
      <c r="O121" s="488"/>
      <c r="P121" s="488"/>
      <c r="Q121" s="488"/>
      <c r="R121" s="488"/>
      <c r="S121" s="488"/>
      <c r="T121" s="488"/>
      <c r="U121" s="488"/>
      <c r="V121" s="488"/>
      <c r="W121" s="488"/>
      <c r="X121" s="488"/>
      <c r="Y121" s="488"/>
      <c r="Z121" s="488"/>
      <c r="AA121" s="488"/>
      <c r="AB121" s="488"/>
      <c r="AC121" s="488"/>
      <c r="AD121" s="488"/>
      <c r="AE121" s="488"/>
      <c r="AF121" s="488"/>
      <c r="AG121" s="488"/>
      <c r="AH121" s="488"/>
      <c r="AI121" s="486"/>
      <c r="AJ121" s="486"/>
    </row>
    <row r="122" spans="1:36" x14ac:dyDescent="0.15">
      <c r="A122" s="486"/>
      <c r="B122" s="486"/>
      <c r="C122" s="487"/>
      <c r="D122" s="487"/>
      <c r="E122" s="487"/>
      <c r="F122" s="487"/>
      <c r="G122" s="487"/>
      <c r="H122" s="487"/>
      <c r="I122" s="487"/>
      <c r="J122" s="487"/>
      <c r="K122" s="487"/>
      <c r="L122" s="487"/>
      <c r="M122" s="487"/>
      <c r="N122" s="487"/>
      <c r="O122" s="487"/>
      <c r="P122" s="487"/>
      <c r="Q122" s="487"/>
      <c r="R122" s="487"/>
      <c r="S122" s="487"/>
      <c r="T122" s="487"/>
      <c r="U122" s="487"/>
      <c r="V122" s="487"/>
      <c r="W122" s="487"/>
      <c r="X122" s="487"/>
      <c r="Y122" s="487"/>
      <c r="Z122" s="487"/>
      <c r="AA122" s="487"/>
      <c r="AB122" s="487"/>
      <c r="AC122" s="487"/>
      <c r="AD122" s="487"/>
      <c r="AE122" s="487"/>
      <c r="AF122" s="487"/>
      <c r="AG122" s="487"/>
      <c r="AH122" s="487"/>
      <c r="AI122" s="486"/>
      <c r="AJ122" s="486"/>
    </row>
  </sheetData>
  <mergeCells count="95">
    <mergeCell ref="O109:T109"/>
    <mergeCell ref="D99:AJ100"/>
    <mergeCell ref="B105:C105"/>
    <mergeCell ref="E108:M108"/>
    <mergeCell ref="O108:T108"/>
    <mergeCell ref="V108:AD108"/>
    <mergeCell ref="H91:P91"/>
    <mergeCell ref="B92:C92"/>
    <mergeCell ref="D93:AJ94"/>
    <mergeCell ref="D95:AJ96"/>
    <mergeCell ref="D97:AJ98"/>
    <mergeCell ref="C82:AG83"/>
    <mergeCell ref="C84:AG85"/>
    <mergeCell ref="B86:C86"/>
    <mergeCell ref="B90:C90"/>
    <mergeCell ref="H90:P90"/>
    <mergeCell ref="B75:C75"/>
    <mergeCell ref="C76:AG76"/>
    <mergeCell ref="C77:AG78"/>
    <mergeCell ref="C79:AG79"/>
    <mergeCell ref="C80:AG81"/>
    <mergeCell ref="J66:O66"/>
    <mergeCell ref="F67:AG68"/>
    <mergeCell ref="B69:C69"/>
    <mergeCell ref="D70:AJ71"/>
    <mergeCell ref="D72:AJ74"/>
    <mergeCell ref="C56:AH57"/>
    <mergeCell ref="B58:C58"/>
    <mergeCell ref="F61:AG61"/>
    <mergeCell ref="F62:AG62"/>
    <mergeCell ref="J63:O63"/>
    <mergeCell ref="B45:C45"/>
    <mergeCell ref="B46:AG48"/>
    <mergeCell ref="B49:C49"/>
    <mergeCell ref="B50:AG54"/>
    <mergeCell ref="B55:C55"/>
    <mergeCell ref="B34:C34"/>
    <mergeCell ref="B36:C36"/>
    <mergeCell ref="C37:AI39"/>
    <mergeCell ref="C40:AI42"/>
    <mergeCell ref="C43:AI43"/>
    <mergeCell ref="B29:C29"/>
    <mergeCell ref="L29:AH29"/>
    <mergeCell ref="C30:J30"/>
    <mergeCell ref="C31:J31"/>
    <mergeCell ref="B32:C32"/>
    <mergeCell ref="B26:C26"/>
    <mergeCell ref="Q26:X26"/>
    <mergeCell ref="Y26:Z26"/>
    <mergeCell ref="B27:C27"/>
    <mergeCell ref="S28:Y28"/>
    <mergeCell ref="Q23:X23"/>
    <mergeCell ref="Y23:Z23"/>
    <mergeCell ref="Q24:X24"/>
    <mergeCell ref="Y24:Z24"/>
    <mergeCell ref="Q25:X25"/>
    <mergeCell ref="Y25:Z25"/>
    <mergeCell ref="B21:C21"/>
    <mergeCell ref="D21:L21"/>
    <mergeCell ref="Q21:X21"/>
    <mergeCell ref="Y21:Z21"/>
    <mergeCell ref="B22:C22"/>
    <mergeCell ref="Q22:X22"/>
    <mergeCell ref="Y22:Z22"/>
    <mergeCell ref="B19:C19"/>
    <mergeCell ref="Q19:X19"/>
    <mergeCell ref="Y19:Z19"/>
    <mergeCell ref="B20:C20"/>
    <mergeCell ref="D20:L20"/>
    <mergeCell ref="Q20:X20"/>
    <mergeCell ref="Y20:Z20"/>
    <mergeCell ref="A15:C15"/>
    <mergeCell ref="E15:AG15"/>
    <mergeCell ref="B18:C18"/>
    <mergeCell ref="Q18:X18"/>
    <mergeCell ref="Y18:Z18"/>
    <mergeCell ref="E13:AD13"/>
    <mergeCell ref="A14:C14"/>
    <mergeCell ref="E14:AG14"/>
    <mergeCell ref="A12:J12"/>
    <mergeCell ref="A10:J11"/>
    <mergeCell ref="K10:AJ10"/>
    <mergeCell ref="K11:AJ11"/>
    <mergeCell ref="K12:AJ12"/>
    <mergeCell ref="A1:AH1"/>
    <mergeCell ref="A2:AH4"/>
    <mergeCell ref="J6:Q6"/>
    <mergeCell ref="R6:T6"/>
    <mergeCell ref="B8:J8"/>
    <mergeCell ref="L8:N8"/>
    <mergeCell ref="O8:P8"/>
    <mergeCell ref="Q8:R8"/>
    <mergeCell ref="S8:AA8"/>
    <mergeCell ref="AC8:AE8"/>
    <mergeCell ref="AF8:AG8"/>
  </mergeCells>
  <phoneticPr fontId="77"/>
  <printOptions horizontalCentered="1"/>
  <pageMargins left="0" right="0" top="0.59055118110236227" bottom="0.19685039370078741" header="0.39370078740157483" footer="0.51181102362204722"/>
  <pageSetup paperSize="9" scale="85" fitToHeight="2" orientation="portrait" r:id="rId1"/>
  <headerFooter>
    <oddHeader>&amp;ROITA　FOOTBALL   　ASSOCIATION</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8">
    <pageSetUpPr fitToPage="1"/>
  </sheetPr>
  <dimension ref="A1:AB40"/>
  <sheetViews>
    <sheetView zoomScale="70" zoomScaleNormal="70" workbookViewId="0">
      <pane xSplit="3" ySplit="4" topLeftCell="D5" activePane="bottomRight" state="frozen"/>
      <selection activeCell="D5" sqref="D5"/>
      <selection pane="topRight"/>
      <selection pane="bottomLeft"/>
      <selection pane="bottomRight" activeCell="A2" sqref="A2"/>
    </sheetView>
  </sheetViews>
  <sheetFormatPr defaultRowHeight="15.75" x14ac:dyDescent="0.15"/>
  <cols>
    <col min="1" max="1" width="7.25" style="56" bestFit="1" customWidth="1"/>
    <col min="2" max="2" width="14.5" style="57" bestFit="1" customWidth="1"/>
    <col min="3" max="3" width="27" style="56" bestFit="1" customWidth="1"/>
    <col min="4" max="4" width="6.75" style="57" customWidth="1"/>
    <col min="5" max="5" width="17" style="57" bestFit="1" customWidth="1"/>
    <col min="6" max="6" width="10.625" style="57" bestFit="1" customWidth="1"/>
    <col min="7" max="7" width="17" style="57" bestFit="1" customWidth="1"/>
    <col min="8" max="8" width="6.75" style="57" customWidth="1"/>
    <col min="9" max="9" width="17" style="57" bestFit="1" customWidth="1"/>
    <col min="10" max="10" width="10.625" style="57" bestFit="1" customWidth="1"/>
    <col min="11" max="11" width="17" style="57" bestFit="1" customWidth="1"/>
    <col min="12" max="12" width="6.75" style="57" customWidth="1"/>
    <col min="13" max="13" width="17" style="57" bestFit="1" customWidth="1"/>
    <col min="14" max="14" width="10.625" style="57" bestFit="1" customWidth="1"/>
    <col min="15" max="15" width="17" style="57" bestFit="1" customWidth="1"/>
    <col min="16" max="16" width="6.75" style="57" customWidth="1"/>
    <col min="17" max="17" width="17" style="57" bestFit="1" customWidth="1"/>
    <col min="18" max="18" width="10.625" style="57" bestFit="1" customWidth="1"/>
    <col min="19" max="19" width="17" style="57" bestFit="1" customWidth="1"/>
    <col min="20" max="20" width="6.75" style="57" customWidth="1"/>
    <col min="21" max="21" width="17" style="57" customWidth="1"/>
    <col min="22" max="22" width="10.625" style="57" bestFit="1" customWidth="1"/>
    <col min="23" max="23" width="17" style="57" bestFit="1" customWidth="1"/>
    <col min="24" max="25" width="9" style="56"/>
    <col min="26" max="28" width="9" style="58"/>
    <col min="29" max="256" width="9" style="56"/>
    <col min="257" max="257" width="7.25" style="56" bestFit="1" customWidth="1"/>
    <col min="258" max="258" width="9.25" style="56" bestFit="1" customWidth="1"/>
    <col min="259" max="259" width="27" style="56" bestFit="1" customWidth="1"/>
    <col min="260" max="260" width="11.125" style="56" bestFit="1" customWidth="1"/>
    <col min="261" max="261" width="15.625" style="56" customWidth="1"/>
    <col min="262" max="262" width="14" style="56" bestFit="1" customWidth="1"/>
    <col min="263" max="263" width="9.25" style="56" bestFit="1" customWidth="1"/>
    <col min="264" max="264" width="11.125" style="56" bestFit="1" customWidth="1"/>
    <col min="265" max="265" width="15.625" style="56" customWidth="1"/>
    <col min="266" max="266" width="14" style="56" bestFit="1" customWidth="1"/>
    <col min="267" max="267" width="9.25" style="56" bestFit="1" customWidth="1"/>
    <col min="268" max="268" width="11.125" style="56" bestFit="1" customWidth="1"/>
    <col min="269" max="269" width="15.625" style="56" customWidth="1"/>
    <col min="270" max="270" width="14" style="56" bestFit="1" customWidth="1"/>
    <col min="271" max="271" width="9.25" style="56" bestFit="1" customWidth="1"/>
    <col min="272" max="272" width="11.125" style="56" bestFit="1" customWidth="1"/>
    <col min="273" max="273" width="15.625" style="56" customWidth="1"/>
    <col min="274" max="274" width="14" style="56" bestFit="1" customWidth="1"/>
    <col min="275" max="275" width="9.25" style="56" bestFit="1" customWidth="1"/>
    <col min="276" max="276" width="11.125" style="56" bestFit="1" customWidth="1"/>
    <col min="277" max="277" width="15.625" style="56" customWidth="1"/>
    <col min="278" max="278" width="14" style="56" bestFit="1" customWidth="1"/>
    <col min="279" max="279" width="9.25" style="56" bestFit="1" customWidth="1"/>
    <col min="280" max="512" width="9" style="56"/>
    <col min="513" max="513" width="7.25" style="56" bestFit="1" customWidth="1"/>
    <col min="514" max="514" width="9.25" style="56" bestFit="1" customWidth="1"/>
    <col min="515" max="515" width="27" style="56" bestFit="1" customWidth="1"/>
    <col min="516" max="516" width="11.125" style="56" bestFit="1" customWidth="1"/>
    <col min="517" max="517" width="15.625" style="56" customWidth="1"/>
    <col min="518" max="518" width="14" style="56" bestFit="1" customWidth="1"/>
    <col min="519" max="519" width="9.25" style="56" bestFit="1" customWidth="1"/>
    <col min="520" max="520" width="11.125" style="56" bestFit="1" customWidth="1"/>
    <col min="521" max="521" width="15.625" style="56" customWidth="1"/>
    <col min="522" max="522" width="14" style="56" bestFit="1" customWidth="1"/>
    <col min="523" max="523" width="9.25" style="56" bestFit="1" customWidth="1"/>
    <col min="524" max="524" width="11.125" style="56" bestFit="1" customWidth="1"/>
    <col min="525" max="525" width="15.625" style="56" customWidth="1"/>
    <col min="526" max="526" width="14" style="56" bestFit="1" customWidth="1"/>
    <col min="527" max="527" width="9.25" style="56" bestFit="1" customWidth="1"/>
    <col min="528" max="528" width="11.125" style="56" bestFit="1" customWidth="1"/>
    <col min="529" max="529" width="15.625" style="56" customWidth="1"/>
    <col min="530" max="530" width="14" style="56" bestFit="1" customWidth="1"/>
    <col min="531" max="531" width="9.25" style="56" bestFit="1" customWidth="1"/>
    <col min="532" max="532" width="11.125" style="56" bestFit="1" customWidth="1"/>
    <col min="533" max="533" width="15.625" style="56" customWidth="1"/>
    <col min="534" max="534" width="14" style="56" bestFit="1" customWidth="1"/>
    <col min="535" max="535" width="9.25" style="56" bestFit="1" customWidth="1"/>
    <col min="536" max="768" width="9" style="56"/>
    <col min="769" max="769" width="7.25" style="56" bestFit="1" customWidth="1"/>
    <col min="770" max="770" width="9.25" style="56" bestFit="1" customWidth="1"/>
    <col min="771" max="771" width="27" style="56" bestFit="1" customWidth="1"/>
    <col min="772" max="772" width="11.125" style="56" bestFit="1" customWidth="1"/>
    <col min="773" max="773" width="15.625" style="56" customWidth="1"/>
    <col min="774" max="774" width="14" style="56" bestFit="1" customWidth="1"/>
    <col min="775" max="775" width="9.25" style="56" bestFit="1" customWidth="1"/>
    <col min="776" max="776" width="11.125" style="56" bestFit="1" customWidth="1"/>
    <col min="777" max="777" width="15.625" style="56" customWidth="1"/>
    <col min="778" max="778" width="14" style="56" bestFit="1" customWidth="1"/>
    <col min="779" max="779" width="9.25" style="56" bestFit="1" customWidth="1"/>
    <col min="780" max="780" width="11.125" style="56" bestFit="1" customWidth="1"/>
    <col min="781" max="781" width="15.625" style="56" customWidth="1"/>
    <col min="782" max="782" width="14" style="56" bestFit="1" customWidth="1"/>
    <col min="783" max="783" width="9.25" style="56" bestFit="1" customWidth="1"/>
    <col min="784" max="784" width="11.125" style="56" bestFit="1" customWidth="1"/>
    <col min="785" max="785" width="15.625" style="56" customWidth="1"/>
    <col min="786" max="786" width="14" style="56" bestFit="1" customWidth="1"/>
    <col min="787" max="787" width="9.25" style="56" bestFit="1" customWidth="1"/>
    <col min="788" max="788" width="11.125" style="56" bestFit="1" customWidth="1"/>
    <col min="789" max="789" width="15.625" style="56" customWidth="1"/>
    <col min="790" max="790" width="14" style="56" bestFit="1" customWidth="1"/>
    <col min="791" max="791" width="9.25" style="56" bestFit="1" customWidth="1"/>
    <col min="792" max="1024" width="9" style="56"/>
    <col min="1025" max="1025" width="7.25" style="56" bestFit="1" customWidth="1"/>
    <col min="1026" max="1026" width="9.25" style="56" bestFit="1" customWidth="1"/>
    <col min="1027" max="1027" width="27" style="56" bestFit="1" customWidth="1"/>
    <col min="1028" max="1028" width="11.125" style="56" bestFit="1" customWidth="1"/>
    <col min="1029" max="1029" width="15.625" style="56" customWidth="1"/>
    <col min="1030" max="1030" width="14" style="56" bestFit="1" customWidth="1"/>
    <col min="1031" max="1031" width="9.25" style="56" bestFit="1" customWidth="1"/>
    <col min="1032" max="1032" width="11.125" style="56" bestFit="1" customWidth="1"/>
    <col min="1033" max="1033" width="15.625" style="56" customWidth="1"/>
    <col min="1034" max="1034" width="14" style="56" bestFit="1" customWidth="1"/>
    <col min="1035" max="1035" width="9.25" style="56" bestFit="1" customWidth="1"/>
    <col min="1036" max="1036" width="11.125" style="56" bestFit="1" customWidth="1"/>
    <col min="1037" max="1037" width="15.625" style="56" customWidth="1"/>
    <col min="1038" max="1038" width="14" style="56" bestFit="1" customWidth="1"/>
    <col min="1039" max="1039" width="9.25" style="56" bestFit="1" customWidth="1"/>
    <col min="1040" max="1040" width="11.125" style="56" bestFit="1" customWidth="1"/>
    <col min="1041" max="1041" width="15.625" style="56" customWidth="1"/>
    <col min="1042" max="1042" width="14" style="56" bestFit="1" customWidth="1"/>
    <col min="1043" max="1043" width="9.25" style="56" bestFit="1" customWidth="1"/>
    <col min="1044" max="1044" width="11.125" style="56" bestFit="1" customWidth="1"/>
    <col min="1045" max="1045" width="15.625" style="56" customWidth="1"/>
    <col min="1046" max="1046" width="14" style="56" bestFit="1" customWidth="1"/>
    <col min="1047" max="1047" width="9.25" style="56" bestFit="1" customWidth="1"/>
    <col min="1048" max="1280" width="9" style="56"/>
    <col min="1281" max="1281" width="7.25" style="56" bestFit="1" customWidth="1"/>
    <col min="1282" max="1282" width="9.25" style="56" bestFit="1" customWidth="1"/>
    <col min="1283" max="1283" width="27" style="56" bestFit="1" customWidth="1"/>
    <col min="1284" max="1284" width="11.125" style="56" bestFit="1" customWidth="1"/>
    <col min="1285" max="1285" width="15.625" style="56" customWidth="1"/>
    <col min="1286" max="1286" width="14" style="56" bestFit="1" customWidth="1"/>
    <col min="1287" max="1287" width="9.25" style="56" bestFit="1" customWidth="1"/>
    <col min="1288" max="1288" width="11.125" style="56" bestFit="1" customWidth="1"/>
    <col min="1289" max="1289" width="15.625" style="56" customWidth="1"/>
    <col min="1290" max="1290" width="14" style="56" bestFit="1" customWidth="1"/>
    <col min="1291" max="1291" width="9.25" style="56" bestFit="1" customWidth="1"/>
    <col min="1292" max="1292" width="11.125" style="56" bestFit="1" customWidth="1"/>
    <col min="1293" max="1293" width="15.625" style="56" customWidth="1"/>
    <col min="1294" max="1294" width="14" style="56" bestFit="1" customWidth="1"/>
    <col min="1295" max="1295" width="9.25" style="56" bestFit="1" customWidth="1"/>
    <col min="1296" max="1296" width="11.125" style="56" bestFit="1" customWidth="1"/>
    <col min="1297" max="1297" width="15.625" style="56" customWidth="1"/>
    <col min="1298" max="1298" width="14" style="56" bestFit="1" customWidth="1"/>
    <col min="1299" max="1299" width="9.25" style="56" bestFit="1" customWidth="1"/>
    <col min="1300" max="1300" width="11.125" style="56" bestFit="1" customWidth="1"/>
    <col min="1301" max="1301" width="15.625" style="56" customWidth="1"/>
    <col min="1302" max="1302" width="14" style="56" bestFit="1" customWidth="1"/>
    <col min="1303" max="1303" width="9.25" style="56" bestFit="1" customWidth="1"/>
    <col min="1304" max="1536" width="9" style="56"/>
    <col min="1537" max="1537" width="7.25" style="56" bestFit="1" customWidth="1"/>
    <col min="1538" max="1538" width="9.25" style="56" bestFit="1" customWidth="1"/>
    <col min="1539" max="1539" width="27" style="56" bestFit="1" customWidth="1"/>
    <col min="1540" max="1540" width="11.125" style="56" bestFit="1" customWidth="1"/>
    <col min="1541" max="1541" width="15.625" style="56" customWidth="1"/>
    <col min="1542" max="1542" width="14" style="56" bestFit="1" customWidth="1"/>
    <col min="1543" max="1543" width="9.25" style="56" bestFit="1" customWidth="1"/>
    <col min="1544" max="1544" width="11.125" style="56" bestFit="1" customWidth="1"/>
    <col min="1545" max="1545" width="15.625" style="56" customWidth="1"/>
    <col min="1546" max="1546" width="14" style="56" bestFit="1" customWidth="1"/>
    <col min="1547" max="1547" width="9.25" style="56" bestFit="1" customWidth="1"/>
    <col min="1548" max="1548" width="11.125" style="56" bestFit="1" customWidth="1"/>
    <col min="1549" max="1549" width="15.625" style="56" customWidth="1"/>
    <col min="1550" max="1550" width="14" style="56" bestFit="1" customWidth="1"/>
    <col min="1551" max="1551" width="9.25" style="56" bestFit="1" customWidth="1"/>
    <col min="1552" max="1552" width="11.125" style="56" bestFit="1" customWidth="1"/>
    <col min="1553" max="1553" width="15.625" style="56" customWidth="1"/>
    <col min="1554" max="1554" width="14" style="56" bestFit="1" customWidth="1"/>
    <col min="1555" max="1555" width="9.25" style="56" bestFit="1" customWidth="1"/>
    <col min="1556" max="1556" width="11.125" style="56" bestFit="1" customWidth="1"/>
    <col min="1557" max="1557" width="15.625" style="56" customWidth="1"/>
    <col min="1558" max="1558" width="14" style="56" bestFit="1" customWidth="1"/>
    <col min="1559" max="1559" width="9.25" style="56" bestFit="1" customWidth="1"/>
    <col min="1560" max="1792" width="9" style="56"/>
    <col min="1793" max="1793" width="7.25" style="56" bestFit="1" customWidth="1"/>
    <col min="1794" max="1794" width="9.25" style="56" bestFit="1" customWidth="1"/>
    <col min="1795" max="1795" width="27" style="56" bestFit="1" customWidth="1"/>
    <col min="1796" max="1796" width="11.125" style="56" bestFit="1" customWidth="1"/>
    <col min="1797" max="1797" width="15.625" style="56" customWidth="1"/>
    <col min="1798" max="1798" width="14" style="56" bestFit="1" customWidth="1"/>
    <col min="1799" max="1799" width="9.25" style="56" bestFit="1" customWidth="1"/>
    <col min="1800" max="1800" width="11.125" style="56" bestFit="1" customWidth="1"/>
    <col min="1801" max="1801" width="15.625" style="56" customWidth="1"/>
    <col min="1802" max="1802" width="14" style="56" bestFit="1" customWidth="1"/>
    <col min="1803" max="1803" width="9.25" style="56" bestFit="1" customWidth="1"/>
    <col min="1804" max="1804" width="11.125" style="56" bestFit="1" customWidth="1"/>
    <col min="1805" max="1805" width="15.625" style="56" customWidth="1"/>
    <col min="1806" max="1806" width="14" style="56" bestFit="1" customWidth="1"/>
    <col min="1807" max="1807" width="9.25" style="56" bestFit="1" customWidth="1"/>
    <col min="1808" max="1808" width="11.125" style="56" bestFit="1" customWidth="1"/>
    <col min="1809" max="1809" width="15.625" style="56" customWidth="1"/>
    <col min="1810" max="1810" width="14" style="56" bestFit="1" customWidth="1"/>
    <col min="1811" max="1811" width="9.25" style="56" bestFit="1" customWidth="1"/>
    <col min="1812" max="1812" width="11.125" style="56" bestFit="1" customWidth="1"/>
    <col min="1813" max="1813" width="15.625" style="56" customWidth="1"/>
    <col min="1814" max="1814" width="14" style="56" bestFit="1" customWidth="1"/>
    <col min="1815" max="1815" width="9.25" style="56" bestFit="1" customWidth="1"/>
    <col min="1816" max="2048" width="9" style="56"/>
    <col min="2049" max="2049" width="7.25" style="56" bestFit="1" customWidth="1"/>
    <col min="2050" max="2050" width="9.25" style="56" bestFit="1" customWidth="1"/>
    <col min="2051" max="2051" width="27" style="56" bestFit="1" customWidth="1"/>
    <col min="2052" max="2052" width="11.125" style="56" bestFit="1" customWidth="1"/>
    <col min="2053" max="2053" width="15.625" style="56" customWidth="1"/>
    <col min="2054" max="2054" width="14" style="56" bestFit="1" customWidth="1"/>
    <col min="2055" max="2055" width="9.25" style="56" bestFit="1" customWidth="1"/>
    <col min="2056" max="2056" width="11.125" style="56" bestFit="1" customWidth="1"/>
    <col min="2057" max="2057" width="15.625" style="56" customWidth="1"/>
    <col min="2058" max="2058" width="14" style="56" bestFit="1" customWidth="1"/>
    <col min="2059" max="2059" width="9.25" style="56" bestFit="1" customWidth="1"/>
    <col min="2060" max="2060" width="11.125" style="56" bestFit="1" customWidth="1"/>
    <col min="2061" max="2061" width="15.625" style="56" customWidth="1"/>
    <col min="2062" max="2062" width="14" style="56" bestFit="1" customWidth="1"/>
    <col min="2063" max="2063" width="9.25" style="56" bestFit="1" customWidth="1"/>
    <col min="2064" max="2064" width="11.125" style="56" bestFit="1" customWidth="1"/>
    <col min="2065" max="2065" width="15.625" style="56" customWidth="1"/>
    <col min="2066" max="2066" width="14" style="56" bestFit="1" customWidth="1"/>
    <col min="2067" max="2067" width="9.25" style="56" bestFit="1" customWidth="1"/>
    <col min="2068" max="2068" width="11.125" style="56" bestFit="1" customWidth="1"/>
    <col min="2069" max="2069" width="15.625" style="56" customWidth="1"/>
    <col min="2070" max="2070" width="14" style="56" bestFit="1" customWidth="1"/>
    <col min="2071" max="2071" width="9.25" style="56" bestFit="1" customWidth="1"/>
    <col min="2072" max="2304" width="9" style="56"/>
    <col min="2305" max="2305" width="7.25" style="56" bestFit="1" customWidth="1"/>
    <col min="2306" max="2306" width="9.25" style="56" bestFit="1" customWidth="1"/>
    <col min="2307" max="2307" width="27" style="56" bestFit="1" customWidth="1"/>
    <col min="2308" max="2308" width="11.125" style="56" bestFit="1" customWidth="1"/>
    <col min="2309" max="2309" width="15.625" style="56" customWidth="1"/>
    <col min="2310" max="2310" width="14" style="56" bestFit="1" customWidth="1"/>
    <col min="2311" max="2311" width="9.25" style="56" bestFit="1" customWidth="1"/>
    <col min="2312" max="2312" width="11.125" style="56" bestFit="1" customWidth="1"/>
    <col min="2313" max="2313" width="15.625" style="56" customWidth="1"/>
    <col min="2314" max="2314" width="14" style="56" bestFit="1" customWidth="1"/>
    <col min="2315" max="2315" width="9.25" style="56" bestFit="1" customWidth="1"/>
    <col min="2316" max="2316" width="11.125" style="56" bestFit="1" customWidth="1"/>
    <col min="2317" max="2317" width="15.625" style="56" customWidth="1"/>
    <col min="2318" max="2318" width="14" style="56" bestFit="1" customWidth="1"/>
    <col min="2319" max="2319" width="9.25" style="56" bestFit="1" customWidth="1"/>
    <col min="2320" max="2320" width="11.125" style="56" bestFit="1" customWidth="1"/>
    <col min="2321" max="2321" width="15.625" style="56" customWidth="1"/>
    <col min="2322" max="2322" width="14" style="56" bestFit="1" customWidth="1"/>
    <col min="2323" max="2323" width="9.25" style="56" bestFit="1" customWidth="1"/>
    <col min="2324" max="2324" width="11.125" style="56" bestFit="1" customWidth="1"/>
    <col min="2325" max="2325" width="15.625" style="56" customWidth="1"/>
    <col min="2326" max="2326" width="14" style="56" bestFit="1" customWidth="1"/>
    <col min="2327" max="2327" width="9.25" style="56" bestFit="1" customWidth="1"/>
    <col min="2328" max="2560" width="9" style="56"/>
    <col min="2561" max="2561" width="7.25" style="56" bestFit="1" customWidth="1"/>
    <col min="2562" max="2562" width="9.25" style="56" bestFit="1" customWidth="1"/>
    <col min="2563" max="2563" width="27" style="56" bestFit="1" customWidth="1"/>
    <col min="2564" max="2564" width="11.125" style="56" bestFit="1" customWidth="1"/>
    <col min="2565" max="2565" width="15.625" style="56" customWidth="1"/>
    <col min="2566" max="2566" width="14" style="56" bestFit="1" customWidth="1"/>
    <col min="2567" max="2567" width="9.25" style="56" bestFit="1" customWidth="1"/>
    <col min="2568" max="2568" width="11.125" style="56" bestFit="1" customWidth="1"/>
    <col min="2569" max="2569" width="15.625" style="56" customWidth="1"/>
    <col min="2570" max="2570" width="14" style="56" bestFit="1" customWidth="1"/>
    <col min="2571" max="2571" width="9.25" style="56" bestFit="1" customWidth="1"/>
    <col min="2572" max="2572" width="11.125" style="56" bestFit="1" customWidth="1"/>
    <col min="2573" max="2573" width="15.625" style="56" customWidth="1"/>
    <col min="2574" max="2574" width="14" style="56" bestFit="1" customWidth="1"/>
    <col min="2575" max="2575" width="9.25" style="56" bestFit="1" customWidth="1"/>
    <col min="2576" max="2576" width="11.125" style="56" bestFit="1" customWidth="1"/>
    <col min="2577" max="2577" width="15.625" style="56" customWidth="1"/>
    <col min="2578" max="2578" width="14" style="56" bestFit="1" customWidth="1"/>
    <col min="2579" max="2579" width="9.25" style="56" bestFit="1" customWidth="1"/>
    <col min="2580" max="2580" width="11.125" style="56" bestFit="1" customWidth="1"/>
    <col min="2581" max="2581" width="15.625" style="56" customWidth="1"/>
    <col min="2582" max="2582" width="14" style="56" bestFit="1" customWidth="1"/>
    <col min="2583" max="2583" width="9.25" style="56" bestFit="1" customWidth="1"/>
    <col min="2584" max="2816" width="9" style="56"/>
    <col min="2817" max="2817" width="7.25" style="56" bestFit="1" customWidth="1"/>
    <col min="2818" max="2818" width="9.25" style="56" bestFit="1" customWidth="1"/>
    <col min="2819" max="2819" width="27" style="56" bestFit="1" customWidth="1"/>
    <col min="2820" max="2820" width="11.125" style="56" bestFit="1" customWidth="1"/>
    <col min="2821" max="2821" width="15.625" style="56" customWidth="1"/>
    <col min="2822" max="2822" width="14" style="56" bestFit="1" customWidth="1"/>
    <col min="2823" max="2823" width="9.25" style="56" bestFit="1" customWidth="1"/>
    <col min="2824" max="2824" width="11.125" style="56" bestFit="1" customWidth="1"/>
    <col min="2825" max="2825" width="15.625" style="56" customWidth="1"/>
    <col min="2826" max="2826" width="14" style="56" bestFit="1" customWidth="1"/>
    <col min="2827" max="2827" width="9.25" style="56" bestFit="1" customWidth="1"/>
    <col min="2828" max="2828" width="11.125" style="56" bestFit="1" customWidth="1"/>
    <col min="2829" max="2829" width="15.625" style="56" customWidth="1"/>
    <col min="2830" max="2830" width="14" style="56" bestFit="1" customWidth="1"/>
    <col min="2831" max="2831" width="9.25" style="56" bestFit="1" customWidth="1"/>
    <col min="2832" max="2832" width="11.125" style="56" bestFit="1" customWidth="1"/>
    <col min="2833" max="2833" width="15.625" style="56" customWidth="1"/>
    <col min="2834" max="2834" width="14" style="56" bestFit="1" customWidth="1"/>
    <col min="2835" max="2835" width="9.25" style="56" bestFit="1" customWidth="1"/>
    <col min="2836" max="2836" width="11.125" style="56" bestFit="1" customWidth="1"/>
    <col min="2837" max="2837" width="15.625" style="56" customWidth="1"/>
    <col min="2838" max="2838" width="14" style="56" bestFit="1" customWidth="1"/>
    <col min="2839" max="2839" width="9.25" style="56" bestFit="1" customWidth="1"/>
    <col min="2840" max="3072" width="9" style="56"/>
    <col min="3073" max="3073" width="7.25" style="56" bestFit="1" customWidth="1"/>
    <col min="3074" max="3074" width="9.25" style="56" bestFit="1" customWidth="1"/>
    <col min="3075" max="3075" width="27" style="56" bestFit="1" customWidth="1"/>
    <col min="3076" max="3076" width="11.125" style="56" bestFit="1" customWidth="1"/>
    <col min="3077" max="3077" width="15.625" style="56" customWidth="1"/>
    <col min="3078" max="3078" width="14" style="56" bestFit="1" customWidth="1"/>
    <col min="3079" max="3079" width="9.25" style="56" bestFit="1" customWidth="1"/>
    <col min="3080" max="3080" width="11.125" style="56" bestFit="1" customWidth="1"/>
    <col min="3081" max="3081" width="15.625" style="56" customWidth="1"/>
    <col min="3082" max="3082" width="14" style="56" bestFit="1" customWidth="1"/>
    <col min="3083" max="3083" width="9.25" style="56" bestFit="1" customWidth="1"/>
    <col min="3084" max="3084" width="11.125" style="56" bestFit="1" customWidth="1"/>
    <col min="3085" max="3085" width="15.625" style="56" customWidth="1"/>
    <col min="3086" max="3086" width="14" style="56" bestFit="1" customWidth="1"/>
    <col min="3087" max="3087" width="9.25" style="56" bestFit="1" customWidth="1"/>
    <col min="3088" max="3088" width="11.125" style="56" bestFit="1" customWidth="1"/>
    <col min="3089" max="3089" width="15.625" style="56" customWidth="1"/>
    <col min="3090" max="3090" width="14" style="56" bestFit="1" customWidth="1"/>
    <col min="3091" max="3091" width="9.25" style="56" bestFit="1" customWidth="1"/>
    <col min="3092" max="3092" width="11.125" style="56" bestFit="1" customWidth="1"/>
    <col min="3093" max="3093" width="15.625" style="56" customWidth="1"/>
    <col min="3094" max="3094" width="14" style="56" bestFit="1" customWidth="1"/>
    <col min="3095" max="3095" width="9.25" style="56" bestFit="1" customWidth="1"/>
    <col min="3096" max="3328" width="9" style="56"/>
    <col min="3329" max="3329" width="7.25" style="56" bestFit="1" customWidth="1"/>
    <col min="3330" max="3330" width="9.25" style="56" bestFit="1" customWidth="1"/>
    <col min="3331" max="3331" width="27" style="56" bestFit="1" customWidth="1"/>
    <col min="3332" max="3332" width="11.125" style="56" bestFit="1" customWidth="1"/>
    <col min="3333" max="3333" width="15.625" style="56" customWidth="1"/>
    <col min="3334" max="3334" width="14" style="56" bestFit="1" customWidth="1"/>
    <col min="3335" max="3335" width="9.25" style="56" bestFit="1" customWidth="1"/>
    <col min="3336" max="3336" width="11.125" style="56" bestFit="1" customWidth="1"/>
    <col min="3337" max="3337" width="15.625" style="56" customWidth="1"/>
    <col min="3338" max="3338" width="14" style="56" bestFit="1" customWidth="1"/>
    <col min="3339" max="3339" width="9.25" style="56" bestFit="1" customWidth="1"/>
    <col min="3340" max="3340" width="11.125" style="56" bestFit="1" customWidth="1"/>
    <col min="3341" max="3341" width="15.625" style="56" customWidth="1"/>
    <col min="3342" max="3342" width="14" style="56" bestFit="1" customWidth="1"/>
    <col min="3343" max="3343" width="9.25" style="56" bestFit="1" customWidth="1"/>
    <col min="3344" max="3344" width="11.125" style="56" bestFit="1" customWidth="1"/>
    <col min="3345" max="3345" width="15.625" style="56" customWidth="1"/>
    <col min="3346" max="3346" width="14" style="56" bestFit="1" customWidth="1"/>
    <col min="3347" max="3347" width="9.25" style="56" bestFit="1" customWidth="1"/>
    <col min="3348" max="3348" width="11.125" style="56" bestFit="1" customWidth="1"/>
    <col min="3349" max="3349" width="15.625" style="56" customWidth="1"/>
    <col min="3350" max="3350" width="14" style="56" bestFit="1" customWidth="1"/>
    <col min="3351" max="3351" width="9.25" style="56" bestFit="1" customWidth="1"/>
    <col min="3352" max="3584" width="9" style="56"/>
    <col min="3585" max="3585" width="7.25" style="56" bestFit="1" customWidth="1"/>
    <col min="3586" max="3586" width="9.25" style="56" bestFit="1" customWidth="1"/>
    <col min="3587" max="3587" width="27" style="56" bestFit="1" customWidth="1"/>
    <col min="3588" max="3588" width="11.125" style="56" bestFit="1" customWidth="1"/>
    <col min="3589" max="3589" width="15.625" style="56" customWidth="1"/>
    <col min="3590" max="3590" width="14" style="56" bestFit="1" customWidth="1"/>
    <col min="3591" max="3591" width="9.25" style="56" bestFit="1" customWidth="1"/>
    <col min="3592" max="3592" width="11.125" style="56" bestFit="1" customWidth="1"/>
    <col min="3593" max="3593" width="15.625" style="56" customWidth="1"/>
    <col min="3594" max="3594" width="14" style="56" bestFit="1" customWidth="1"/>
    <col min="3595" max="3595" width="9.25" style="56" bestFit="1" customWidth="1"/>
    <col min="3596" max="3596" width="11.125" style="56" bestFit="1" customWidth="1"/>
    <col min="3597" max="3597" width="15.625" style="56" customWidth="1"/>
    <col min="3598" max="3598" width="14" style="56" bestFit="1" customWidth="1"/>
    <col min="3599" max="3599" width="9.25" style="56" bestFit="1" customWidth="1"/>
    <col min="3600" max="3600" width="11.125" style="56" bestFit="1" customWidth="1"/>
    <col min="3601" max="3601" width="15.625" style="56" customWidth="1"/>
    <col min="3602" max="3602" width="14" style="56" bestFit="1" customWidth="1"/>
    <col min="3603" max="3603" width="9.25" style="56" bestFit="1" customWidth="1"/>
    <col min="3604" max="3604" width="11.125" style="56" bestFit="1" customWidth="1"/>
    <col min="3605" max="3605" width="15.625" style="56" customWidth="1"/>
    <col min="3606" max="3606" width="14" style="56" bestFit="1" customWidth="1"/>
    <col min="3607" max="3607" width="9.25" style="56" bestFit="1" customWidth="1"/>
    <col min="3608" max="3840" width="9" style="56"/>
    <col min="3841" max="3841" width="7.25" style="56" bestFit="1" customWidth="1"/>
    <col min="3842" max="3842" width="9.25" style="56" bestFit="1" customWidth="1"/>
    <col min="3843" max="3843" width="27" style="56" bestFit="1" customWidth="1"/>
    <col min="3844" max="3844" width="11.125" style="56" bestFit="1" customWidth="1"/>
    <col min="3845" max="3845" width="15.625" style="56" customWidth="1"/>
    <col min="3846" max="3846" width="14" style="56" bestFit="1" customWidth="1"/>
    <col min="3847" max="3847" width="9.25" style="56" bestFit="1" customWidth="1"/>
    <col min="3848" max="3848" width="11.125" style="56" bestFit="1" customWidth="1"/>
    <col min="3849" max="3849" width="15.625" style="56" customWidth="1"/>
    <col min="3850" max="3850" width="14" style="56" bestFit="1" customWidth="1"/>
    <col min="3851" max="3851" width="9.25" style="56" bestFit="1" customWidth="1"/>
    <col min="3852" max="3852" width="11.125" style="56" bestFit="1" customWidth="1"/>
    <col min="3853" max="3853" width="15.625" style="56" customWidth="1"/>
    <col min="3854" max="3854" width="14" style="56" bestFit="1" customWidth="1"/>
    <col min="3855" max="3855" width="9.25" style="56" bestFit="1" customWidth="1"/>
    <col min="3856" max="3856" width="11.125" style="56" bestFit="1" customWidth="1"/>
    <col min="3857" max="3857" width="15.625" style="56" customWidth="1"/>
    <col min="3858" max="3858" width="14" style="56" bestFit="1" customWidth="1"/>
    <col min="3859" max="3859" width="9.25" style="56" bestFit="1" customWidth="1"/>
    <col min="3860" max="3860" width="11.125" style="56" bestFit="1" customWidth="1"/>
    <col min="3861" max="3861" width="15.625" style="56" customWidth="1"/>
    <col min="3862" max="3862" width="14" style="56" bestFit="1" customWidth="1"/>
    <col min="3863" max="3863" width="9.25" style="56" bestFit="1" customWidth="1"/>
    <col min="3864" max="4096" width="9" style="56"/>
    <col min="4097" max="4097" width="7.25" style="56" bestFit="1" customWidth="1"/>
    <col min="4098" max="4098" width="9.25" style="56" bestFit="1" customWidth="1"/>
    <col min="4099" max="4099" width="27" style="56" bestFit="1" customWidth="1"/>
    <col min="4100" max="4100" width="11.125" style="56" bestFit="1" customWidth="1"/>
    <col min="4101" max="4101" width="15.625" style="56" customWidth="1"/>
    <col min="4102" max="4102" width="14" style="56" bestFit="1" customWidth="1"/>
    <col min="4103" max="4103" width="9.25" style="56" bestFit="1" customWidth="1"/>
    <col min="4104" max="4104" width="11.125" style="56" bestFit="1" customWidth="1"/>
    <col min="4105" max="4105" width="15.625" style="56" customWidth="1"/>
    <col min="4106" max="4106" width="14" style="56" bestFit="1" customWidth="1"/>
    <col min="4107" max="4107" width="9.25" style="56" bestFit="1" customWidth="1"/>
    <col min="4108" max="4108" width="11.125" style="56" bestFit="1" customWidth="1"/>
    <col min="4109" max="4109" width="15.625" style="56" customWidth="1"/>
    <col min="4110" max="4110" width="14" style="56" bestFit="1" customWidth="1"/>
    <col min="4111" max="4111" width="9.25" style="56" bestFit="1" customWidth="1"/>
    <col min="4112" max="4112" width="11.125" style="56" bestFit="1" customWidth="1"/>
    <col min="4113" max="4113" width="15.625" style="56" customWidth="1"/>
    <col min="4114" max="4114" width="14" style="56" bestFit="1" customWidth="1"/>
    <col min="4115" max="4115" width="9.25" style="56" bestFit="1" customWidth="1"/>
    <col min="4116" max="4116" width="11.125" style="56" bestFit="1" customWidth="1"/>
    <col min="4117" max="4117" width="15.625" style="56" customWidth="1"/>
    <col min="4118" max="4118" width="14" style="56" bestFit="1" customWidth="1"/>
    <col min="4119" max="4119" width="9.25" style="56" bestFit="1" customWidth="1"/>
    <col min="4120" max="4352" width="9" style="56"/>
    <col min="4353" max="4353" width="7.25" style="56" bestFit="1" customWidth="1"/>
    <col min="4354" max="4354" width="9.25" style="56" bestFit="1" customWidth="1"/>
    <col min="4355" max="4355" width="27" style="56" bestFit="1" customWidth="1"/>
    <col min="4356" max="4356" width="11.125" style="56" bestFit="1" customWidth="1"/>
    <col min="4357" max="4357" width="15.625" style="56" customWidth="1"/>
    <col min="4358" max="4358" width="14" style="56" bestFit="1" customWidth="1"/>
    <col min="4359" max="4359" width="9.25" style="56" bestFit="1" customWidth="1"/>
    <col min="4360" max="4360" width="11.125" style="56" bestFit="1" customWidth="1"/>
    <col min="4361" max="4361" width="15.625" style="56" customWidth="1"/>
    <col min="4362" max="4362" width="14" style="56" bestFit="1" customWidth="1"/>
    <col min="4363" max="4363" width="9.25" style="56" bestFit="1" customWidth="1"/>
    <col min="4364" max="4364" width="11.125" style="56" bestFit="1" customWidth="1"/>
    <col min="4365" max="4365" width="15.625" style="56" customWidth="1"/>
    <col min="4366" max="4366" width="14" style="56" bestFit="1" customWidth="1"/>
    <col min="4367" max="4367" width="9.25" style="56" bestFit="1" customWidth="1"/>
    <col min="4368" max="4368" width="11.125" style="56" bestFit="1" customWidth="1"/>
    <col min="4369" max="4369" width="15.625" style="56" customWidth="1"/>
    <col min="4370" max="4370" width="14" style="56" bestFit="1" customWidth="1"/>
    <col min="4371" max="4371" width="9.25" style="56" bestFit="1" customWidth="1"/>
    <col min="4372" max="4372" width="11.125" style="56" bestFit="1" customWidth="1"/>
    <col min="4373" max="4373" width="15.625" style="56" customWidth="1"/>
    <col min="4374" max="4374" width="14" style="56" bestFit="1" customWidth="1"/>
    <col min="4375" max="4375" width="9.25" style="56" bestFit="1" customWidth="1"/>
    <col min="4376" max="4608" width="9" style="56"/>
    <col min="4609" max="4609" width="7.25" style="56" bestFit="1" customWidth="1"/>
    <col min="4610" max="4610" width="9.25" style="56" bestFit="1" customWidth="1"/>
    <col min="4611" max="4611" width="27" style="56" bestFit="1" customWidth="1"/>
    <col min="4612" max="4612" width="11.125" style="56" bestFit="1" customWidth="1"/>
    <col min="4613" max="4613" width="15.625" style="56" customWidth="1"/>
    <col min="4614" max="4614" width="14" style="56" bestFit="1" customWidth="1"/>
    <col min="4615" max="4615" width="9.25" style="56" bestFit="1" customWidth="1"/>
    <col min="4616" max="4616" width="11.125" style="56" bestFit="1" customWidth="1"/>
    <col min="4617" max="4617" width="15.625" style="56" customWidth="1"/>
    <col min="4618" max="4618" width="14" style="56" bestFit="1" customWidth="1"/>
    <col min="4619" max="4619" width="9.25" style="56" bestFit="1" customWidth="1"/>
    <col min="4620" max="4620" width="11.125" style="56" bestFit="1" customWidth="1"/>
    <col min="4621" max="4621" width="15.625" style="56" customWidth="1"/>
    <col min="4622" max="4622" width="14" style="56" bestFit="1" customWidth="1"/>
    <col min="4623" max="4623" width="9.25" style="56" bestFit="1" customWidth="1"/>
    <col min="4624" max="4624" width="11.125" style="56" bestFit="1" customWidth="1"/>
    <col min="4625" max="4625" width="15.625" style="56" customWidth="1"/>
    <col min="4626" max="4626" width="14" style="56" bestFit="1" customWidth="1"/>
    <col min="4627" max="4627" width="9.25" style="56" bestFit="1" customWidth="1"/>
    <col min="4628" max="4628" width="11.125" style="56" bestFit="1" customWidth="1"/>
    <col min="4629" max="4629" width="15.625" style="56" customWidth="1"/>
    <col min="4630" max="4630" width="14" style="56" bestFit="1" customWidth="1"/>
    <col min="4631" max="4631" width="9.25" style="56" bestFit="1" customWidth="1"/>
    <col min="4632" max="4864" width="9" style="56"/>
    <col min="4865" max="4865" width="7.25" style="56" bestFit="1" customWidth="1"/>
    <col min="4866" max="4866" width="9.25" style="56" bestFit="1" customWidth="1"/>
    <col min="4867" max="4867" width="27" style="56" bestFit="1" customWidth="1"/>
    <col min="4868" max="4868" width="11.125" style="56" bestFit="1" customWidth="1"/>
    <col min="4869" max="4869" width="15.625" style="56" customWidth="1"/>
    <col min="4870" max="4870" width="14" style="56" bestFit="1" customWidth="1"/>
    <col min="4871" max="4871" width="9.25" style="56" bestFit="1" customWidth="1"/>
    <col min="4872" max="4872" width="11.125" style="56" bestFit="1" customWidth="1"/>
    <col min="4873" max="4873" width="15.625" style="56" customWidth="1"/>
    <col min="4874" max="4874" width="14" style="56" bestFit="1" customWidth="1"/>
    <col min="4875" max="4875" width="9.25" style="56" bestFit="1" customWidth="1"/>
    <col min="4876" max="4876" width="11.125" style="56" bestFit="1" customWidth="1"/>
    <col min="4877" max="4877" width="15.625" style="56" customWidth="1"/>
    <col min="4878" max="4878" width="14" style="56" bestFit="1" customWidth="1"/>
    <col min="4879" max="4879" width="9.25" style="56" bestFit="1" customWidth="1"/>
    <col min="4880" max="4880" width="11.125" style="56" bestFit="1" customWidth="1"/>
    <col min="4881" max="4881" width="15.625" style="56" customWidth="1"/>
    <col min="4882" max="4882" width="14" style="56" bestFit="1" customWidth="1"/>
    <col min="4883" max="4883" width="9.25" style="56" bestFit="1" customWidth="1"/>
    <col min="4884" max="4884" width="11.125" style="56" bestFit="1" customWidth="1"/>
    <col min="4885" max="4885" width="15.625" style="56" customWidth="1"/>
    <col min="4886" max="4886" width="14" style="56" bestFit="1" customWidth="1"/>
    <col min="4887" max="4887" width="9.25" style="56" bestFit="1" customWidth="1"/>
    <col min="4888" max="5120" width="9" style="56"/>
    <col min="5121" max="5121" width="7.25" style="56" bestFit="1" customWidth="1"/>
    <col min="5122" max="5122" width="9.25" style="56" bestFit="1" customWidth="1"/>
    <col min="5123" max="5123" width="27" style="56" bestFit="1" customWidth="1"/>
    <col min="5124" max="5124" width="11.125" style="56" bestFit="1" customWidth="1"/>
    <col min="5125" max="5125" width="15.625" style="56" customWidth="1"/>
    <col min="5126" max="5126" width="14" style="56" bestFit="1" customWidth="1"/>
    <col min="5127" max="5127" width="9.25" style="56" bestFit="1" customWidth="1"/>
    <col min="5128" max="5128" width="11.125" style="56" bestFit="1" customWidth="1"/>
    <col min="5129" max="5129" width="15.625" style="56" customWidth="1"/>
    <col min="5130" max="5130" width="14" style="56" bestFit="1" customWidth="1"/>
    <col min="5131" max="5131" width="9.25" style="56" bestFit="1" customWidth="1"/>
    <col min="5132" max="5132" width="11.125" style="56" bestFit="1" customWidth="1"/>
    <col min="5133" max="5133" width="15.625" style="56" customWidth="1"/>
    <col min="5134" max="5134" width="14" style="56" bestFit="1" customWidth="1"/>
    <col min="5135" max="5135" width="9.25" style="56" bestFit="1" customWidth="1"/>
    <col min="5136" max="5136" width="11.125" style="56" bestFit="1" customWidth="1"/>
    <col min="5137" max="5137" width="15.625" style="56" customWidth="1"/>
    <col min="5138" max="5138" width="14" style="56" bestFit="1" customWidth="1"/>
    <col min="5139" max="5139" width="9.25" style="56" bestFit="1" customWidth="1"/>
    <col min="5140" max="5140" width="11.125" style="56" bestFit="1" customWidth="1"/>
    <col min="5141" max="5141" width="15.625" style="56" customWidth="1"/>
    <col min="5142" max="5142" width="14" style="56" bestFit="1" customWidth="1"/>
    <col min="5143" max="5143" width="9.25" style="56" bestFit="1" customWidth="1"/>
    <col min="5144" max="5376" width="9" style="56"/>
    <col min="5377" max="5377" width="7.25" style="56" bestFit="1" customWidth="1"/>
    <col min="5378" max="5378" width="9.25" style="56" bestFit="1" customWidth="1"/>
    <col min="5379" max="5379" width="27" style="56" bestFit="1" customWidth="1"/>
    <col min="5380" max="5380" width="11.125" style="56" bestFit="1" customWidth="1"/>
    <col min="5381" max="5381" width="15.625" style="56" customWidth="1"/>
    <col min="5382" max="5382" width="14" style="56" bestFit="1" customWidth="1"/>
    <col min="5383" max="5383" width="9.25" style="56" bestFit="1" customWidth="1"/>
    <col min="5384" max="5384" width="11.125" style="56" bestFit="1" customWidth="1"/>
    <col min="5385" max="5385" width="15.625" style="56" customWidth="1"/>
    <col min="5386" max="5386" width="14" style="56" bestFit="1" customWidth="1"/>
    <col min="5387" max="5387" width="9.25" style="56" bestFit="1" customWidth="1"/>
    <col min="5388" max="5388" width="11.125" style="56" bestFit="1" customWidth="1"/>
    <col min="5389" max="5389" width="15.625" style="56" customWidth="1"/>
    <col min="5390" max="5390" width="14" style="56" bestFit="1" customWidth="1"/>
    <col min="5391" max="5391" width="9.25" style="56" bestFit="1" customWidth="1"/>
    <col min="5392" max="5392" width="11.125" style="56" bestFit="1" customWidth="1"/>
    <col min="5393" max="5393" width="15.625" style="56" customWidth="1"/>
    <col min="5394" max="5394" width="14" style="56" bestFit="1" customWidth="1"/>
    <col min="5395" max="5395" width="9.25" style="56" bestFit="1" customWidth="1"/>
    <col min="5396" max="5396" width="11.125" style="56" bestFit="1" customWidth="1"/>
    <col min="5397" max="5397" width="15.625" style="56" customWidth="1"/>
    <col min="5398" max="5398" width="14" style="56" bestFit="1" customWidth="1"/>
    <col min="5399" max="5399" width="9.25" style="56" bestFit="1" customWidth="1"/>
    <col min="5400" max="5632" width="9" style="56"/>
    <col min="5633" max="5633" width="7.25" style="56" bestFit="1" customWidth="1"/>
    <col min="5634" max="5634" width="9.25" style="56" bestFit="1" customWidth="1"/>
    <col min="5635" max="5635" width="27" style="56" bestFit="1" customWidth="1"/>
    <col min="5636" max="5636" width="11.125" style="56" bestFit="1" customWidth="1"/>
    <col min="5637" max="5637" width="15.625" style="56" customWidth="1"/>
    <col min="5638" max="5638" width="14" style="56" bestFit="1" customWidth="1"/>
    <col min="5639" max="5639" width="9.25" style="56" bestFit="1" customWidth="1"/>
    <col min="5640" max="5640" width="11.125" style="56" bestFit="1" customWidth="1"/>
    <col min="5641" max="5641" width="15.625" style="56" customWidth="1"/>
    <col min="5642" max="5642" width="14" style="56" bestFit="1" customWidth="1"/>
    <col min="5643" max="5643" width="9.25" style="56" bestFit="1" customWidth="1"/>
    <col min="5644" max="5644" width="11.125" style="56" bestFit="1" customWidth="1"/>
    <col min="5645" max="5645" width="15.625" style="56" customWidth="1"/>
    <col min="5646" max="5646" width="14" style="56" bestFit="1" customWidth="1"/>
    <col min="5647" max="5647" width="9.25" style="56" bestFit="1" customWidth="1"/>
    <col min="5648" max="5648" width="11.125" style="56" bestFit="1" customWidth="1"/>
    <col min="5649" max="5649" width="15.625" style="56" customWidth="1"/>
    <col min="5650" max="5650" width="14" style="56" bestFit="1" customWidth="1"/>
    <col min="5651" max="5651" width="9.25" style="56" bestFit="1" customWidth="1"/>
    <col min="5652" max="5652" width="11.125" style="56" bestFit="1" customWidth="1"/>
    <col min="5653" max="5653" width="15.625" style="56" customWidth="1"/>
    <col min="5654" max="5654" width="14" style="56" bestFit="1" customWidth="1"/>
    <col min="5655" max="5655" width="9.25" style="56" bestFit="1" customWidth="1"/>
    <col min="5656" max="5888" width="9" style="56"/>
    <col min="5889" max="5889" width="7.25" style="56" bestFit="1" customWidth="1"/>
    <col min="5890" max="5890" width="9.25" style="56" bestFit="1" customWidth="1"/>
    <col min="5891" max="5891" width="27" style="56" bestFit="1" customWidth="1"/>
    <col min="5892" max="5892" width="11.125" style="56" bestFit="1" customWidth="1"/>
    <col min="5893" max="5893" width="15.625" style="56" customWidth="1"/>
    <col min="5894" max="5894" width="14" style="56" bestFit="1" customWidth="1"/>
    <col min="5895" max="5895" width="9.25" style="56" bestFit="1" customWidth="1"/>
    <col min="5896" max="5896" width="11.125" style="56" bestFit="1" customWidth="1"/>
    <col min="5897" max="5897" width="15.625" style="56" customWidth="1"/>
    <col min="5898" max="5898" width="14" style="56" bestFit="1" customWidth="1"/>
    <col min="5899" max="5899" width="9.25" style="56" bestFit="1" customWidth="1"/>
    <col min="5900" max="5900" width="11.125" style="56" bestFit="1" customWidth="1"/>
    <col min="5901" max="5901" width="15.625" style="56" customWidth="1"/>
    <col min="5902" max="5902" width="14" style="56" bestFit="1" customWidth="1"/>
    <col min="5903" max="5903" width="9.25" style="56" bestFit="1" customWidth="1"/>
    <col min="5904" max="5904" width="11.125" style="56" bestFit="1" customWidth="1"/>
    <col min="5905" max="5905" width="15.625" style="56" customWidth="1"/>
    <col min="5906" max="5906" width="14" style="56" bestFit="1" customWidth="1"/>
    <col min="5907" max="5907" width="9.25" style="56" bestFit="1" customWidth="1"/>
    <col min="5908" max="5908" width="11.125" style="56" bestFit="1" customWidth="1"/>
    <col min="5909" max="5909" width="15.625" style="56" customWidth="1"/>
    <col min="5910" max="5910" width="14" style="56" bestFit="1" customWidth="1"/>
    <col min="5911" max="5911" width="9.25" style="56" bestFit="1" customWidth="1"/>
    <col min="5912" max="6144" width="9" style="56"/>
    <col min="6145" max="6145" width="7.25" style="56" bestFit="1" customWidth="1"/>
    <col min="6146" max="6146" width="9.25" style="56" bestFit="1" customWidth="1"/>
    <col min="6147" max="6147" width="27" style="56" bestFit="1" customWidth="1"/>
    <col min="6148" max="6148" width="11.125" style="56" bestFit="1" customWidth="1"/>
    <col min="6149" max="6149" width="15.625" style="56" customWidth="1"/>
    <col min="6150" max="6150" width="14" style="56" bestFit="1" customWidth="1"/>
    <col min="6151" max="6151" width="9.25" style="56" bestFit="1" customWidth="1"/>
    <col min="6152" max="6152" width="11.125" style="56" bestFit="1" customWidth="1"/>
    <col min="6153" max="6153" width="15.625" style="56" customWidth="1"/>
    <col min="6154" max="6154" width="14" style="56" bestFit="1" customWidth="1"/>
    <col min="6155" max="6155" width="9.25" style="56" bestFit="1" customWidth="1"/>
    <col min="6156" max="6156" width="11.125" style="56" bestFit="1" customWidth="1"/>
    <col min="6157" max="6157" width="15.625" style="56" customWidth="1"/>
    <col min="6158" max="6158" width="14" style="56" bestFit="1" customWidth="1"/>
    <col min="6159" max="6159" width="9.25" style="56" bestFit="1" customWidth="1"/>
    <col min="6160" max="6160" width="11.125" style="56" bestFit="1" customWidth="1"/>
    <col min="6161" max="6161" width="15.625" style="56" customWidth="1"/>
    <col min="6162" max="6162" width="14" style="56" bestFit="1" customWidth="1"/>
    <col min="6163" max="6163" width="9.25" style="56" bestFit="1" customWidth="1"/>
    <col min="6164" max="6164" width="11.125" style="56" bestFit="1" customWidth="1"/>
    <col min="6165" max="6165" width="15.625" style="56" customWidth="1"/>
    <col min="6166" max="6166" width="14" style="56" bestFit="1" customWidth="1"/>
    <col min="6167" max="6167" width="9.25" style="56" bestFit="1" customWidth="1"/>
    <col min="6168" max="6400" width="9" style="56"/>
    <col min="6401" max="6401" width="7.25" style="56" bestFit="1" customWidth="1"/>
    <col min="6402" max="6402" width="9.25" style="56" bestFit="1" customWidth="1"/>
    <col min="6403" max="6403" width="27" style="56" bestFit="1" customWidth="1"/>
    <col min="6404" max="6404" width="11.125" style="56" bestFit="1" customWidth="1"/>
    <col min="6405" max="6405" width="15.625" style="56" customWidth="1"/>
    <col min="6406" max="6406" width="14" style="56" bestFit="1" customWidth="1"/>
    <col min="6407" max="6407" width="9.25" style="56" bestFit="1" customWidth="1"/>
    <col min="6408" max="6408" width="11.125" style="56" bestFit="1" customWidth="1"/>
    <col min="6409" max="6409" width="15.625" style="56" customWidth="1"/>
    <col min="6410" max="6410" width="14" style="56" bestFit="1" customWidth="1"/>
    <col min="6411" max="6411" width="9.25" style="56" bestFit="1" customWidth="1"/>
    <col min="6412" max="6412" width="11.125" style="56" bestFit="1" customWidth="1"/>
    <col min="6413" max="6413" width="15.625" style="56" customWidth="1"/>
    <col min="6414" max="6414" width="14" style="56" bestFit="1" customWidth="1"/>
    <col min="6415" max="6415" width="9.25" style="56" bestFit="1" customWidth="1"/>
    <col min="6416" max="6416" width="11.125" style="56" bestFit="1" customWidth="1"/>
    <col min="6417" max="6417" width="15.625" style="56" customWidth="1"/>
    <col min="6418" max="6418" width="14" style="56" bestFit="1" customWidth="1"/>
    <col min="6419" max="6419" width="9.25" style="56" bestFit="1" customWidth="1"/>
    <col min="6420" max="6420" width="11.125" style="56" bestFit="1" customWidth="1"/>
    <col min="6421" max="6421" width="15.625" style="56" customWidth="1"/>
    <col min="6422" max="6422" width="14" style="56" bestFit="1" customWidth="1"/>
    <col min="6423" max="6423" width="9.25" style="56" bestFit="1" customWidth="1"/>
    <col min="6424" max="6656" width="9" style="56"/>
    <col min="6657" max="6657" width="7.25" style="56" bestFit="1" customWidth="1"/>
    <col min="6658" max="6658" width="9.25" style="56" bestFit="1" customWidth="1"/>
    <col min="6659" max="6659" width="27" style="56" bestFit="1" customWidth="1"/>
    <col min="6660" max="6660" width="11.125" style="56" bestFit="1" customWidth="1"/>
    <col min="6661" max="6661" width="15.625" style="56" customWidth="1"/>
    <col min="6662" max="6662" width="14" style="56" bestFit="1" customWidth="1"/>
    <col min="6663" max="6663" width="9.25" style="56" bestFit="1" customWidth="1"/>
    <col min="6664" max="6664" width="11.125" style="56" bestFit="1" customWidth="1"/>
    <col min="6665" max="6665" width="15.625" style="56" customWidth="1"/>
    <col min="6666" max="6666" width="14" style="56" bestFit="1" customWidth="1"/>
    <col min="6667" max="6667" width="9.25" style="56" bestFit="1" customWidth="1"/>
    <col min="6668" max="6668" width="11.125" style="56" bestFit="1" customWidth="1"/>
    <col min="6669" max="6669" width="15.625" style="56" customWidth="1"/>
    <col min="6670" max="6670" width="14" style="56" bestFit="1" customWidth="1"/>
    <col min="6671" max="6671" width="9.25" style="56" bestFit="1" customWidth="1"/>
    <col min="6672" max="6672" width="11.125" style="56" bestFit="1" customWidth="1"/>
    <col min="6673" max="6673" width="15.625" style="56" customWidth="1"/>
    <col min="6674" max="6674" width="14" style="56" bestFit="1" customWidth="1"/>
    <col min="6675" max="6675" width="9.25" style="56" bestFit="1" customWidth="1"/>
    <col min="6676" max="6676" width="11.125" style="56" bestFit="1" customWidth="1"/>
    <col min="6677" max="6677" width="15.625" style="56" customWidth="1"/>
    <col min="6678" max="6678" width="14" style="56" bestFit="1" customWidth="1"/>
    <col min="6679" max="6679" width="9.25" style="56" bestFit="1" customWidth="1"/>
    <col min="6680" max="6912" width="9" style="56"/>
    <col min="6913" max="6913" width="7.25" style="56" bestFit="1" customWidth="1"/>
    <col min="6914" max="6914" width="9.25" style="56" bestFit="1" customWidth="1"/>
    <col min="6915" max="6915" width="27" style="56" bestFit="1" customWidth="1"/>
    <col min="6916" max="6916" width="11.125" style="56" bestFit="1" customWidth="1"/>
    <col min="6917" max="6917" width="15.625" style="56" customWidth="1"/>
    <col min="6918" max="6918" width="14" style="56" bestFit="1" customWidth="1"/>
    <col min="6919" max="6919" width="9.25" style="56" bestFit="1" customWidth="1"/>
    <col min="6920" max="6920" width="11.125" style="56" bestFit="1" customWidth="1"/>
    <col min="6921" max="6921" width="15.625" style="56" customWidth="1"/>
    <col min="6922" max="6922" width="14" style="56" bestFit="1" customWidth="1"/>
    <col min="6923" max="6923" width="9.25" style="56" bestFit="1" customWidth="1"/>
    <col min="6924" max="6924" width="11.125" style="56" bestFit="1" customWidth="1"/>
    <col min="6925" max="6925" width="15.625" style="56" customWidth="1"/>
    <col min="6926" max="6926" width="14" style="56" bestFit="1" customWidth="1"/>
    <col min="6927" max="6927" width="9.25" style="56" bestFit="1" customWidth="1"/>
    <col min="6928" max="6928" width="11.125" style="56" bestFit="1" customWidth="1"/>
    <col min="6929" max="6929" width="15.625" style="56" customWidth="1"/>
    <col min="6930" max="6930" width="14" style="56" bestFit="1" customWidth="1"/>
    <col min="6931" max="6931" width="9.25" style="56" bestFit="1" customWidth="1"/>
    <col min="6932" max="6932" width="11.125" style="56" bestFit="1" customWidth="1"/>
    <col min="6933" max="6933" width="15.625" style="56" customWidth="1"/>
    <col min="6934" max="6934" width="14" style="56" bestFit="1" customWidth="1"/>
    <col min="6935" max="6935" width="9.25" style="56" bestFit="1" customWidth="1"/>
    <col min="6936" max="7168" width="9" style="56"/>
    <col min="7169" max="7169" width="7.25" style="56" bestFit="1" customWidth="1"/>
    <col min="7170" max="7170" width="9.25" style="56" bestFit="1" customWidth="1"/>
    <col min="7171" max="7171" width="27" style="56" bestFit="1" customWidth="1"/>
    <col min="7172" max="7172" width="11.125" style="56" bestFit="1" customWidth="1"/>
    <col min="7173" max="7173" width="15.625" style="56" customWidth="1"/>
    <col min="7174" max="7174" width="14" style="56" bestFit="1" customWidth="1"/>
    <col min="7175" max="7175" width="9.25" style="56" bestFit="1" customWidth="1"/>
    <col min="7176" max="7176" width="11.125" style="56" bestFit="1" customWidth="1"/>
    <col min="7177" max="7177" width="15.625" style="56" customWidth="1"/>
    <col min="7178" max="7178" width="14" style="56" bestFit="1" customWidth="1"/>
    <col min="7179" max="7179" width="9.25" style="56" bestFit="1" customWidth="1"/>
    <col min="7180" max="7180" width="11.125" style="56" bestFit="1" customWidth="1"/>
    <col min="7181" max="7181" width="15.625" style="56" customWidth="1"/>
    <col min="7182" max="7182" width="14" style="56" bestFit="1" customWidth="1"/>
    <col min="7183" max="7183" width="9.25" style="56" bestFit="1" customWidth="1"/>
    <col min="7184" max="7184" width="11.125" style="56" bestFit="1" customWidth="1"/>
    <col min="7185" max="7185" width="15.625" style="56" customWidth="1"/>
    <col min="7186" max="7186" width="14" style="56" bestFit="1" customWidth="1"/>
    <col min="7187" max="7187" width="9.25" style="56" bestFit="1" customWidth="1"/>
    <col min="7188" max="7188" width="11.125" style="56" bestFit="1" customWidth="1"/>
    <col min="7189" max="7189" width="15.625" style="56" customWidth="1"/>
    <col min="7190" max="7190" width="14" style="56" bestFit="1" customWidth="1"/>
    <col min="7191" max="7191" width="9.25" style="56" bestFit="1" customWidth="1"/>
    <col min="7192" max="7424" width="9" style="56"/>
    <col min="7425" max="7425" width="7.25" style="56" bestFit="1" customWidth="1"/>
    <col min="7426" max="7426" width="9.25" style="56" bestFit="1" customWidth="1"/>
    <col min="7427" max="7427" width="27" style="56" bestFit="1" customWidth="1"/>
    <col min="7428" max="7428" width="11.125" style="56" bestFit="1" customWidth="1"/>
    <col min="7429" max="7429" width="15.625" style="56" customWidth="1"/>
    <col min="7430" max="7430" width="14" style="56" bestFit="1" customWidth="1"/>
    <col min="7431" max="7431" width="9.25" style="56" bestFit="1" customWidth="1"/>
    <col min="7432" max="7432" width="11.125" style="56" bestFit="1" customWidth="1"/>
    <col min="7433" max="7433" width="15.625" style="56" customWidth="1"/>
    <col min="7434" max="7434" width="14" style="56" bestFit="1" customWidth="1"/>
    <col min="7435" max="7435" width="9.25" style="56" bestFit="1" customWidth="1"/>
    <col min="7436" max="7436" width="11.125" style="56" bestFit="1" customWidth="1"/>
    <col min="7437" max="7437" width="15.625" style="56" customWidth="1"/>
    <col min="7438" max="7438" width="14" style="56" bestFit="1" customWidth="1"/>
    <col min="7439" max="7439" width="9.25" style="56" bestFit="1" customWidth="1"/>
    <col min="7440" max="7440" width="11.125" style="56" bestFit="1" customWidth="1"/>
    <col min="7441" max="7441" width="15.625" style="56" customWidth="1"/>
    <col min="7442" max="7442" width="14" style="56" bestFit="1" customWidth="1"/>
    <col min="7443" max="7443" width="9.25" style="56" bestFit="1" customWidth="1"/>
    <col min="7444" max="7444" width="11.125" style="56" bestFit="1" customWidth="1"/>
    <col min="7445" max="7445" width="15.625" style="56" customWidth="1"/>
    <col min="7446" max="7446" width="14" style="56" bestFit="1" customWidth="1"/>
    <col min="7447" max="7447" width="9.25" style="56" bestFit="1" customWidth="1"/>
    <col min="7448" max="7680" width="9" style="56"/>
    <col min="7681" max="7681" width="7.25" style="56" bestFit="1" customWidth="1"/>
    <col min="7682" max="7682" width="9.25" style="56" bestFit="1" customWidth="1"/>
    <col min="7683" max="7683" width="27" style="56" bestFit="1" customWidth="1"/>
    <col min="7684" max="7684" width="11.125" style="56" bestFit="1" customWidth="1"/>
    <col min="7685" max="7685" width="15.625" style="56" customWidth="1"/>
    <col min="7686" max="7686" width="14" style="56" bestFit="1" customWidth="1"/>
    <col min="7687" max="7687" width="9.25" style="56" bestFit="1" customWidth="1"/>
    <col min="7688" max="7688" width="11.125" style="56" bestFit="1" customWidth="1"/>
    <col min="7689" max="7689" width="15.625" style="56" customWidth="1"/>
    <col min="7690" max="7690" width="14" style="56" bestFit="1" customWidth="1"/>
    <col min="7691" max="7691" width="9.25" style="56" bestFit="1" customWidth="1"/>
    <col min="7692" max="7692" width="11.125" style="56" bestFit="1" customWidth="1"/>
    <col min="7693" max="7693" width="15.625" style="56" customWidth="1"/>
    <col min="7694" max="7694" width="14" style="56" bestFit="1" customWidth="1"/>
    <col min="7695" max="7695" width="9.25" style="56" bestFit="1" customWidth="1"/>
    <col min="7696" max="7696" width="11.125" style="56" bestFit="1" customWidth="1"/>
    <col min="7697" max="7697" width="15.625" style="56" customWidth="1"/>
    <col min="7698" max="7698" width="14" style="56" bestFit="1" customWidth="1"/>
    <col min="7699" max="7699" width="9.25" style="56" bestFit="1" customWidth="1"/>
    <col min="7700" max="7700" width="11.125" style="56" bestFit="1" customWidth="1"/>
    <col min="7701" max="7701" width="15.625" style="56" customWidth="1"/>
    <col min="7702" max="7702" width="14" style="56" bestFit="1" customWidth="1"/>
    <col min="7703" max="7703" width="9.25" style="56" bestFit="1" customWidth="1"/>
    <col min="7704" max="7936" width="9" style="56"/>
    <col min="7937" max="7937" width="7.25" style="56" bestFit="1" customWidth="1"/>
    <col min="7938" max="7938" width="9.25" style="56" bestFit="1" customWidth="1"/>
    <col min="7939" max="7939" width="27" style="56" bestFit="1" customWidth="1"/>
    <col min="7940" max="7940" width="11.125" style="56" bestFit="1" customWidth="1"/>
    <col min="7941" max="7941" width="15.625" style="56" customWidth="1"/>
    <col min="7942" max="7942" width="14" style="56" bestFit="1" customWidth="1"/>
    <col min="7943" max="7943" width="9.25" style="56" bestFit="1" customWidth="1"/>
    <col min="7944" max="7944" width="11.125" style="56" bestFit="1" customWidth="1"/>
    <col min="7945" max="7945" width="15.625" style="56" customWidth="1"/>
    <col min="7946" max="7946" width="14" style="56" bestFit="1" customWidth="1"/>
    <col min="7947" max="7947" width="9.25" style="56" bestFit="1" customWidth="1"/>
    <col min="7948" max="7948" width="11.125" style="56" bestFit="1" customWidth="1"/>
    <col min="7949" max="7949" width="15.625" style="56" customWidth="1"/>
    <col min="7950" max="7950" width="14" style="56" bestFit="1" customWidth="1"/>
    <col min="7951" max="7951" width="9.25" style="56" bestFit="1" customWidth="1"/>
    <col min="7952" max="7952" width="11.125" style="56" bestFit="1" customWidth="1"/>
    <col min="7953" max="7953" width="15.625" style="56" customWidth="1"/>
    <col min="7954" max="7954" width="14" style="56" bestFit="1" customWidth="1"/>
    <col min="7955" max="7955" width="9.25" style="56" bestFit="1" customWidth="1"/>
    <col min="7956" max="7956" width="11.125" style="56" bestFit="1" customWidth="1"/>
    <col min="7957" max="7957" width="15.625" style="56" customWidth="1"/>
    <col min="7958" max="7958" width="14" style="56" bestFit="1" customWidth="1"/>
    <col min="7959" max="7959" width="9.25" style="56" bestFit="1" customWidth="1"/>
    <col min="7960" max="8192" width="9" style="56"/>
    <col min="8193" max="8193" width="7.25" style="56" bestFit="1" customWidth="1"/>
    <col min="8194" max="8194" width="9.25" style="56" bestFit="1" customWidth="1"/>
    <col min="8195" max="8195" width="27" style="56" bestFit="1" customWidth="1"/>
    <col min="8196" max="8196" width="11.125" style="56" bestFit="1" customWidth="1"/>
    <col min="8197" max="8197" width="15.625" style="56" customWidth="1"/>
    <col min="8198" max="8198" width="14" style="56" bestFit="1" customWidth="1"/>
    <col min="8199" max="8199" width="9.25" style="56" bestFit="1" customWidth="1"/>
    <col min="8200" max="8200" width="11.125" style="56" bestFit="1" customWidth="1"/>
    <col min="8201" max="8201" width="15.625" style="56" customWidth="1"/>
    <col min="8202" max="8202" width="14" style="56" bestFit="1" customWidth="1"/>
    <col min="8203" max="8203" width="9.25" style="56" bestFit="1" customWidth="1"/>
    <col min="8204" max="8204" width="11.125" style="56" bestFit="1" customWidth="1"/>
    <col min="8205" max="8205" width="15.625" style="56" customWidth="1"/>
    <col min="8206" max="8206" width="14" style="56" bestFit="1" customWidth="1"/>
    <col min="8207" max="8207" width="9.25" style="56" bestFit="1" customWidth="1"/>
    <col min="8208" max="8208" width="11.125" style="56" bestFit="1" customWidth="1"/>
    <col min="8209" max="8209" width="15.625" style="56" customWidth="1"/>
    <col min="8210" max="8210" width="14" style="56" bestFit="1" customWidth="1"/>
    <col min="8211" max="8211" width="9.25" style="56" bestFit="1" customWidth="1"/>
    <col min="8212" max="8212" width="11.125" style="56" bestFit="1" customWidth="1"/>
    <col min="8213" max="8213" width="15.625" style="56" customWidth="1"/>
    <col min="8214" max="8214" width="14" style="56" bestFit="1" customWidth="1"/>
    <col min="8215" max="8215" width="9.25" style="56" bestFit="1" customWidth="1"/>
    <col min="8216" max="8448" width="9" style="56"/>
    <col min="8449" max="8449" width="7.25" style="56" bestFit="1" customWidth="1"/>
    <col min="8450" max="8450" width="9.25" style="56" bestFit="1" customWidth="1"/>
    <col min="8451" max="8451" width="27" style="56" bestFit="1" customWidth="1"/>
    <col min="8452" max="8452" width="11.125" style="56" bestFit="1" customWidth="1"/>
    <col min="8453" max="8453" width="15.625" style="56" customWidth="1"/>
    <col min="8454" max="8454" width="14" style="56" bestFit="1" customWidth="1"/>
    <col min="8455" max="8455" width="9.25" style="56" bestFit="1" customWidth="1"/>
    <col min="8456" max="8456" width="11.125" style="56" bestFit="1" customWidth="1"/>
    <col min="8457" max="8457" width="15.625" style="56" customWidth="1"/>
    <col min="8458" max="8458" width="14" style="56" bestFit="1" customWidth="1"/>
    <col min="8459" max="8459" width="9.25" style="56" bestFit="1" customWidth="1"/>
    <col min="8460" max="8460" width="11.125" style="56" bestFit="1" customWidth="1"/>
    <col min="8461" max="8461" width="15.625" style="56" customWidth="1"/>
    <col min="8462" max="8462" width="14" style="56" bestFit="1" customWidth="1"/>
    <col min="8463" max="8463" width="9.25" style="56" bestFit="1" customWidth="1"/>
    <col min="8464" max="8464" width="11.125" style="56" bestFit="1" customWidth="1"/>
    <col min="8465" max="8465" width="15.625" style="56" customWidth="1"/>
    <col min="8466" max="8466" width="14" style="56" bestFit="1" customWidth="1"/>
    <col min="8467" max="8467" width="9.25" style="56" bestFit="1" customWidth="1"/>
    <col min="8468" max="8468" width="11.125" style="56" bestFit="1" customWidth="1"/>
    <col min="8469" max="8469" width="15.625" style="56" customWidth="1"/>
    <col min="8470" max="8470" width="14" style="56" bestFit="1" customWidth="1"/>
    <col min="8471" max="8471" width="9.25" style="56" bestFit="1" customWidth="1"/>
    <col min="8472" max="8704" width="9" style="56"/>
    <col min="8705" max="8705" width="7.25" style="56" bestFit="1" customWidth="1"/>
    <col min="8706" max="8706" width="9.25" style="56" bestFit="1" customWidth="1"/>
    <col min="8707" max="8707" width="27" style="56" bestFit="1" customWidth="1"/>
    <col min="8708" max="8708" width="11.125" style="56" bestFit="1" customWidth="1"/>
    <col min="8709" max="8709" width="15.625" style="56" customWidth="1"/>
    <col min="8710" max="8710" width="14" style="56" bestFit="1" customWidth="1"/>
    <col min="8711" max="8711" width="9.25" style="56" bestFit="1" customWidth="1"/>
    <col min="8712" max="8712" width="11.125" style="56" bestFit="1" customWidth="1"/>
    <col min="8713" max="8713" width="15.625" style="56" customWidth="1"/>
    <col min="8714" max="8714" width="14" style="56" bestFit="1" customWidth="1"/>
    <col min="8715" max="8715" width="9.25" style="56" bestFit="1" customWidth="1"/>
    <col min="8716" max="8716" width="11.125" style="56" bestFit="1" customWidth="1"/>
    <col min="8717" max="8717" width="15.625" style="56" customWidth="1"/>
    <col min="8718" max="8718" width="14" style="56" bestFit="1" customWidth="1"/>
    <col min="8719" max="8719" width="9.25" style="56" bestFit="1" customWidth="1"/>
    <col min="8720" max="8720" width="11.125" style="56" bestFit="1" customWidth="1"/>
    <col min="8721" max="8721" width="15.625" style="56" customWidth="1"/>
    <col min="8722" max="8722" width="14" style="56" bestFit="1" customWidth="1"/>
    <col min="8723" max="8723" width="9.25" style="56" bestFit="1" customWidth="1"/>
    <col min="8724" max="8724" width="11.125" style="56" bestFit="1" customWidth="1"/>
    <col min="8725" max="8725" width="15.625" style="56" customWidth="1"/>
    <col min="8726" max="8726" width="14" style="56" bestFit="1" customWidth="1"/>
    <col min="8727" max="8727" width="9.25" style="56" bestFit="1" customWidth="1"/>
    <col min="8728" max="8960" width="9" style="56"/>
    <col min="8961" max="8961" width="7.25" style="56" bestFit="1" customWidth="1"/>
    <col min="8962" max="8962" width="9.25" style="56" bestFit="1" customWidth="1"/>
    <col min="8963" max="8963" width="27" style="56" bestFit="1" customWidth="1"/>
    <col min="8964" max="8964" width="11.125" style="56" bestFit="1" customWidth="1"/>
    <col min="8965" max="8965" width="15.625" style="56" customWidth="1"/>
    <col min="8966" max="8966" width="14" style="56" bestFit="1" customWidth="1"/>
    <col min="8967" max="8967" width="9.25" style="56" bestFit="1" customWidth="1"/>
    <col min="8968" max="8968" width="11.125" style="56" bestFit="1" customWidth="1"/>
    <col min="8969" max="8969" width="15.625" style="56" customWidth="1"/>
    <col min="8970" max="8970" width="14" style="56" bestFit="1" customWidth="1"/>
    <col min="8971" max="8971" width="9.25" style="56" bestFit="1" customWidth="1"/>
    <col min="8972" max="8972" width="11.125" style="56" bestFit="1" customWidth="1"/>
    <col min="8973" max="8973" width="15.625" style="56" customWidth="1"/>
    <col min="8974" max="8974" width="14" style="56" bestFit="1" customWidth="1"/>
    <col min="8975" max="8975" width="9.25" style="56" bestFit="1" customWidth="1"/>
    <col min="8976" max="8976" width="11.125" style="56" bestFit="1" customWidth="1"/>
    <col min="8977" max="8977" width="15.625" style="56" customWidth="1"/>
    <col min="8978" max="8978" width="14" style="56" bestFit="1" customWidth="1"/>
    <col min="8979" max="8979" width="9.25" style="56" bestFit="1" customWidth="1"/>
    <col min="8980" max="8980" width="11.125" style="56" bestFit="1" customWidth="1"/>
    <col min="8981" max="8981" width="15.625" style="56" customWidth="1"/>
    <col min="8982" max="8982" width="14" style="56" bestFit="1" customWidth="1"/>
    <col min="8983" max="8983" width="9.25" style="56" bestFit="1" customWidth="1"/>
    <col min="8984" max="9216" width="9" style="56"/>
    <col min="9217" max="9217" width="7.25" style="56" bestFit="1" customWidth="1"/>
    <col min="9218" max="9218" width="9.25" style="56" bestFit="1" customWidth="1"/>
    <col min="9219" max="9219" width="27" style="56" bestFit="1" customWidth="1"/>
    <col min="9220" max="9220" width="11.125" style="56" bestFit="1" customWidth="1"/>
    <col min="9221" max="9221" width="15.625" style="56" customWidth="1"/>
    <col min="9222" max="9222" width="14" style="56" bestFit="1" customWidth="1"/>
    <col min="9223" max="9223" width="9.25" style="56" bestFit="1" customWidth="1"/>
    <col min="9224" max="9224" width="11.125" style="56" bestFit="1" customWidth="1"/>
    <col min="9225" max="9225" width="15.625" style="56" customWidth="1"/>
    <col min="9226" max="9226" width="14" style="56" bestFit="1" customWidth="1"/>
    <col min="9227" max="9227" width="9.25" style="56" bestFit="1" customWidth="1"/>
    <col min="9228" max="9228" width="11.125" style="56" bestFit="1" customWidth="1"/>
    <col min="9229" max="9229" width="15.625" style="56" customWidth="1"/>
    <col min="9230" max="9230" width="14" style="56" bestFit="1" customWidth="1"/>
    <col min="9231" max="9231" width="9.25" style="56" bestFit="1" customWidth="1"/>
    <col min="9232" max="9232" width="11.125" style="56" bestFit="1" customWidth="1"/>
    <col min="9233" max="9233" width="15.625" style="56" customWidth="1"/>
    <col min="9234" max="9234" width="14" style="56" bestFit="1" customWidth="1"/>
    <col min="9235" max="9235" width="9.25" style="56" bestFit="1" customWidth="1"/>
    <col min="9236" max="9236" width="11.125" style="56" bestFit="1" customWidth="1"/>
    <col min="9237" max="9237" width="15.625" style="56" customWidth="1"/>
    <col min="9238" max="9238" width="14" style="56" bestFit="1" customWidth="1"/>
    <col min="9239" max="9239" width="9.25" style="56" bestFit="1" customWidth="1"/>
    <col min="9240" max="9472" width="9" style="56"/>
    <col min="9473" max="9473" width="7.25" style="56" bestFit="1" customWidth="1"/>
    <col min="9474" max="9474" width="9.25" style="56" bestFit="1" customWidth="1"/>
    <col min="9475" max="9475" width="27" style="56" bestFit="1" customWidth="1"/>
    <col min="9476" max="9476" width="11.125" style="56" bestFit="1" customWidth="1"/>
    <col min="9477" max="9477" width="15.625" style="56" customWidth="1"/>
    <col min="9478" max="9478" width="14" style="56" bestFit="1" customWidth="1"/>
    <col min="9479" max="9479" width="9.25" style="56" bestFit="1" customWidth="1"/>
    <col min="9480" max="9480" width="11.125" style="56" bestFit="1" customWidth="1"/>
    <col min="9481" max="9481" width="15.625" style="56" customWidth="1"/>
    <col min="9482" max="9482" width="14" style="56" bestFit="1" customWidth="1"/>
    <col min="9483" max="9483" width="9.25" style="56" bestFit="1" customWidth="1"/>
    <col min="9484" max="9484" width="11.125" style="56" bestFit="1" customWidth="1"/>
    <col min="9485" max="9485" width="15.625" style="56" customWidth="1"/>
    <col min="9486" max="9486" width="14" style="56" bestFit="1" customWidth="1"/>
    <col min="9487" max="9487" width="9.25" style="56" bestFit="1" customWidth="1"/>
    <col min="9488" max="9488" width="11.125" style="56" bestFit="1" customWidth="1"/>
    <col min="9489" max="9489" width="15.625" style="56" customWidth="1"/>
    <col min="9490" max="9490" width="14" style="56" bestFit="1" customWidth="1"/>
    <col min="9491" max="9491" width="9.25" style="56" bestFit="1" customWidth="1"/>
    <col min="9492" max="9492" width="11.125" style="56" bestFit="1" customWidth="1"/>
    <col min="9493" max="9493" width="15.625" style="56" customWidth="1"/>
    <col min="9494" max="9494" width="14" style="56" bestFit="1" customWidth="1"/>
    <col min="9495" max="9495" width="9.25" style="56" bestFit="1" customWidth="1"/>
    <col min="9496" max="9728" width="9" style="56"/>
    <col min="9729" max="9729" width="7.25" style="56" bestFit="1" customWidth="1"/>
    <col min="9730" max="9730" width="9.25" style="56" bestFit="1" customWidth="1"/>
    <col min="9731" max="9731" width="27" style="56" bestFit="1" customWidth="1"/>
    <col min="9732" max="9732" width="11.125" style="56" bestFit="1" customWidth="1"/>
    <col min="9733" max="9733" width="15.625" style="56" customWidth="1"/>
    <col min="9734" max="9734" width="14" style="56" bestFit="1" customWidth="1"/>
    <col min="9735" max="9735" width="9.25" style="56" bestFit="1" customWidth="1"/>
    <col min="9736" max="9736" width="11.125" style="56" bestFit="1" customWidth="1"/>
    <col min="9737" max="9737" width="15.625" style="56" customWidth="1"/>
    <col min="9738" max="9738" width="14" style="56" bestFit="1" customWidth="1"/>
    <col min="9739" max="9739" width="9.25" style="56" bestFit="1" customWidth="1"/>
    <col min="9740" max="9740" width="11.125" style="56" bestFit="1" customWidth="1"/>
    <col min="9741" max="9741" width="15.625" style="56" customWidth="1"/>
    <col min="9742" max="9742" width="14" style="56" bestFit="1" customWidth="1"/>
    <col min="9743" max="9743" width="9.25" style="56" bestFit="1" customWidth="1"/>
    <col min="9744" max="9744" width="11.125" style="56" bestFit="1" customWidth="1"/>
    <col min="9745" max="9745" width="15.625" style="56" customWidth="1"/>
    <col min="9746" max="9746" width="14" style="56" bestFit="1" customWidth="1"/>
    <col min="9747" max="9747" width="9.25" style="56" bestFit="1" customWidth="1"/>
    <col min="9748" max="9748" width="11.125" style="56" bestFit="1" customWidth="1"/>
    <col min="9749" max="9749" width="15.625" style="56" customWidth="1"/>
    <col min="9750" max="9750" width="14" style="56" bestFit="1" customWidth="1"/>
    <col min="9751" max="9751" width="9.25" style="56" bestFit="1" customWidth="1"/>
    <col min="9752" max="9984" width="9" style="56"/>
    <col min="9985" max="9985" width="7.25" style="56" bestFit="1" customWidth="1"/>
    <col min="9986" max="9986" width="9.25" style="56" bestFit="1" customWidth="1"/>
    <col min="9987" max="9987" width="27" style="56" bestFit="1" customWidth="1"/>
    <col min="9988" max="9988" width="11.125" style="56" bestFit="1" customWidth="1"/>
    <col min="9989" max="9989" width="15.625" style="56" customWidth="1"/>
    <col min="9990" max="9990" width="14" style="56" bestFit="1" customWidth="1"/>
    <col min="9991" max="9991" width="9.25" style="56" bestFit="1" customWidth="1"/>
    <col min="9992" max="9992" width="11.125" style="56" bestFit="1" customWidth="1"/>
    <col min="9993" max="9993" width="15.625" style="56" customWidth="1"/>
    <col min="9994" max="9994" width="14" style="56" bestFit="1" customWidth="1"/>
    <col min="9995" max="9995" width="9.25" style="56" bestFit="1" customWidth="1"/>
    <col min="9996" max="9996" width="11.125" style="56" bestFit="1" customWidth="1"/>
    <col min="9997" max="9997" width="15.625" style="56" customWidth="1"/>
    <col min="9998" max="9998" width="14" style="56" bestFit="1" customWidth="1"/>
    <col min="9999" max="9999" width="9.25" style="56" bestFit="1" customWidth="1"/>
    <col min="10000" max="10000" width="11.125" style="56" bestFit="1" customWidth="1"/>
    <col min="10001" max="10001" width="15.625" style="56" customWidth="1"/>
    <col min="10002" max="10002" width="14" style="56" bestFit="1" customWidth="1"/>
    <col min="10003" max="10003" width="9.25" style="56" bestFit="1" customWidth="1"/>
    <col min="10004" max="10004" width="11.125" style="56" bestFit="1" customWidth="1"/>
    <col min="10005" max="10005" width="15.625" style="56" customWidth="1"/>
    <col min="10006" max="10006" width="14" style="56" bestFit="1" customWidth="1"/>
    <col min="10007" max="10007" width="9.25" style="56" bestFit="1" customWidth="1"/>
    <col min="10008" max="10240" width="9" style="56"/>
    <col min="10241" max="10241" width="7.25" style="56" bestFit="1" customWidth="1"/>
    <col min="10242" max="10242" width="9.25" style="56" bestFit="1" customWidth="1"/>
    <col min="10243" max="10243" width="27" style="56" bestFit="1" customWidth="1"/>
    <col min="10244" max="10244" width="11.125" style="56" bestFit="1" customWidth="1"/>
    <col min="10245" max="10245" width="15.625" style="56" customWidth="1"/>
    <col min="10246" max="10246" width="14" style="56" bestFit="1" customWidth="1"/>
    <col min="10247" max="10247" width="9.25" style="56" bestFit="1" customWidth="1"/>
    <col min="10248" max="10248" width="11.125" style="56" bestFit="1" customWidth="1"/>
    <col min="10249" max="10249" width="15.625" style="56" customWidth="1"/>
    <col min="10250" max="10250" width="14" style="56" bestFit="1" customWidth="1"/>
    <col min="10251" max="10251" width="9.25" style="56" bestFit="1" customWidth="1"/>
    <col min="10252" max="10252" width="11.125" style="56" bestFit="1" customWidth="1"/>
    <col min="10253" max="10253" width="15.625" style="56" customWidth="1"/>
    <col min="10254" max="10254" width="14" style="56" bestFit="1" customWidth="1"/>
    <col min="10255" max="10255" width="9.25" style="56" bestFit="1" customWidth="1"/>
    <col min="10256" max="10256" width="11.125" style="56" bestFit="1" customWidth="1"/>
    <col min="10257" max="10257" width="15.625" style="56" customWidth="1"/>
    <col min="10258" max="10258" width="14" style="56" bestFit="1" customWidth="1"/>
    <col min="10259" max="10259" width="9.25" style="56" bestFit="1" customWidth="1"/>
    <col min="10260" max="10260" width="11.125" style="56" bestFit="1" customWidth="1"/>
    <col min="10261" max="10261" width="15.625" style="56" customWidth="1"/>
    <col min="10262" max="10262" width="14" style="56" bestFit="1" customWidth="1"/>
    <col min="10263" max="10263" width="9.25" style="56" bestFit="1" customWidth="1"/>
    <col min="10264" max="10496" width="9" style="56"/>
    <col min="10497" max="10497" width="7.25" style="56" bestFit="1" customWidth="1"/>
    <col min="10498" max="10498" width="9.25" style="56" bestFit="1" customWidth="1"/>
    <col min="10499" max="10499" width="27" style="56" bestFit="1" customWidth="1"/>
    <col min="10500" max="10500" width="11.125" style="56" bestFit="1" customWidth="1"/>
    <col min="10501" max="10501" width="15.625" style="56" customWidth="1"/>
    <col min="10502" max="10502" width="14" style="56" bestFit="1" customWidth="1"/>
    <col min="10503" max="10503" width="9.25" style="56" bestFit="1" customWidth="1"/>
    <col min="10504" max="10504" width="11.125" style="56" bestFit="1" customWidth="1"/>
    <col min="10505" max="10505" width="15.625" style="56" customWidth="1"/>
    <col min="10506" max="10506" width="14" style="56" bestFit="1" customWidth="1"/>
    <col min="10507" max="10507" width="9.25" style="56" bestFit="1" customWidth="1"/>
    <col min="10508" max="10508" width="11.125" style="56" bestFit="1" customWidth="1"/>
    <col min="10509" max="10509" width="15.625" style="56" customWidth="1"/>
    <col min="10510" max="10510" width="14" style="56" bestFit="1" customWidth="1"/>
    <col min="10511" max="10511" width="9.25" style="56" bestFit="1" customWidth="1"/>
    <col min="10512" max="10512" width="11.125" style="56" bestFit="1" customWidth="1"/>
    <col min="10513" max="10513" width="15.625" style="56" customWidth="1"/>
    <col min="10514" max="10514" width="14" style="56" bestFit="1" customWidth="1"/>
    <col min="10515" max="10515" width="9.25" style="56" bestFit="1" customWidth="1"/>
    <col min="10516" max="10516" width="11.125" style="56" bestFit="1" customWidth="1"/>
    <col min="10517" max="10517" width="15.625" style="56" customWidth="1"/>
    <col min="10518" max="10518" width="14" style="56" bestFit="1" customWidth="1"/>
    <col min="10519" max="10519" width="9.25" style="56" bestFit="1" customWidth="1"/>
    <col min="10520" max="10752" width="9" style="56"/>
    <col min="10753" max="10753" width="7.25" style="56" bestFit="1" customWidth="1"/>
    <col min="10754" max="10754" width="9.25" style="56" bestFit="1" customWidth="1"/>
    <col min="10755" max="10755" width="27" style="56" bestFit="1" customWidth="1"/>
    <col min="10756" max="10756" width="11.125" style="56" bestFit="1" customWidth="1"/>
    <col min="10757" max="10757" width="15.625" style="56" customWidth="1"/>
    <col min="10758" max="10758" width="14" style="56" bestFit="1" customWidth="1"/>
    <col min="10759" max="10759" width="9.25" style="56" bestFit="1" customWidth="1"/>
    <col min="10760" max="10760" width="11.125" style="56" bestFit="1" customWidth="1"/>
    <col min="10761" max="10761" width="15.625" style="56" customWidth="1"/>
    <col min="10762" max="10762" width="14" style="56" bestFit="1" customWidth="1"/>
    <col min="10763" max="10763" width="9.25" style="56" bestFit="1" customWidth="1"/>
    <col min="10764" max="10764" width="11.125" style="56" bestFit="1" customWidth="1"/>
    <col min="10765" max="10765" width="15.625" style="56" customWidth="1"/>
    <col min="10766" max="10766" width="14" style="56" bestFit="1" customWidth="1"/>
    <col min="10767" max="10767" width="9.25" style="56" bestFit="1" customWidth="1"/>
    <col min="10768" max="10768" width="11.125" style="56" bestFit="1" customWidth="1"/>
    <col min="10769" max="10769" width="15.625" style="56" customWidth="1"/>
    <col min="10770" max="10770" width="14" style="56" bestFit="1" customWidth="1"/>
    <col min="10771" max="10771" width="9.25" style="56" bestFit="1" customWidth="1"/>
    <col min="10772" max="10772" width="11.125" style="56" bestFit="1" customWidth="1"/>
    <col min="10773" max="10773" width="15.625" style="56" customWidth="1"/>
    <col min="10774" max="10774" width="14" style="56" bestFit="1" customWidth="1"/>
    <col min="10775" max="10775" width="9.25" style="56" bestFit="1" customWidth="1"/>
    <col min="10776" max="11008" width="9" style="56"/>
    <col min="11009" max="11009" width="7.25" style="56" bestFit="1" customWidth="1"/>
    <col min="11010" max="11010" width="9.25" style="56" bestFit="1" customWidth="1"/>
    <col min="11011" max="11011" width="27" style="56" bestFit="1" customWidth="1"/>
    <col min="11012" max="11012" width="11.125" style="56" bestFit="1" customWidth="1"/>
    <col min="11013" max="11013" width="15.625" style="56" customWidth="1"/>
    <col min="11014" max="11014" width="14" style="56" bestFit="1" customWidth="1"/>
    <col min="11015" max="11015" width="9.25" style="56" bestFit="1" customWidth="1"/>
    <col min="11016" max="11016" width="11.125" style="56" bestFit="1" customWidth="1"/>
    <col min="11017" max="11017" width="15.625" style="56" customWidth="1"/>
    <col min="11018" max="11018" width="14" style="56" bestFit="1" customWidth="1"/>
    <col min="11019" max="11019" width="9.25" style="56" bestFit="1" customWidth="1"/>
    <col min="11020" max="11020" width="11.125" style="56" bestFit="1" customWidth="1"/>
    <col min="11021" max="11021" width="15.625" style="56" customWidth="1"/>
    <col min="11022" max="11022" width="14" style="56" bestFit="1" customWidth="1"/>
    <col min="11023" max="11023" width="9.25" style="56" bestFit="1" customWidth="1"/>
    <col min="11024" max="11024" width="11.125" style="56" bestFit="1" customWidth="1"/>
    <col min="11025" max="11025" width="15.625" style="56" customWidth="1"/>
    <col min="11026" max="11026" width="14" style="56" bestFit="1" customWidth="1"/>
    <col min="11027" max="11027" width="9.25" style="56" bestFit="1" customWidth="1"/>
    <col min="11028" max="11028" width="11.125" style="56" bestFit="1" customWidth="1"/>
    <col min="11029" max="11029" width="15.625" style="56" customWidth="1"/>
    <col min="11030" max="11030" width="14" style="56" bestFit="1" customWidth="1"/>
    <col min="11031" max="11031" width="9.25" style="56" bestFit="1" customWidth="1"/>
    <col min="11032" max="11264" width="9" style="56"/>
    <col min="11265" max="11265" width="7.25" style="56" bestFit="1" customWidth="1"/>
    <col min="11266" max="11266" width="9.25" style="56" bestFit="1" customWidth="1"/>
    <col min="11267" max="11267" width="27" style="56" bestFit="1" customWidth="1"/>
    <col min="11268" max="11268" width="11.125" style="56" bestFit="1" customWidth="1"/>
    <col min="11269" max="11269" width="15.625" style="56" customWidth="1"/>
    <col min="11270" max="11270" width="14" style="56" bestFit="1" customWidth="1"/>
    <col min="11271" max="11271" width="9.25" style="56" bestFit="1" customWidth="1"/>
    <col min="11272" max="11272" width="11.125" style="56" bestFit="1" customWidth="1"/>
    <col min="11273" max="11273" width="15.625" style="56" customWidth="1"/>
    <col min="11274" max="11274" width="14" style="56" bestFit="1" customWidth="1"/>
    <col min="11275" max="11275" width="9.25" style="56" bestFit="1" customWidth="1"/>
    <col min="11276" max="11276" width="11.125" style="56" bestFit="1" customWidth="1"/>
    <col min="11277" max="11277" width="15.625" style="56" customWidth="1"/>
    <col min="11278" max="11278" width="14" style="56" bestFit="1" customWidth="1"/>
    <col min="11279" max="11279" width="9.25" style="56" bestFit="1" customWidth="1"/>
    <col min="11280" max="11280" width="11.125" style="56" bestFit="1" customWidth="1"/>
    <col min="11281" max="11281" width="15.625" style="56" customWidth="1"/>
    <col min="11282" max="11282" width="14" style="56" bestFit="1" customWidth="1"/>
    <col min="11283" max="11283" width="9.25" style="56" bestFit="1" customWidth="1"/>
    <col min="11284" max="11284" width="11.125" style="56" bestFit="1" customWidth="1"/>
    <col min="11285" max="11285" width="15.625" style="56" customWidth="1"/>
    <col min="11286" max="11286" width="14" style="56" bestFit="1" customWidth="1"/>
    <col min="11287" max="11287" width="9.25" style="56" bestFit="1" customWidth="1"/>
    <col min="11288" max="11520" width="9" style="56"/>
    <col min="11521" max="11521" width="7.25" style="56" bestFit="1" customWidth="1"/>
    <col min="11522" max="11522" width="9.25" style="56" bestFit="1" customWidth="1"/>
    <col min="11523" max="11523" width="27" style="56" bestFit="1" customWidth="1"/>
    <col min="11524" max="11524" width="11.125" style="56" bestFit="1" customWidth="1"/>
    <col min="11525" max="11525" width="15.625" style="56" customWidth="1"/>
    <col min="11526" max="11526" width="14" style="56" bestFit="1" customWidth="1"/>
    <col min="11527" max="11527" width="9.25" style="56" bestFit="1" customWidth="1"/>
    <col min="11528" max="11528" width="11.125" style="56" bestFit="1" customWidth="1"/>
    <col min="11529" max="11529" width="15.625" style="56" customWidth="1"/>
    <col min="11530" max="11530" width="14" style="56" bestFit="1" customWidth="1"/>
    <col min="11531" max="11531" width="9.25" style="56" bestFit="1" customWidth="1"/>
    <col min="11532" max="11532" width="11.125" style="56" bestFit="1" customWidth="1"/>
    <col min="11533" max="11533" width="15.625" style="56" customWidth="1"/>
    <col min="11534" max="11534" width="14" style="56" bestFit="1" customWidth="1"/>
    <col min="11535" max="11535" width="9.25" style="56" bestFit="1" customWidth="1"/>
    <col min="11536" max="11536" width="11.125" style="56" bestFit="1" customWidth="1"/>
    <col min="11537" max="11537" width="15.625" style="56" customWidth="1"/>
    <col min="11538" max="11538" width="14" style="56" bestFit="1" customWidth="1"/>
    <col min="11539" max="11539" width="9.25" style="56" bestFit="1" customWidth="1"/>
    <col min="11540" max="11540" width="11.125" style="56" bestFit="1" customWidth="1"/>
    <col min="11541" max="11541" width="15.625" style="56" customWidth="1"/>
    <col min="11542" max="11542" width="14" style="56" bestFit="1" customWidth="1"/>
    <col min="11543" max="11543" width="9.25" style="56" bestFit="1" customWidth="1"/>
    <col min="11544" max="11776" width="9" style="56"/>
    <col min="11777" max="11777" width="7.25" style="56" bestFit="1" customWidth="1"/>
    <col min="11778" max="11778" width="9.25" style="56" bestFit="1" customWidth="1"/>
    <col min="11779" max="11779" width="27" style="56" bestFit="1" customWidth="1"/>
    <col min="11780" max="11780" width="11.125" style="56" bestFit="1" customWidth="1"/>
    <col min="11781" max="11781" width="15.625" style="56" customWidth="1"/>
    <col min="11782" max="11782" width="14" style="56" bestFit="1" customWidth="1"/>
    <col min="11783" max="11783" width="9.25" style="56" bestFit="1" customWidth="1"/>
    <col min="11784" max="11784" width="11.125" style="56" bestFit="1" customWidth="1"/>
    <col min="11785" max="11785" width="15.625" style="56" customWidth="1"/>
    <col min="11786" max="11786" width="14" style="56" bestFit="1" customWidth="1"/>
    <col min="11787" max="11787" width="9.25" style="56" bestFit="1" customWidth="1"/>
    <col min="11788" max="11788" width="11.125" style="56" bestFit="1" customWidth="1"/>
    <col min="11789" max="11789" width="15.625" style="56" customWidth="1"/>
    <col min="11790" max="11790" width="14" style="56" bestFit="1" customWidth="1"/>
    <col min="11791" max="11791" width="9.25" style="56" bestFit="1" customWidth="1"/>
    <col min="11792" max="11792" width="11.125" style="56" bestFit="1" customWidth="1"/>
    <col min="11793" max="11793" width="15.625" style="56" customWidth="1"/>
    <col min="11794" max="11794" width="14" style="56" bestFit="1" customWidth="1"/>
    <col min="11795" max="11795" width="9.25" style="56" bestFit="1" customWidth="1"/>
    <col min="11796" max="11796" width="11.125" style="56" bestFit="1" customWidth="1"/>
    <col min="11797" max="11797" width="15.625" style="56" customWidth="1"/>
    <col min="11798" max="11798" width="14" style="56" bestFit="1" customWidth="1"/>
    <col min="11799" max="11799" width="9.25" style="56" bestFit="1" customWidth="1"/>
    <col min="11800" max="12032" width="9" style="56"/>
    <col min="12033" max="12033" width="7.25" style="56" bestFit="1" customWidth="1"/>
    <col min="12034" max="12034" width="9.25" style="56" bestFit="1" customWidth="1"/>
    <col min="12035" max="12035" width="27" style="56" bestFit="1" customWidth="1"/>
    <col min="12036" max="12036" width="11.125" style="56" bestFit="1" customWidth="1"/>
    <col min="12037" max="12037" width="15.625" style="56" customWidth="1"/>
    <col min="12038" max="12038" width="14" style="56" bestFit="1" customWidth="1"/>
    <col min="12039" max="12039" width="9.25" style="56" bestFit="1" customWidth="1"/>
    <col min="12040" max="12040" width="11.125" style="56" bestFit="1" customWidth="1"/>
    <col min="12041" max="12041" width="15.625" style="56" customWidth="1"/>
    <col min="12042" max="12042" width="14" style="56" bestFit="1" customWidth="1"/>
    <col min="12043" max="12043" width="9.25" style="56" bestFit="1" customWidth="1"/>
    <col min="12044" max="12044" width="11.125" style="56" bestFit="1" customWidth="1"/>
    <col min="12045" max="12045" width="15.625" style="56" customWidth="1"/>
    <col min="12046" max="12046" width="14" style="56" bestFit="1" customWidth="1"/>
    <col min="12047" max="12047" width="9.25" style="56" bestFit="1" customWidth="1"/>
    <col min="12048" max="12048" width="11.125" style="56" bestFit="1" customWidth="1"/>
    <col min="12049" max="12049" width="15.625" style="56" customWidth="1"/>
    <col min="12050" max="12050" width="14" style="56" bestFit="1" customWidth="1"/>
    <col min="12051" max="12051" width="9.25" style="56" bestFit="1" customWidth="1"/>
    <col min="12052" max="12052" width="11.125" style="56" bestFit="1" customWidth="1"/>
    <col min="12053" max="12053" width="15.625" style="56" customWidth="1"/>
    <col min="12054" max="12054" width="14" style="56" bestFit="1" customWidth="1"/>
    <col min="12055" max="12055" width="9.25" style="56" bestFit="1" customWidth="1"/>
    <col min="12056" max="12288" width="9" style="56"/>
    <col min="12289" max="12289" width="7.25" style="56" bestFit="1" customWidth="1"/>
    <col min="12290" max="12290" width="9.25" style="56" bestFit="1" customWidth="1"/>
    <col min="12291" max="12291" width="27" style="56" bestFit="1" customWidth="1"/>
    <col min="12292" max="12292" width="11.125" style="56" bestFit="1" customWidth="1"/>
    <col min="12293" max="12293" width="15.625" style="56" customWidth="1"/>
    <col min="12294" max="12294" width="14" style="56" bestFit="1" customWidth="1"/>
    <col min="12295" max="12295" width="9.25" style="56" bestFit="1" customWidth="1"/>
    <col min="12296" max="12296" width="11.125" style="56" bestFit="1" customWidth="1"/>
    <col min="12297" max="12297" width="15.625" style="56" customWidth="1"/>
    <col min="12298" max="12298" width="14" style="56" bestFit="1" customWidth="1"/>
    <col min="12299" max="12299" width="9.25" style="56" bestFit="1" customWidth="1"/>
    <col min="12300" max="12300" width="11.125" style="56" bestFit="1" customWidth="1"/>
    <col min="12301" max="12301" width="15.625" style="56" customWidth="1"/>
    <col min="12302" max="12302" width="14" style="56" bestFit="1" customWidth="1"/>
    <col min="12303" max="12303" width="9.25" style="56" bestFit="1" customWidth="1"/>
    <col min="12304" max="12304" width="11.125" style="56" bestFit="1" customWidth="1"/>
    <col min="12305" max="12305" width="15.625" style="56" customWidth="1"/>
    <col min="12306" max="12306" width="14" style="56" bestFit="1" customWidth="1"/>
    <col min="12307" max="12307" width="9.25" style="56" bestFit="1" customWidth="1"/>
    <col min="12308" max="12308" width="11.125" style="56" bestFit="1" customWidth="1"/>
    <col min="12309" max="12309" width="15.625" style="56" customWidth="1"/>
    <col min="12310" max="12310" width="14" style="56" bestFit="1" customWidth="1"/>
    <col min="12311" max="12311" width="9.25" style="56" bestFit="1" customWidth="1"/>
    <col min="12312" max="12544" width="9" style="56"/>
    <col min="12545" max="12545" width="7.25" style="56" bestFit="1" customWidth="1"/>
    <col min="12546" max="12546" width="9.25" style="56" bestFit="1" customWidth="1"/>
    <col min="12547" max="12547" width="27" style="56" bestFit="1" customWidth="1"/>
    <col min="12548" max="12548" width="11.125" style="56" bestFit="1" customWidth="1"/>
    <col min="12549" max="12549" width="15.625" style="56" customWidth="1"/>
    <col min="12550" max="12550" width="14" style="56" bestFit="1" customWidth="1"/>
    <col min="12551" max="12551" width="9.25" style="56" bestFit="1" customWidth="1"/>
    <col min="12552" max="12552" width="11.125" style="56" bestFit="1" customWidth="1"/>
    <col min="12553" max="12553" width="15.625" style="56" customWidth="1"/>
    <col min="12554" max="12554" width="14" style="56" bestFit="1" customWidth="1"/>
    <col min="12555" max="12555" width="9.25" style="56" bestFit="1" customWidth="1"/>
    <col min="12556" max="12556" width="11.125" style="56" bestFit="1" customWidth="1"/>
    <col min="12557" max="12557" width="15.625" style="56" customWidth="1"/>
    <col min="12558" max="12558" width="14" style="56" bestFit="1" customWidth="1"/>
    <col min="12559" max="12559" width="9.25" style="56" bestFit="1" customWidth="1"/>
    <col min="12560" max="12560" width="11.125" style="56" bestFit="1" customWidth="1"/>
    <col min="12561" max="12561" width="15.625" style="56" customWidth="1"/>
    <col min="12562" max="12562" width="14" style="56" bestFit="1" customWidth="1"/>
    <col min="12563" max="12563" width="9.25" style="56" bestFit="1" customWidth="1"/>
    <col min="12564" max="12564" width="11.125" style="56" bestFit="1" customWidth="1"/>
    <col min="12565" max="12565" width="15.625" style="56" customWidth="1"/>
    <col min="12566" max="12566" width="14" style="56" bestFit="1" customWidth="1"/>
    <col min="12567" max="12567" width="9.25" style="56" bestFit="1" customWidth="1"/>
    <col min="12568" max="12800" width="9" style="56"/>
    <col min="12801" max="12801" width="7.25" style="56" bestFit="1" customWidth="1"/>
    <col min="12802" max="12802" width="9.25" style="56" bestFit="1" customWidth="1"/>
    <col min="12803" max="12803" width="27" style="56" bestFit="1" customWidth="1"/>
    <col min="12804" max="12804" width="11.125" style="56" bestFit="1" customWidth="1"/>
    <col min="12805" max="12805" width="15.625" style="56" customWidth="1"/>
    <col min="12806" max="12806" width="14" style="56" bestFit="1" customWidth="1"/>
    <col min="12807" max="12807" width="9.25" style="56" bestFit="1" customWidth="1"/>
    <col min="12808" max="12808" width="11.125" style="56" bestFit="1" customWidth="1"/>
    <col min="12809" max="12809" width="15.625" style="56" customWidth="1"/>
    <col min="12810" max="12810" width="14" style="56" bestFit="1" customWidth="1"/>
    <col min="12811" max="12811" width="9.25" style="56" bestFit="1" customWidth="1"/>
    <col min="12812" max="12812" width="11.125" style="56" bestFit="1" customWidth="1"/>
    <col min="12813" max="12813" width="15.625" style="56" customWidth="1"/>
    <col min="12814" max="12814" width="14" style="56" bestFit="1" customWidth="1"/>
    <col min="12815" max="12815" width="9.25" style="56" bestFit="1" customWidth="1"/>
    <col min="12816" max="12816" width="11.125" style="56" bestFit="1" customWidth="1"/>
    <col min="12817" max="12817" width="15.625" style="56" customWidth="1"/>
    <col min="12818" max="12818" width="14" style="56" bestFit="1" customWidth="1"/>
    <col min="12819" max="12819" width="9.25" style="56" bestFit="1" customWidth="1"/>
    <col min="12820" max="12820" width="11.125" style="56" bestFit="1" customWidth="1"/>
    <col min="12821" max="12821" width="15.625" style="56" customWidth="1"/>
    <col min="12822" max="12822" width="14" style="56" bestFit="1" customWidth="1"/>
    <col min="12823" max="12823" width="9.25" style="56" bestFit="1" customWidth="1"/>
    <col min="12824" max="13056" width="9" style="56"/>
    <col min="13057" max="13057" width="7.25" style="56" bestFit="1" customWidth="1"/>
    <col min="13058" max="13058" width="9.25" style="56" bestFit="1" customWidth="1"/>
    <col min="13059" max="13059" width="27" style="56" bestFit="1" customWidth="1"/>
    <col min="13060" max="13060" width="11.125" style="56" bestFit="1" customWidth="1"/>
    <col min="13061" max="13061" width="15.625" style="56" customWidth="1"/>
    <col min="13062" max="13062" width="14" style="56" bestFit="1" customWidth="1"/>
    <col min="13063" max="13063" width="9.25" style="56" bestFit="1" customWidth="1"/>
    <col min="13064" max="13064" width="11.125" style="56" bestFit="1" customWidth="1"/>
    <col min="13065" max="13065" width="15.625" style="56" customWidth="1"/>
    <col min="13066" max="13066" width="14" style="56" bestFit="1" customWidth="1"/>
    <col min="13067" max="13067" width="9.25" style="56" bestFit="1" customWidth="1"/>
    <col min="13068" max="13068" width="11.125" style="56" bestFit="1" customWidth="1"/>
    <col min="13069" max="13069" width="15.625" style="56" customWidth="1"/>
    <col min="13070" max="13070" width="14" style="56" bestFit="1" customWidth="1"/>
    <col min="13071" max="13071" width="9.25" style="56" bestFit="1" customWidth="1"/>
    <col min="13072" max="13072" width="11.125" style="56" bestFit="1" customWidth="1"/>
    <col min="13073" max="13073" width="15.625" style="56" customWidth="1"/>
    <col min="13074" max="13074" width="14" style="56" bestFit="1" customWidth="1"/>
    <col min="13075" max="13075" width="9.25" style="56" bestFit="1" customWidth="1"/>
    <col min="13076" max="13076" width="11.125" style="56" bestFit="1" customWidth="1"/>
    <col min="13077" max="13077" width="15.625" style="56" customWidth="1"/>
    <col min="13078" max="13078" width="14" style="56" bestFit="1" customWidth="1"/>
    <col min="13079" max="13079" width="9.25" style="56" bestFit="1" customWidth="1"/>
    <col min="13080" max="13312" width="9" style="56"/>
    <col min="13313" max="13313" width="7.25" style="56" bestFit="1" customWidth="1"/>
    <col min="13314" max="13314" width="9.25" style="56" bestFit="1" customWidth="1"/>
    <col min="13315" max="13315" width="27" style="56" bestFit="1" customWidth="1"/>
    <col min="13316" max="13316" width="11.125" style="56" bestFit="1" customWidth="1"/>
    <col min="13317" max="13317" width="15.625" style="56" customWidth="1"/>
    <col min="13318" max="13318" width="14" style="56" bestFit="1" customWidth="1"/>
    <col min="13319" max="13319" width="9.25" style="56" bestFit="1" customWidth="1"/>
    <col min="13320" max="13320" width="11.125" style="56" bestFit="1" customWidth="1"/>
    <col min="13321" max="13321" width="15.625" style="56" customWidth="1"/>
    <col min="13322" max="13322" width="14" style="56" bestFit="1" customWidth="1"/>
    <col min="13323" max="13323" width="9.25" style="56" bestFit="1" customWidth="1"/>
    <col min="13324" max="13324" width="11.125" style="56" bestFit="1" customWidth="1"/>
    <col min="13325" max="13325" width="15.625" style="56" customWidth="1"/>
    <col min="13326" max="13326" width="14" style="56" bestFit="1" customWidth="1"/>
    <col min="13327" max="13327" width="9.25" style="56" bestFit="1" customWidth="1"/>
    <col min="13328" max="13328" width="11.125" style="56" bestFit="1" customWidth="1"/>
    <col min="13329" max="13329" width="15.625" style="56" customWidth="1"/>
    <col min="13330" max="13330" width="14" style="56" bestFit="1" customWidth="1"/>
    <col min="13331" max="13331" width="9.25" style="56" bestFit="1" customWidth="1"/>
    <col min="13332" max="13332" width="11.125" style="56" bestFit="1" customWidth="1"/>
    <col min="13333" max="13333" width="15.625" style="56" customWidth="1"/>
    <col min="13334" max="13334" width="14" style="56" bestFit="1" customWidth="1"/>
    <col min="13335" max="13335" width="9.25" style="56" bestFit="1" customWidth="1"/>
    <col min="13336" max="13568" width="9" style="56"/>
    <col min="13569" max="13569" width="7.25" style="56" bestFit="1" customWidth="1"/>
    <col min="13570" max="13570" width="9.25" style="56" bestFit="1" customWidth="1"/>
    <col min="13571" max="13571" width="27" style="56" bestFit="1" customWidth="1"/>
    <col min="13572" max="13572" width="11.125" style="56" bestFit="1" customWidth="1"/>
    <col min="13573" max="13573" width="15.625" style="56" customWidth="1"/>
    <col min="13574" max="13574" width="14" style="56" bestFit="1" customWidth="1"/>
    <col min="13575" max="13575" width="9.25" style="56" bestFit="1" customWidth="1"/>
    <col min="13576" max="13576" width="11.125" style="56" bestFit="1" customWidth="1"/>
    <col min="13577" max="13577" width="15.625" style="56" customWidth="1"/>
    <col min="13578" max="13578" width="14" style="56" bestFit="1" customWidth="1"/>
    <col min="13579" max="13579" width="9.25" style="56" bestFit="1" customWidth="1"/>
    <col min="13580" max="13580" width="11.125" style="56" bestFit="1" customWidth="1"/>
    <col min="13581" max="13581" width="15.625" style="56" customWidth="1"/>
    <col min="13582" max="13582" width="14" style="56" bestFit="1" customWidth="1"/>
    <col min="13583" max="13583" width="9.25" style="56" bestFit="1" customWidth="1"/>
    <col min="13584" max="13584" width="11.125" style="56" bestFit="1" customWidth="1"/>
    <col min="13585" max="13585" width="15.625" style="56" customWidth="1"/>
    <col min="13586" max="13586" width="14" style="56" bestFit="1" customWidth="1"/>
    <col min="13587" max="13587" width="9.25" style="56" bestFit="1" customWidth="1"/>
    <col min="13588" max="13588" width="11.125" style="56" bestFit="1" customWidth="1"/>
    <col min="13589" max="13589" width="15.625" style="56" customWidth="1"/>
    <col min="13590" max="13590" width="14" style="56" bestFit="1" customWidth="1"/>
    <col min="13591" max="13591" width="9.25" style="56" bestFit="1" customWidth="1"/>
    <col min="13592" max="13824" width="9" style="56"/>
    <col min="13825" max="13825" width="7.25" style="56" bestFit="1" customWidth="1"/>
    <col min="13826" max="13826" width="9.25" style="56" bestFit="1" customWidth="1"/>
    <col min="13827" max="13827" width="27" style="56" bestFit="1" customWidth="1"/>
    <col min="13828" max="13828" width="11.125" style="56" bestFit="1" customWidth="1"/>
    <col min="13829" max="13829" width="15.625" style="56" customWidth="1"/>
    <col min="13830" max="13830" width="14" style="56" bestFit="1" customWidth="1"/>
    <col min="13831" max="13831" width="9.25" style="56" bestFit="1" customWidth="1"/>
    <col min="13832" max="13832" width="11.125" style="56" bestFit="1" customWidth="1"/>
    <col min="13833" max="13833" width="15.625" style="56" customWidth="1"/>
    <col min="13834" max="13834" width="14" style="56" bestFit="1" customWidth="1"/>
    <col min="13835" max="13835" width="9.25" style="56" bestFit="1" customWidth="1"/>
    <col min="13836" max="13836" width="11.125" style="56" bestFit="1" customWidth="1"/>
    <col min="13837" max="13837" width="15.625" style="56" customWidth="1"/>
    <col min="13838" max="13838" width="14" style="56" bestFit="1" customWidth="1"/>
    <col min="13839" max="13839" width="9.25" style="56" bestFit="1" customWidth="1"/>
    <col min="13840" max="13840" width="11.125" style="56" bestFit="1" customWidth="1"/>
    <col min="13841" max="13841" width="15.625" style="56" customWidth="1"/>
    <col min="13842" max="13842" width="14" style="56" bestFit="1" customWidth="1"/>
    <col min="13843" max="13843" width="9.25" style="56" bestFit="1" customWidth="1"/>
    <col min="13844" max="13844" width="11.125" style="56" bestFit="1" customWidth="1"/>
    <col min="13845" max="13845" width="15.625" style="56" customWidth="1"/>
    <col min="13846" max="13846" width="14" style="56" bestFit="1" customWidth="1"/>
    <col min="13847" max="13847" width="9.25" style="56" bestFit="1" customWidth="1"/>
    <col min="13848" max="14080" width="9" style="56"/>
    <col min="14081" max="14081" width="7.25" style="56" bestFit="1" customWidth="1"/>
    <col min="14082" max="14082" width="9.25" style="56" bestFit="1" customWidth="1"/>
    <col min="14083" max="14083" width="27" style="56" bestFit="1" customWidth="1"/>
    <col min="14084" max="14084" width="11.125" style="56" bestFit="1" customWidth="1"/>
    <col min="14085" max="14085" width="15.625" style="56" customWidth="1"/>
    <col min="14086" max="14086" width="14" style="56" bestFit="1" customWidth="1"/>
    <col min="14087" max="14087" width="9.25" style="56" bestFit="1" customWidth="1"/>
    <col min="14088" max="14088" width="11.125" style="56" bestFit="1" customWidth="1"/>
    <col min="14089" max="14089" width="15.625" style="56" customWidth="1"/>
    <col min="14090" max="14090" width="14" style="56" bestFit="1" customWidth="1"/>
    <col min="14091" max="14091" width="9.25" style="56" bestFit="1" customWidth="1"/>
    <col min="14092" max="14092" width="11.125" style="56" bestFit="1" customWidth="1"/>
    <col min="14093" max="14093" width="15.625" style="56" customWidth="1"/>
    <col min="14094" max="14094" width="14" style="56" bestFit="1" customWidth="1"/>
    <col min="14095" max="14095" width="9.25" style="56" bestFit="1" customWidth="1"/>
    <col min="14096" max="14096" width="11.125" style="56" bestFit="1" customWidth="1"/>
    <col min="14097" max="14097" width="15.625" style="56" customWidth="1"/>
    <col min="14098" max="14098" width="14" style="56" bestFit="1" customWidth="1"/>
    <col min="14099" max="14099" width="9.25" style="56" bestFit="1" customWidth="1"/>
    <col min="14100" max="14100" width="11.125" style="56" bestFit="1" customWidth="1"/>
    <col min="14101" max="14101" width="15.625" style="56" customWidth="1"/>
    <col min="14102" max="14102" width="14" style="56" bestFit="1" customWidth="1"/>
    <col min="14103" max="14103" width="9.25" style="56" bestFit="1" customWidth="1"/>
    <col min="14104" max="14336" width="9" style="56"/>
    <col min="14337" max="14337" width="7.25" style="56" bestFit="1" customWidth="1"/>
    <col min="14338" max="14338" width="9.25" style="56" bestFit="1" customWidth="1"/>
    <col min="14339" max="14339" width="27" style="56" bestFit="1" customWidth="1"/>
    <col min="14340" max="14340" width="11.125" style="56" bestFit="1" customWidth="1"/>
    <col min="14341" max="14341" width="15.625" style="56" customWidth="1"/>
    <col min="14342" max="14342" width="14" style="56" bestFit="1" customWidth="1"/>
    <col min="14343" max="14343" width="9.25" style="56" bestFit="1" customWidth="1"/>
    <col min="14344" max="14344" width="11.125" style="56" bestFit="1" customWidth="1"/>
    <col min="14345" max="14345" width="15.625" style="56" customWidth="1"/>
    <col min="14346" max="14346" width="14" style="56" bestFit="1" customWidth="1"/>
    <col min="14347" max="14347" width="9.25" style="56" bestFit="1" customWidth="1"/>
    <col min="14348" max="14348" width="11.125" style="56" bestFit="1" customWidth="1"/>
    <col min="14349" max="14349" width="15.625" style="56" customWidth="1"/>
    <col min="14350" max="14350" width="14" style="56" bestFit="1" customWidth="1"/>
    <col min="14351" max="14351" width="9.25" style="56" bestFit="1" customWidth="1"/>
    <col min="14352" max="14352" width="11.125" style="56" bestFit="1" customWidth="1"/>
    <col min="14353" max="14353" width="15.625" style="56" customWidth="1"/>
    <col min="14354" max="14354" width="14" style="56" bestFit="1" customWidth="1"/>
    <col min="14355" max="14355" width="9.25" style="56" bestFit="1" customWidth="1"/>
    <col min="14356" max="14356" width="11.125" style="56" bestFit="1" customWidth="1"/>
    <col min="14357" max="14357" width="15.625" style="56" customWidth="1"/>
    <col min="14358" max="14358" width="14" style="56" bestFit="1" customWidth="1"/>
    <col min="14359" max="14359" width="9.25" style="56" bestFit="1" customWidth="1"/>
    <col min="14360" max="14592" width="9" style="56"/>
    <col min="14593" max="14593" width="7.25" style="56" bestFit="1" customWidth="1"/>
    <col min="14594" max="14594" width="9.25" style="56" bestFit="1" customWidth="1"/>
    <col min="14595" max="14595" width="27" style="56" bestFit="1" customWidth="1"/>
    <col min="14596" max="14596" width="11.125" style="56" bestFit="1" customWidth="1"/>
    <col min="14597" max="14597" width="15.625" style="56" customWidth="1"/>
    <col min="14598" max="14598" width="14" style="56" bestFit="1" customWidth="1"/>
    <col min="14599" max="14599" width="9.25" style="56" bestFit="1" customWidth="1"/>
    <col min="14600" max="14600" width="11.125" style="56" bestFit="1" customWidth="1"/>
    <col min="14601" max="14601" width="15.625" style="56" customWidth="1"/>
    <col min="14602" max="14602" width="14" style="56" bestFit="1" customWidth="1"/>
    <col min="14603" max="14603" width="9.25" style="56" bestFit="1" customWidth="1"/>
    <col min="14604" max="14604" width="11.125" style="56" bestFit="1" customWidth="1"/>
    <col min="14605" max="14605" width="15.625" style="56" customWidth="1"/>
    <col min="14606" max="14606" width="14" style="56" bestFit="1" customWidth="1"/>
    <col min="14607" max="14607" width="9.25" style="56" bestFit="1" customWidth="1"/>
    <col min="14608" max="14608" width="11.125" style="56" bestFit="1" customWidth="1"/>
    <col min="14609" max="14609" width="15.625" style="56" customWidth="1"/>
    <col min="14610" max="14610" width="14" style="56" bestFit="1" customWidth="1"/>
    <col min="14611" max="14611" width="9.25" style="56" bestFit="1" customWidth="1"/>
    <col min="14612" max="14612" width="11.125" style="56" bestFit="1" customWidth="1"/>
    <col min="14613" max="14613" width="15.625" style="56" customWidth="1"/>
    <col min="14614" max="14614" width="14" style="56" bestFit="1" customWidth="1"/>
    <col min="14615" max="14615" width="9.25" style="56" bestFit="1" customWidth="1"/>
    <col min="14616" max="14848" width="9" style="56"/>
    <col min="14849" max="14849" width="7.25" style="56" bestFit="1" customWidth="1"/>
    <col min="14850" max="14850" width="9.25" style="56" bestFit="1" customWidth="1"/>
    <col min="14851" max="14851" width="27" style="56" bestFit="1" customWidth="1"/>
    <col min="14852" max="14852" width="11.125" style="56" bestFit="1" customWidth="1"/>
    <col min="14853" max="14853" width="15.625" style="56" customWidth="1"/>
    <col min="14854" max="14854" width="14" style="56" bestFit="1" customWidth="1"/>
    <col min="14855" max="14855" width="9.25" style="56" bestFit="1" customWidth="1"/>
    <col min="14856" max="14856" width="11.125" style="56" bestFit="1" customWidth="1"/>
    <col min="14857" max="14857" width="15.625" style="56" customWidth="1"/>
    <col min="14858" max="14858" width="14" style="56" bestFit="1" customWidth="1"/>
    <col min="14859" max="14859" width="9.25" style="56" bestFit="1" customWidth="1"/>
    <col min="14860" max="14860" width="11.125" style="56" bestFit="1" customWidth="1"/>
    <col min="14861" max="14861" width="15.625" style="56" customWidth="1"/>
    <col min="14862" max="14862" width="14" style="56" bestFit="1" customWidth="1"/>
    <col min="14863" max="14863" width="9.25" style="56" bestFit="1" customWidth="1"/>
    <col min="14864" max="14864" width="11.125" style="56" bestFit="1" customWidth="1"/>
    <col min="14865" max="14865" width="15.625" style="56" customWidth="1"/>
    <col min="14866" max="14866" width="14" style="56" bestFit="1" customWidth="1"/>
    <col min="14867" max="14867" width="9.25" style="56" bestFit="1" customWidth="1"/>
    <col min="14868" max="14868" width="11.125" style="56" bestFit="1" customWidth="1"/>
    <col min="14869" max="14869" width="15.625" style="56" customWidth="1"/>
    <col min="14870" max="14870" width="14" style="56" bestFit="1" customWidth="1"/>
    <col min="14871" max="14871" width="9.25" style="56" bestFit="1" customWidth="1"/>
    <col min="14872" max="15104" width="9" style="56"/>
    <col min="15105" max="15105" width="7.25" style="56" bestFit="1" customWidth="1"/>
    <col min="15106" max="15106" width="9.25" style="56" bestFit="1" customWidth="1"/>
    <col min="15107" max="15107" width="27" style="56" bestFit="1" customWidth="1"/>
    <col min="15108" max="15108" width="11.125" style="56" bestFit="1" customWidth="1"/>
    <col min="15109" max="15109" width="15.625" style="56" customWidth="1"/>
    <col min="15110" max="15110" width="14" style="56" bestFit="1" customWidth="1"/>
    <col min="15111" max="15111" width="9.25" style="56" bestFit="1" customWidth="1"/>
    <col min="15112" max="15112" width="11.125" style="56" bestFit="1" customWidth="1"/>
    <col min="15113" max="15113" width="15.625" style="56" customWidth="1"/>
    <col min="15114" max="15114" width="14" style="56" bestFit="1" customWidth="1"/>
    <col min="15115" max="15115" width="9.25" style="56" bestFit="1" customWidth="1"/>
    <col min="15116" max="15116" width="11.125" style="56" bestFit="1" customWidth="1"/>
    <col min="15117" max="15117" width="15.625" style="56" customWidth="1"/>
    <col min="15118" max="15118" width="14" style="56" bestFit="1" customWidth="1"/>
    <col min="15119" max="15119" width="9.25" style="56" bestFit="1" customWidth="1"/>
    <col min="15120" max="15120" width="11.125" style="56" bestFit="1" customWidth="1"/>
    <col min="15121" max="15121" width="15.625" style="56" customWidth="1"/>
    <col min="15122" max="15122" width="14" style="56" bestFit="1" customWidth="1"/>
    <col min="15123" max="15123" width="9.25" style="56" bestFit="1" customWidth="1"/>
    <col min="15124" max="15124" width="11.125" style="56" bestFit="1" customWidth="1"/>
    <col min="15125" max="15125" width="15.625" style="56" customWidth="1"/>
    <col min="15126" max="15126" width="14" style="56" bestFit="1" customWidth="1"/>
    <col min="15127" max="15127" width="9.25" style="56" bestFit="1" customWidth="1"/>
    <col min="15128" max="15360" width="9" style="56"/>
    <col min="15361" max="15361" width="7.25" style="56" bestFit="1" customWidth="1"/>
    <col min="15362" max="15362" width="9.25" style="56" bestFit="1" customWidth="1"/>
    <col min="15363" max="15363" width="27" style="56" bestFit="1" customWidth="1"/>
    <col min="15364" max="15364" width="11.125" style="56" bestFit="1" customWidth="1"/>
    <col min="15365" max="15365" width="15.625" style="56" customWidth="1"/>
    <col min="15366" max="15366" width="14" style="56" bestFit="1" customWidth="1"/>
    <col min="15367" max="15367" width="9.25" style="56" bestFit="1" customWidth="1"/>
    <col min="15368" max="15368" width="11.125" style="56" bestFit="1" customWidth="1"/>
    <col min="15369" max="15369" width="15.625" style="56" customWidth="1"/>
    <col min="15370" max="15370" width="14" style="56" bestFit="1" customWidth="1"/>
    <col min="15371" max="15371" width="9.25" style="56" bestFit="1" customWidth="1"/>
    <col min="15372" max="15372" width="11.125" style="56" bestFit="1" customWidth="1"/>
    <col min="15373" max="15373" width="15.625" style="56" customWidth="1"/>
    <col min="15374" max="15374" width="14" style="56" bestFit="1" customWidth="1"/>
    <col min="15375" max="15375" width="9.25" style="56" bestFit="1" customWidth="1"/>
    <col min="15376" max="15376" width="11.125" style="56" bestFit="1" customWidth="1"/>
    <col min="15377" max="15377" width="15.625" style="56" customWidth="1"/>
    <col min="15378" max="15378" width="14" style="56" bestFit="1" customWidth="1"/>
    <col min="15379" max="15379" width="9.25" style="56" bestFit="1" customWidth="1"/>
    <col min="15380" max="15380" width="11.125" style="56" bestFit="1" customWidth="1"/>
    <col min="15381" max="15381" width="15.625" style="56" customWidth="1"/>
    <col min="15382" max="15382" width="14" style="56" bestFit="1" customWidth="1"/>
    <col min="15383" max="15383" width="9.25" style="56" bestFit="1" customWidth="1"/>
    <col min="15384" max="15616" width="9" style="56"/>
    <col min="15617" max="15617" width="7.25" style="56" bestFit="1" customWidth="1"/>
    <col min="15618" max="15618" width="9.25" style="56" bestFit="1" customWidth="1"/>
    <col min="15619" max="15619" width="27" style="56" bestFit="1" customWidth="1"/>
    <col min="15620" max="15620" width="11.125" style="56" bestFit="1" customWidth="1"/>
    <col min="15621" max="15621" width="15.625" style="56" customWidth="1"/>
    <col min="15622" max="15622" width="14" style="56" bestFit="1" customWidth="1"/>
    <col min="15623" max="15623" width="9.25" style="56" bestFit="1" customWidth="1"/>
    <col min="15624" max="15624" width="11.125" style="56" bestFit="1" customWidth="1"/>
    <col min="15625" max="15625" width="15.625" style="56" customWidth="1"/>
    <col min="15626" max="15626" width="14" style="56" bestFit="1" customWidth="1"/>
    <col min="15627" max="15627" width="9.25" style="56" bestFit="1" customWidth="1"/>
    <col min="15628" max="15628" width="11.125" style="56" bestFit="1" customWidth="1"/>
    <col min="15629" max="15629" width="15.625" style="56" customWidth="1"/>
    <col min="15630" max="15630" width="14" style="56" bestFit="1" customWidth="1"/>
    <col min="15631" max="15631" width="9.25" style="56" bestFit="1" customWidth="1"/>
    <col min="15632" max="15632" width="11.125" style="56" bestFit="1" customWidth="1"/>
    <col min="15633" max="15633" width="15.625" style="56" customWidth="1"/>
    <col min="15634" max="15634" width="14" style="56" bestFit="1" customWidth="1"/>
    <col min="15635" max="15635" width="9.25" style="56" bestFit="1" customWidth="1"/>
    <col min="15636" max="15636" width="11.125" style="56" bestFit="1" customWidth="1"/>
    <col min="15637" max="15637" width="15.625" style="56" customWidth="1"/>
    <col min="15638" max="15638" width="14" style="56" bestFit="1" customWidth="1"/>
    <col min="15639" max="15639" width="9.25" style="56" bestFit="1" customWidth="1"/>
    <col min="15640" max="15872" width="9" style="56"/>
    <col min="15873" max="15873" width="7.25" style="56" bestFit="1" customWidth="1"/>
    <col min="15874" max="15874" width="9.25" style="56" bestFit="1" customWidth="1"/>
    <col min="15875" max="15875" width="27" style="56" bestFit="1" customWidth="1"/>
    <col min="15876" max="15876" width="11.125" style="56" bestFit="1" customWidth="1"/>
    <col min="15877" max="15877" width="15.625" style="56" customWidth="1"/>
    <col min="15878" max="15878" width="14" style="56" bestFit="1" customWidth="1"/>
    <col min="15879" max="15879" width="9.25" style="56" bestFit="1" customWidth="1"/>
    <col min="15880" max="15880" width="11.125" style="56" bestFit="1" customWidth="1"/>
    <col min="15881" max="15881" width="15.625" style="56" customWidth="1"/>
    <col min="15882" max="15882" width="14" style="56" bestFit="1" customWidth="1"/>
    <col min="15883" max="15883" width="9.25" style="56" bestFit="1" customWidth="1"/>
    <col min="15884" max="15884" width="11.125" style="56" bestFit="1" customWidth="1"/>
    <col min="15885" max="15885" width="15.625" style="56" customWidth="1"/>
    <col min="15886" max="15886" width="14" style="56" bestFit="1" customWidth="1"/>
    <col min="15887" max="15887" width="9.25" style="56" bestFit="1" customWidth="1"/>
    <col min="15888" max="15888" width="11.125" style="56" bestFit="1" customWidth="1"/>
    <col min="15889" max="15889" width="15.625" style="56" customWidth="1"/>
    <col min="15890" max="15890" width="14" style="56" bestFit="1" customWidth="1"/>
    <col min="15891" max="15891" width="9.25" style="56" bestFit="1" customWidth="1"/>
    <col min="15892" max="15892" width="11.125" style="56" bestFit="1" customWidth="1"/>
    <col min="15893" max="15893" width="15.625" style="56" customWidth="1"/>
    <col min="15894" max="15894" width="14" style="56" bestFit="1" customWidth="1"/>
    <col min="15895" max="15895" width="9.25" style="56" bestFit="1" customWidth="1"/>
    <col min="15896" max="16128" width="9" style="56"/>
    <col min="16129" max="16129" width="7.25" style="56" bestFit="1" customWidth="1"/>
    <col min="16130" max="16130" width="9.25" style="56" bestFit="1" customWidth="1"/>
    <col min="16131" max="16131" width="27" style="56" bestFit="1" customWidth="1"/>
    <col min="16132" max="16132" width="11.125" style="56" bestFit="1" customWidth="1"/>
    <col min="16133" max="16133" width="15.625" style="56" customWidth="1"/>
    <col min="16134" max="16134" width="14" style="56" bestFit="1" customWidth="1"/>
    <col min="16135" max="16135" width="9.25" style="56" bestFit="1" customWidth="1"/>
    <col min="16136" max="16136" width="11.125" style="56" bestFit="1" customWidth="1"/>
    <col min="16137" max="16137" width="15.625" style="56" customWidth="1"/>
    <col min="16138" max="16138" width="14" style="56" bestFit="1" customWidth="1"/>
    <col min="16139" max="16139" width="9.25" style="56" bestFit="1" customWidth="1"/>
    <col min="16140" max="16140" width="11.125" style="56" bestFit="1" customWidth="1"/>
    <col min="16141" max="16141" width="15.625" style="56" customWidth="1"/>
    <col min="16142" max="16142" width="14" style="56" bestFit="1" customWidth="1"/>
    <col min="16143" max="16143" width="9.25" style="56" bestFit="1" customWidth="1"/>
    <col min="16144" max="16144" width="11.125" style="56" bestFit="1" customWidth="1"/>
    <col min="16145" max="16145" width="15.625" style="56" customWidth="1"/>
    <col min="16146" max="16146" width="14" style="56" bestFit="1" customWidth="1"/>
    <col min="16147" max="16147" width="9.25" style="56" bestFit="1" customWidth="1"/>
    <col min="16148" max="16148" width="11.125" style="56" bestFit="1" customWidth="1"/>
    <col min="16149" max="16149" width="15.625" style="56" customWidth="1"/>
    <col min="16150" max="16150" width="14" style="56" bestFit="1" customWidth="1"/>
    <col min="16151" max="16151" width="9.25" style="56" bestFit="1" customWidth="1"/>
    <col min="16152" max="16384" width="9" style="56"/>
  </cols>
  <sheetData>
    <row r="1" spans="1:23" x14ac:dyDescent="0.15">
      <c r="A1" s="56" t="s">
        <v>232</v>
      </c>
      <c r="B1" s="57" t="s">
        <v>233</v>
      </c>
      <c r="C1" s="56" t="str">
        <f>大会要項!B3</f>
        <v>第15回 全日本不動産協会杯争奪U-12サッカー大会【ラビットカップ】大分県大会</v>
      </c>
    </row>
    <row r="2" spans="1:23" x14ac:dyDescent="0.15">
      <c r="C2" s="56" t="str">
        <f>大会要項!B15</f>
        <v>2026年(令和8年) 6月27日(土)・6月28日(日)</v>
      </c>
    </row>
    <row r="3" spans="1:23" s="59" customFormat="1" ht="16.5" thickBot="1" x14ac:dyDescent="0.2">
      <c r="D3" s="56" t="s">
        <v>234</v>
      </c>
      <c r="H3" s="56" t="s">
        <v>235</v>
      </c>
      <c r="L3" s="59" t="s">
        <v>236</v>
      </c>
      <c r="P3" s="59" t="s">
        <v>237</v>
      </c>
      <c r="T3" s="59" t="s">
        <v>238</v>
      </c>
    </row>
    <row r="4" spans="1:23" ht="35.1" customHeight="1" thickBot="1" x14ac:dyDescent="0.2">
      <c r="A4" s="56" t="s">
        <v>239</v>
      </c>
      <c r="B4" s="420" t="s">
        <v>240</v>
      </c>
      <c r="C4" s="414" t="s">
        <v>9</v>
      </c>
      <c r="D4" s="413" t="s">
        <v>241</v>
      </c>
      <c r="E4" s="61" t="s">
        <v>242</v>
      </c>
      <c r="F4" s="61" t="s">
        <v>243</v>
      </c>
      <c r="G4" s="62" t="s">
        <v>244</v>
      </c>
      <c r="H4" s="60" t="s">
        <v>241</v>
      </c>
      <c r="I4" s="61" t="s">
        <v>242</v>
      </c>
      <c r="J4" s="61" t="s">
        <v>243</v>
      </c>
      <c r="K4" s="62" t="s">
        <v>244</v>
      </c>
      <c r="L4" s="60" t="s">
        <v>241</v>
      </c>
      <c r="M4" s="61" t="s">
        <v>242</v>
      </c>
      <c r="N4" s="61" t="s">
        <v>243</v>
      </c>
      <c r="O4" s="62" t="s">
        <v>244</v>
      </c>
      <c r="P4" s="60" t="s">
        <v>241</v>
      </c>
      <c r="Q4" s="61" t="s">
        <v>242</v>
      </c>
      <c r="R4" s="61" t="s">
        <v>243</v>
      </c>
      <c r="S4" s="62" t="s">
        <v>244</v>
      </c>
      <c r="T4" s="60" t="s">
        <v>241</v>
      </c>
      <c r="U4" s="61" t="s">
        <v>242</v>
      </c>
      <c r="V4" s="61" t="s">
        <v>243</v>
      </c>
      <c r="W4" s="62" t="s">
        <v>244</v>
      </c>
    </row>
    <row r="5" spans="1:23" ht="35.1" customHeight="1" x14ac:dyDescent="0.15">
      <c r="B5" s="554" t="s">
        <v>13</v>
      </c>
      <c r="C5" s="415" t="str">
        <f>抽選会資料!B11</f>
        <v>ＮＦＣ・ＯＩＴＡ　Ｕ１２</v>
      </c>
      <c r="D5" s="410"/>
      <c r="E5" s="64" t="str">
        <f>IF(D5="","",VLOOKUP(CONCATENATE(C5,"_",D5),選手名簿!$A:$H,5,FALSE))</f>
        <v/>
      </c>
      <c r="F5" s="65"/>
      <c r="G5" s="66"/>
      <c r="H5" s="63"/>
      <c r="I5" s="64" t="str">
        <f>IF(H5="","",VLOOKUP(CONCATENATE(C5,"_",H5),選手名簿!$A:$H,5,FALSE))</f>
        <v/>
      </c>
      <c r="J5" s="65"/>
      <c r="K5" s="66"/>
      <c r="L5" s="63"/>
      <c r="M5" s="64" t="str">
        <f>IF(L5="","",VLOOKUP(CONCATENATE(C5,"_",L5),選手名簿!$A:$H,5,FALSE))</f>
        <v/>
      </c>
      <c r="N5" s="65"/>
      <c r="O5" s="66"/>
      <c r="P5" s="63"/>
      <c r="Q5" s="64" t="str">
        <f>IF(P5="","",VLOOKUP(CONCATENATE(C5,"_",P5),選手名簿!$A:$H,5,FALSE))</f>
        <v/>
      </c>
      <c r="R5" s="65"/>
      <c r="S5" s="66"/>
      <c r="T5" s="63"/>
      <c r="U5" s="64" t="str">
        <f>IF(T5="","",VLOOKUP(CONCATENATE(C5,"_",T5),選手名簿!$A:$H,5,FALSE))</f>
        <v/>
      </c>
      <c r="V5" s="65"/>
      <c r="W5" s="66"/>
    </row>
    <row r="6" spans="1:23" ht="35.1" customHeight="1" x14ac:dyDescent="0.15">
      <c r="B6" s="555"/>
      <c r="C6" s="416" t="str">
        <f>抽選会資料!B12</f>
        <v>ＳＯＬ　ＦＵＴＥＢＯＬ　ＣＬＵＢＥ　Ｍａｇｉａ</v>
      </c>
      <c r="D6" s="410"/>
      <c r="E6" s="64" t="str">
        <f>IF(D6="","",VLOOKUP(CONCATENATE(C6,"_",D6),選手名簿!$A:$H,5,FALSE))</f>
        <v/>
      </c>
      <c r="F6" s="65"/>
      <c r="G6" s="66"/>
      <c r="H6" s="63"/>
      <c r="I6" s="64" t="str">
        <f>IF(H6="","",VLOOKUP(CONCATENATE(C6,"_",H6),選手名簿!$A:$H,5,FALSE))</f>
        <v/>
      </c>
      <c r="J6" s="65"/>
      <c r="K6" s="66"/>
      <c r="L6" s="63"/>
      <c r="M6" s="64" t="str">
        <f>IF(L6="","",VLOOKUP(CONCATENATE(C6,"_",L6),選手名簿!$A:$H,5,FALSE))</f>
        <v/>
      </c>
      <c r="N6" s="65"/>
      <c r="O6" s="66"/>
      <c r="P6" s="63"/>
      <c r="Q6" s="64" t="str">
        <f>IF(P6="","",VLOOKUP(CONCATENATE(C6,"_",P6),選手名簿!$A:$H,5,FALSE))</f>
        <v/>
      </c>
      <c r="R6" s="65"/>
      <c r="S6" s="66"/>
      <c r="T6" s="63"/>
      <c r="U6" s="64" t="str">
        <f>IF(T6="","",VLOOKUP(CONCATENATE(C6,"_",T6),選手名簿!$A:$H,5,FALSE))</f>
        <v/>
      </c>
      <c r="V6" s="65"/>
      <c r="W6" s="66"/>
    </row>
    <row r="7" spans="1:23" ht="35.1" customHeight="1" x14ac:dyDescent="0.15">
      <c r="B7" s="555"/>
      <c r="C7" s="416" t="str">
        <f>抽選会資料!B13</f>
        <v>明治北ＳＳＣ</v>
      </c>
      <c r="D7" s="410"/>
      <c r="E7" s="64" t="str">
        <f>IF(D7="","",VLOOKUP(CONCATENATE(C7,"_",D7),選手名簿!$A:$H,5,FALSE))</f>
        <v/>
      </c>
      <c r="F7" s="65"/>
      <c r="G7" s="66"/>
      <c r="H7" s="63"/>
      <c r="I7" s="64" t="str">
        <f>IF(H7="","",VLOOKUP(CONCATENATE(C7,"_",H7),選手名簿!$A:$H,5,FALSE))</f>
        <v/>
      </c>
      <c r="J7" s="65"/>
      <c r="K7" s="66"/>
      <c r="L7" s="63"/>
      <c r="M7" s="64" t="str">
        <f>IF(L7="","",VLOOKUP(CONCATENATE(C7,"_",L7),選手名簿!$A:$H,5,FALSE))</f>
        <v/>
      </c>
      <c r="N7" s="65"/>
      <c r="O7" s="66"/>
      <c r="P7" s="63"/>
      <c r="Q7" s="64" t="str">
        <f>IF(P7="","",VLOOKUP(CONCATENATE(C7,"_",P7),選手名簿!$A:$H,5,FALSE))</f>
        <v/>
      </c>
      <c r="R7" s="65"/>
      <c r="S7" s="66"/>
      <c r="T7" s="63"/>
      <c r="U7" s="64" t="str">
        <f>IF(T7="","",VLOOKUP(CONCATENATE(C7,"_",T7),選手名簿!$A:$H,5,FALSE))</f>
        <v/>
      </c>
      <c r="V7" s="65"/>
      <c r="W7" s="66"/>
    </row>
    <row r="8" spans="1:23" ht="35.1" customHeight="1" x14ac:dyDescent="0.15">
      <c r="B8" s="555"/>
      <c r="C8" s="416" t="str">
        <f>抽選会資料!B14</f>
        <v>ドリームキッズフットボールクラブＦ</v>
      </c>
      <c r="D8" s="410"/>
      <c r="E8" s="64" t="str">
        <f>IF(D8="","",VLOOKUP(CONCATENATE(C8,"_",D8),選手名簿!$A:$H,5,FALSE))</f>
        <v/>
      </c>
      <c r="F8" s="65"/>
      <c r="G8" s="66"/>
      <c r="H8" s="63"/>
      <c r="I8" s="64" t="str">
        <f>IF(H8="","",VLOOKUP(CONCATENATE(C8,"_",H8),選手名簿!$A:$H,5,FALSE))</f>
        <v/>
      </c>
      <c r="J8" s="65"/>
      <c r="K8" s="66"/>
      <c r="L8" s="63"/>
      <c r="M8" s="64" t="str">
        <f>IF(L8="","",VLOOKUP(CONCATENATE(C8,"_",L8),選手名簿!$A:$H,5,FALSE))</f>
        <v/>
      </c>
      <c r="N8" s="65"/>
      <c r="O8" s="66"/>
      <c r="P8" s="63"/>
      <c r="Q8" s="64" t="str">
        <f>IF(P8="","",VLOOKUP(CONCATENATE(C8,"_",P8),選手名簿!$A:$H,5,FALSE))</f>
        <v/>
      </c>
      <c r="R8" s="65"/>
      <c r="S8" s="66"/>
      <c r="T8" s="63"/>
      <c r="U8" s="64" t="str">
        <f>IF(T8="","",VLOOKUP(CONCATENATE(C8,"_",T8),選手名簿!$A:$H,5,FALSE))</f>
        <v/>
      </c>
      <c r="V8" s="65"/>
      <c r="W8" s="66"/>
    </row>
    <row r="9" spans="1:23" ht="35.1" customHeight="1" x14ac:dyDescent="0.15">
      <c r="B9" s="555"/>
      <c r="C9" s="416" t="str">
        <f>抽選会資料!B15</f>
        <v>ドリームキッズフットボールクラブ</v>
      </c>
      <c r="D9" s="410"/>
      <c r="E9" s="64" t="str">
        <f>IF(D9="","",VLOOKUP(CONCATENATE(C9,"_",D9),選手名簿!$A:$H,5,FALSE))</f>
        <v/>
      </c>
      <c r="F9" s="65"/>
      <c r="G9" s="66"/>
      <c r="H9" s="63"/>
      <c r="I9" s="64" t="str">
        <f>IF(H9="","",VLOOKUP(CONCATENATE(C9,"_",H9),選手名簿!$A:$H,5,FALSE))</f>
        <v/>
      </c>
      <c r="J9" s="65"/>
      <c r="K9" s="66"/>
      <c r="L9" s="63"/>
      <c r="M9" s="64" t="str">
        <f>IF(L9="","",VLOOKUP(CONCATENATE(C9,"_",L9),選手名簿!$A:$H,5,FALSE))</f>
        <v/>
      </c>
      <c r="N9" s="65"/>
      <c r="O9" s="66"/>
      <c r="P9" s="63"/>
      <c r="Q9" s="64" t="str">
        <f>IF(P9="","",VLOOKUP(CONCATENATE(C9,"_",P9),選手名簿!$A:$H,5,FALSE))</f>
        <v/>
      </c>
      <c r="R9" s="65"/>
      <c r="S9" s="66"/>
      <c r="T9" s="63"/>
      <c r="U9" s="64" t="str">
        <f>IF(T9="","",VLOOKUP(CONCATENATE(C9,"_",T9),選手名簿!$A:$H,5,FALSE))</f>
        <v/>
      </c>
      <c r="V9" s="65"/>
      <c r="W9" s="66"/>
    </row>
    <row r="10" spans="1:23" ht="35.1" customHeight="1" x14ac:dyDescent="0.15">
      <c r="B10" s="555"/>
      <c r="C10" s="416" t="str">
        <f>抽選会資料!B16</f>
        <v>西の台ＪＦＣ</v>
      </c>
      <c r="D10" s="410"/>
      <c r="E10" s="64" t="str">
        <f>IF(D10="","",VLOOKUP(CONCATENATE(C10,"_",D10),選手名簿!$A:$H,5,FALSE))</f>
        <v/>
      </c>
      <c r="F10" s="65"/>
      <c r="G10" s="66"/>
      <c r="H10" s="63"/>
      <c r="I10" s="64" t="str">
        <f>IF(H10="","",VLOOKUP(CONCATENATE(C10,"_",H10),選手名簿!$A:$H,5,FALSE))</f>
        <v/>
      </c>
      <c r="J10" s="65"/>
      <c r="K10" s="66"/>
      <c r="L10" s="63"/>
      <c r="M10" s="64" t="str">
        <f>IF(L10="","",VLOOKUP(CONCATENATE(C10,"_",L10),選手名簿!$A:$H,5,FALSE))</f>
        <v/>
      </c>
      <c r="N10" s="65"/>
      <c r="O10" s="66"/>
      <c r="P10" s="63"/>
      <c r="Q10" s="64" t="str">
        <f>IF(P10="","",VLOOKUP(CONCATENATE(C10,"_",P10),選手名簿!$A:$H,5,FALSE))</f>
        <v/>
      </c>
      <c r="R10" s="65"/>
      <c r="S10" s="66"/>
      <c r="T10" s="63"/>
      <c r="U10" s="64" t="str">
        <f>IF(T10="","",VLOOKUP(CONCATENATE(C10,"_",T10),選手名簿!$A:$H,5,FALSE))</f>
        <v/>
      </c>
      <c r="V10" s="65"/>
      <c r="W10" s="66"/>
    </row>
    <row r="11" spans="1:23" ht="35.1" customHeight="1" x14ac:dyDescent="0.15">
      <c r="B11" s="555"/>
      <c r="C11" s="416" t="str">
        <f>抽選会資料!B17</f>
        <v>大分トリニータＵ－１２</v>
      </c>
      <c r="D11" s="410"/>
      <c r="E11" s="64" t="str">
        <f>IF(D11="","",VLOOKUP(CONCATENATE(C11,"_",D11),選手名簿!$A:$H,5,FALSE))</f>
        <v/>
      </c>
      <c r="F11" s="65"/>
      <c r="G11" s="66"/>
      <c r="H11" s="63"/>
      <c r="I11" s="64" t="str">
        <f>IF(H11="","",VLOOKUP(CONCATENATE(C11,"_",H11),選手名簿!$A:$H,5,FALSE))</f>
        <v/>
      </c>
      <c r="J11" s="65"/>
      <c r="K11" s="66"/>
      <c r="L11" s="63"/>
      <c r="M11" s="64" t="str">
        <f>IF(L11="","",VLOOKUP(CONCATENATE(C11,"_",L11),選手名簿!$A:$H,5,FALSE))</f>
        <v/>
      </c>
      <c r="N11" s="65"/>
      <c r="O11" s="66"/>
      <c r="P11" s="63"/>
      <c r="Q11" s="64" t="str">
        <f>IF(P11="","",VLOOKUP(CONCATENATE(C11,"_",P11),選手名簿!$A:$H,5,FALSE))</f>
        <v/>
      </c>
      <c r="R11" s="65"/>
      <c r="S11" s="66"/>
      <c r="T11" s="63"/>
      <c r="U11" s="64" t="str">
        <f>IF(T11="","",VLOOKUP(CONCATENATE(C11,"_",T11),選手名簿!$A:$H,5,FALSE))</f>
        <v/>
      </c>
      <c r="V11" s="65"/>
      <c r="W11" s="66"/>
    </row>
    <row r="12" spans="1:23" ht="35.1" customHeight="1" x14ac:dyDescent="0.15">
      <c r="B12" s="555"/>
      <c r="C12" s="416" t="str">
        <f>抽選会資料!B18</f>
        <v>明治サッカースポーツ少年団</v>
      </c>
      <c r="D12" s="410"/>
      <c r="E12" s="64" t="str">
        <f>IF(D12="","",VLOOKUP(CONCATENATE(C12,"_",D12),選手名簿!$A:$H,5,FALSE))</f>
        <v/>
      </c>
      <c r="F12" s="65"/>
      <c r="G12" s="66"/>
      <c r="H12" s="63"/>
      <c r="I12" s="64" t="str">
        <f>IF(H12="","",VLOOKUP(CONCATENATE(C12,"_",H12),選手名簿!$A:$H,5,FALSE))</f>
        <v/>
      </c>
      <c r="J12" s="65"/>
      <c r="K12" s="66"/>
      <c r="L12" s="63"/>
      <c r="M12" s="64" t="str">
        <f>IF(L12="","",VLOOKUP(CONCATENATE(C12,"_",L12),選手名簿!$A:$H,5,FALSE))</f>
        <v/>
      </c>
      <c r="N12" s="65"/>
      <c r="O12" s="66"/>
      <c r="P12" s="63"/>
      <c r="Q12" s="64" t="str">
        <f>IF(P12="","",VLOOKUP(CONCATENATE(C12,"_",P12),選手名簿!$A:$H,5,FALSE))</f>
        <v/>
      </c>
      <c r="R12" s="65"/>
      <c r="S12" s="66"/>
      <c r="T12" s="63"/>
      <c r="U12" s="64" t="str">
        <f>IF(T12="","",VLOOKUP(CONCATENATE(C12,"_",T12),選手名簿!$A:$H,5,FALSE))</f>
        <v/>
      </c>
      <c r="V12" s="65"/>
      <c r="W12" s="66"/>
    </row>
    <row r="13" spans="1:23" ht="35.1" customHeight="1" x14ac:dyDescent="0.15">
      <c r="B13" s="555"/>
      <c r="C13" s="416" t="str">
        <f>抽選会資料!B19</f>
        <v>カティオーラフットボールクラブＵ－１２</v>
      </c>
      <c r="D13" s="410"/>
      <c r="E13" s="64" t="str">
        <f>IF(D13="","",VLOOKUP(CONCATENATE(C13,"_",D13),選手名簿!$A:$H,5,FALSE))</f>
        <v/>
      </c>
      <c r="F13" s="65"/>
      <c r="G13" s="66"/>
      <c r="H13" s="63"/>
      <c r="I13" s="64" t="str">
        <f>IF(H13="","",VLOOKUP(CONCATENATE(C13,"_",H13),選手名簿!$A:$H,5,FALSE))</f>
        <v/>
      </c>
      <c r="J13" s="65"/>
      <c r="K13" s="66"/>
      <c r="L13" s="63"/>
      <c r="M13" s="64" t="str">
        <f>IF(L13="","",VLOOKUP(CONCATENATE(C13,"_",L13),選手名簿!$A:$H,5,FALSE))</f>
        <v/>
      </c>
      <c r="N13" s="65"/>
      <c r="O13" s="66"/>
      <c r="P13" s="63"/>
      <c r="Q13" s="64" t="str">
        <f>IF(P13="","",VLOOKUP(CONCATENATE(C13,"_",P13),選手名簿!$A:$H,5,FALSE))</f>
        <v/>
      </c>
      <c r="R13" s="65"/>
      <c r="S13" s="66"/>
      <c r="T13" s="63"/>
      <c r="U13" s="64" t="str">
        <f>IF(T13="","",VLOOKUP(CONCATENATE(C13,"_",T13),選手名簿!$A:$H,5,FALSE))</f>
        <v/>
      </c>
      <c r="V13" s="65"/>
      <c r="W13" s="66"/>
    </row>
    <row r="14" spans="1:23" ht="35.1" customHeight="1" x14ac:dyDescent="0.15">
      <c r="B14" s="555"/>
      <c r="C14" s="416" t="str">
        <f>抽選会資料!B20</f>
        <v>豊府サッカースポーツ少年団</v>
      </c>
      <c r="D14" s="410"/>
      <c r="E14" s="64" t="str">
        <f>IF(D14="","",VLOOKUP(CONCATENATE(C14,"_",D14),選手名簿!$A:$H,5,FALSE))</f>
        <v/>
      </c>
      <c r="F14" s="65"/>
      <c r="G14" s="66"/>
      <c r="H14" s="63"/>
      <c r="I14" s="64" t="str">
        <f>IF(H14="","",VLOOKUP(CONCATENATE(C14,"_",H14),選手名簿!$A:$H,5,FALSE))</f>
        <v/>
      </c>
      <c r="J14" s="65"/>
      <c r="K14" s="66"/>
      <c r="L14" s="63"/>
      <c r="M14" s="64" t="str">
        <f>IF(L14="","",VLOOKUP(CONCATENATE(C14,"_",L14),選手名簿!$A:$H,5,FALSE))</f>
        <v/>
      </c>
      <c r="N14" s="65"/>
      <c r="O14" s="66"/>
      <c r="P14" s="63"/>
      <c r="Q14" s="64" t="str">
        <f>IF(P14="","",VLOOKUP(CONCATENATE(C14,"_",P14),選手名簿!$A:$H,5,FALSE))</f>
        <v/>
      </c>
      <c r="R14" s="65"/>
      <c r="S14" s="66"/>
      <c r="T14" s="63"/>
      <c r="U14" s="64" t="str">
        <f>IF(T14="","",VLOOKUP(CONCATENATE(C14,"_",T14),選手名簿!$A:$H,5,FALSE))</f>
        <v/>
      </c>
      <c r="V14" s="65"/>
      <c r="W14" s="66"/>
    </row>
    <row r="15" spans="1:23" ht="35.1" customHeight="1" thickBot="1" x14ac:dyDescent="0.2">
      <c r="B15" s="556"/>
      <c r="C15" s="417" t="str">
        <f>抽選会資料!B21</f>
        <v>リノスフットボールクラブ　Ｕ－１２</v>
      </c>
      <c r="D15" s="410"/>
      <c r="E15" s="64" t="str">
        <f>IF(D15="","",VLOOKUP(CONCATENATE(C15,"_",D15),選手名簿!$A:$H,5,FALSE))</f>
        <v/>
      </c>
      <c r="F15" s="65"/>
      <c r="G15" s="66"/>
      <c r="H15" s="63"/>
      <c r="I15" s="64" t="str">
        <f>IF(H15="","",VLOOKUP(CONCATENATE(C15,"_",H15),選手名簿!$A:$H,5,FALSE))</f>
        <v/>
      </c>
      <c r="J15" s="65"/>
      <c r="K15" s="66"/>
      <c r="L15" s="63"/>
      <c r="M15" s="64" t="str">
        <f>IF(L15="","",VLOOKUP(CONCATENATE(C15,"_",L15),選手名簿!$A:$H,5,FALSE))</f>
        <v/>
      </c>
      <c r="N15" s="65"/>
      <c r="O15" s="66"/>
      <c r="P15" s="63"/>
      <c r="Q15" s="64" t="str">
        <f>IF(P15="","",VLOOKUP(CONCATENATE(C15,"_",P15),選手名簿!$A:$H,5,FALSE))</f>
        <v/>
      </c>
      <c r="R15" s="65"/>
      <c r="S15" s="66"/>
      <c r="T15" s="63"/>
      <c r="U15" s="64" t="str">
        <f>IF(T15="","",VLOOKUP(CONCATENATE(C15,"_",T15),選手名簿!$A:$H,5,FALSE))</f>
        <v/>
      </c>
      <c r="V15" s="65"/>
      <c r="W15" s="66"/>
    </row>
    <row r="16" spans="1:23" ht="35.1" customHeight="1" x14ac:dyDescent="0.15">
      <c r="B16" s="497" t="s">
        <v>14</v>
      </c>
      <c r="C16" s="418" t="str">
        <f>抽選会資料!I11</f>
        <v>Ｓｈｙｎｔ　ＦＣ</v>
      </c>
      <c r="D16" s="410"/>
      <c r="E16" s="64" t="str">
        <f>IF(D16="","",VLOOKUP(CONCATENATE(C16,"_",D16),選手名簿!$A:$H,5,FALSE))</f>
        <v/>
      </c>
      <c r="F16" s="65"/>
      <c r="G16" s="66"/>
      <c r="H16" s="63"/>
      <c r="I16" s="64" t="str">
        <f>IF(H16="","",VLOOKUP(CONCATENATE(C16,"_",H16),選手名簿!$A:$H,5,FALSE))</f>
        <v/>
      </c>
      <c r="J16" s="65"/>
      <c r="K16" s="66"/>
      <c r="L16" s="63"/>
      <c r="M16" s="64" t="str">
        <f>IF(L16="","",VLOOKUP(CONCATENATE(C16,"_",L16),選手名簿!$A:$H,5,FALSE))</f>
        <v/>
      </c>
      <c r="N16" s="65"/>
      <c r="O16" s="66"/>
      <c r="P16" s="63"/>
      <c r="Q16" s="64" t="str">
        <f>IF(P16="","",VLOOKUP(CONCATENATE(C16,"_",P16),選手名簿!$A:$H,5,FALSE))</f>
        <v/>
      </c>
      <c r="R16" s="65"/>
      <c r="S16" s="66"/>
      <c r="T16" s="63"/>
      <c r="U16" s="64" t="str">
        <f>IF(T16="","",VLOOKUP(CONCATENATE(C16,"_",T16),選手名簿!$A:$H,5,FALSE))</f>
        <v/>
      </c>
      <c r="V16" s="65"/>
      <c r="W16" s="66"/>
    </row>
    <row r="17" spans="2:23" ht="35.1" customHeight="1" x14ac:dyDescent="0.15">
      <c r="B17" s="498"/>
      <c r="C17" s="418" t="str">
        <f>抽選会資料!I12</f>
        <v>ＦＣリーベル</v>
      </c>
      <c r="D17" s="410"/>
      <c r="E17" s="64" t="str">
        <f>IF(D17="","",VLOOKUP(CONCATENATE(C17,"_",D17),選手名簿!$A:$H,5,FALSE))</f>
        <v/>
      </c>
      <c r="F17" s="65"/>
      <c r="G17" s="66"/>
      <c r="H17" s="63"/>
      <c r="I17" s="64" t="str">
        <f>IF(H17="","",VLOOKUP(CONCATENATE(C17,"_",H17),選手名簿!$A:$H,5,FALSE))</f>
        <v/>
      </c>
      <c r="J17" s="65"/>
      <c r="K17" s="66"/>
      <c r="L17" s="63"/>
      <c r="M17" s="64" t="str">
        <f>IF(L17="","",VLOOKUP(CONCATENATE(C17,"_",L17),選手名簿!$A:$H,5,FALSE))</f>
        <v/>
      </c>
      <c r="N17" s="65"/>
      <c r="O17" s="66"/>
      <c r="P17" s="63"/>
      <c r="Q17" s="64" t="str">
        <f>IF(P17="","",VLOOKUP(CONCATENATE(C17,"_",P17),選手名簿!$A:$H,5,FALSE))</f>
        <v/>
      </c>
      <c r="R17" s="65"/>
      <c r="S17" s="66"/>
      <c r="T17" s="63"/>
      <c r="U17" s="64" t="str">
        <f>IF(T17="","",VLOOKUP(CONCATENATE(C17,"_",T17),選手名簿!$A:$H,5,FALSE))</f>
        <v/>
      </c>
      <c r="V17" s="65"/>
      <c r="W17" s="66"/>
    </row>
    <row r="18" spans="2:23" ht="35.1" customHeight="1" thickBot="1" x14ac:dyDescent="0.2">
      <c r="B18" s="499"/>
      <c r="C18" s="418" t="str">
        <f>抽選会資料!I13</f>
        <v>ＦＣ中津ジュニア</v>
      </c>
      <c r="D18" s="410"/>
      <c r="E18" s="64" t="str">
        <f>IF(D18="","",VLOOKUP(CONCATENATE(C18,"_",D18),選手名簿!$A:$H,5,FALSE))</f>
        <v/>
      </c>
      <c r="F18" s="65"/>
      <c r="G18" s="66"/>
      <c r="H18" s="63"/>
      <c r="I18" s="64" t="str">
        <f>IF(H18="","",VLOOKUP(CONCATENATE(C18,"_",H18),選手名簿!$A:$H,5,FALSE))</f>
        <v/>
      </c>
      <c r="J18" s="65"/>
      <c r="K18" s="66"/>
      <c r="L18" s="63"/>
      <c r="M18" s="64" t="str">
        <f>IF(L18="","",VLOOKUP(CONCATENATE(C18,"_",L18),選手名簿!$A:$H,5,FALSE))</f>
        <v/>
      </c>
      <c r="N18" s="65"/>
      <c r="O18" s="66"/>
      <c r="P18" s="63"/>
      <c r="Q18" s="64" t="str">
        <f>IF(P18="","",VLOOKUP(CONCATENATE(C18,"_",P18),選手名簿!$A:$H,5,FALSE))</f>
        <v/>
      </c>
      <c r="R18" s="65"/>
      <c r="S18" s="66"/>
      <c r="T18" s="63"/>
      <c r="U18" s="64" t="str">
        <f>IF(T18="","",VLOOKUP(CONCATENATE(C18,"_",T18),選手名簿!$A:$H,5,FALSE))</f>
        <v/>
      </c>
      <c r="V18" s="65"/>
      <c r="W18" s="66"/>
    </row>
    <row r="19" spans="2:23" ht="35.1" customHeight="1" x14ac:dyDescent="0.15">
      <c r="B19" s="496" t="s">
        <v>11553</v>
      </c>
      <c r="C19" s="418" t="str">
        <f>抽選会資料!I14</f>
        <v>四日市南ＳＳＣ</v>
      </c>
      <c r="D19" s="410"/>
      <c r="E19" s="64" t="str">
        <f>IF(D19="","",VLOOKUP(CONCATENATE(C19,"_",D19),選手名簿!$A:$H,5,FALSE))</f>
        <v/>
      </c>
      <c r="F19" s="65"/>
      <c r="G19" s="66"/>
      <c r="H19" s="63"/>
      <c r="I19" s="64" t="str">
        <f>IF(H19="","",VLOOKUP(CONCATENATE(C20,"_",H19),選手名簿!$A:$H,5,FALSE))</f>
        <v/>
      </c>
      <c r="J19" s="65"/>
      <c r="K19" s="66"/>
      <c r="L19" s="63"/>
      <c r="M19" s="64" t="str">
        <f>IF(L19="","",VLOOKUP(CONCATENATE(C20,"_",L19),選手名簿!$A:$H,5,FALSE))</f>
        <v/>
      </c>
      <c r="N19" s="65"/>
      <c r="O19" s="66"/>
      <c r="P19" s="63"/>
      <c r="Q19" s="64" t="str">
        <f>IF(P19="","",VLOOKUP(CONCATENATE(C20,"_",P19),選手名簿!$A:$H,5,FALSE))</f>
        <v/>
      </c>
      <c r="R19" s="65"/>
      <c r="S19" s="66"/>
      <c r="T19" s="63"/>
      <c r="U19" s="64" t="str">
        <f>IF(T19="","",VLOOKUP(CONCATENATE(C20,"_",T19),選手名簿!$A:$H,5,FALSE))</f>
        <v/>
      </c>
      <c r="V19" s="65"/>
      <c r="W19" s="66"/>
    </row>
    <row r="20" spans="2:23" ht="35.1" customHeight="1" thickBot="1" x14ac:dyDescent="0.2">
      <c r="B20" s="495"/>
      <c r="C20" s="418" t="str">
        <f>抽選会資料!I15</f>
        <v>ＦＣ　ＷＡＹＳ</v>
      </c>
      <c r="D20" s="410"/>
      <c r="E20" s="64" t="str">
        <f>IF(D20="","",VLOOKUP(CONCATENATE(C20,"_",D20),選手名簿!$A:$H,5,FALSE))</f>
        <v/>
      </c>
      <c r="F20" s="65"/>
      <c r="G20" s="66"/>
      <c r="H20" s="63"/>
      <c r="I20" s="64" t="str">
        <f>IF(H20="","",VLOOKUP(CONCATENATE(C21,"_",H20),選手名簿!$A:$H,5,FALSE))</f>
        <v/>
      </c>
      <c r="J20" s="65"/>
      <c r="K20" s="66"/>
      <c r="L20" s="63"/>
      <c r="M20" s="64" t="str">
        <f>IF(L20="","",VLOOKUP(CONCATENATE(C21,"_",L20),選手名簿!$A:$H,5,FALSE))</f>
        <v/>
      </c>
      <c r="N20" s="65"/>
      <c r="O20" s="66"/>
      <c r="P20" s="63"/>
      <c r="Q20" s="64" t="str">
        <f>IF(P20="","",VLOOKUP(CONCATENATE(C21,"_",P20),選手名簿!$A:$H,5,FALSE))</f>
        <v/>
      </c>
      <c r="R20" s="65"/>
      <c r="S20" s="66"/>
      <c r="T20" s="63"/>
      <c r="U20" s="64" t="str">
        <f>IF(T20="","",VLOOKUP(CONCATENATE(C21,"_",T20),選手名簿!$A:$H,5,FALSE))</f>
        <v/>
      </c>
      <c r="V20" s="65"/>
      <c r="W20" s="66"/>
    </row>
    <row r="21" spans="2:23" ht="35.1" customHeight="1" x14ac:dyDescent="0.15">
      <c r="B21" s="494" t="s">
        <v>15</v>
      </c>
      <c r="C21" s="418" t="str">
        <f>抽選会資料!I16</f>
        <v>日出サッカースポーツ少年団</v>
      </c>
      <c r="D21" s="411"/>
      <c r="E21" s="64" t="str">
        <f>IF(D21="","",VLOOKUP(CONCATENATE(C21,"_",D21),選手名簿!$A:$H,5,FALSE))</f>
        <v/>
      </c>
      <c r="F21" s="65"/>
      <c r="G21" s="66"/>
      <c r="H21" s="63"/>
      <c r="I21" s="64" t="str">
        <f>IF(H21="","",VLOOKUP(CONCATENATE(C22,"_",H21),選手名簿!$A:$H,5,FALSE))</f>
        <v/>
      </c>
      <c r="J21" s="65"/>
      <c r="K21" s="66"/>
      <c r="L21" s="63"/>
      <c r="M21" s="64" t="str">
        <f>IF(L21="","",VLOOKUP(CONCATENATE(C22,"_",L21),選手名簿!$A:$H,5,FALSE))</f>
        <v/>
      </c>
      <c r="N21" s="65"/>
      <c r="O21" s="66"/>
      <c r="P21" s="63"/>
      <c r="Q21" s="64" t="str">
        <f>IF(P21="","",VLOOKUP(CONCATENATE(C22,"_",P21),選手名簿!$A:$H,5,FALSE))</f>
        <v/>
      </c>
      <c r="R21" s="65"/>
      <c r="S21" s="66"/>
      <c r="T21" s="63"/>
      <c r="U21" s="64" t="str">
        <f>IF(T21="","",VLOOKUP(CONCATENATE(C22,"_",T21),選手名簿!$A:$H,5,FALSE))</f>
        <v/>
      </c>
      <c r="V21" s="65"/>
      <c r="W21" s="66"/>
    </row>
    <row r="22" spans="2:23" ht="35.1" customHeight="1" thickBot="1" x14ac:dyDescent="0.2">
      <c r="B22" s="495"/>
      <c r="C22" s="418" t="str">
        <f>抽選会資料!I17</f>
        <v>国東ジュニアサッカークラブ</v>
      </c>
      <c r="D22" s="410"/>
      <c r="E22" s="64" t="str">
        <f>IF(D22="","",VLOOKUP(CONCATENATE(C22,"_",D22),選手名簿!$A:$H,5,FALSE))</f>
        <v/>
      </c>
      <c r="F22" s="65"/>
      <c r="G22" s="66"/>
      <c r="H22" s="63"/>
      <c r="I22" s="64" t="str">
        <f>IF(H22="","",VLOOKUP(CONCATENATE(C23,"_",H22),選手名簿!$A:$H,5,FALSE))</f>
        <v/>
      </c>
      <c r="J22" s="65"/>
      <c r="K22" s="66"/>
      <c r="L22" s="63"/>
      <c r="M22" s="64" t="str">
        <f>IF(L22="","",VLOOKUP(CONCATENATE(C23,"_",L22),選手名簿!$A:$H,5,FALSE))</f>
        <v/>
      </c>
      <c r="N22" s="65"/>
      <c r="O22" s="66"/>
      <c r="P22" s="63"/>
      <c r="Q22" s="64" t="str">
        <f>IF(P22="","",VLOOKUP(CONCATENATE(C23,"_",P22),選手名簿!$A:$H,5,FALSE))</f>
        <v/>
      </c>
      <c r="R22" s="65"/>
      <c r="S22" s="66"/>
      <c r="T22" s="63"/>
      <c r="U22" s="64" t="str">
        <f>IF(T22="","",VLOOKUP(CONCATENATE(C23,"_",T22),選手名簿!$A:$H,5,FALSE))</f>
        <v/>
      </c>
      <c r="V22" s="65"/>
      <c r="W22" s="66"/>
    </row>
    <row r="23" spans="2:23" ht="35.1" customHeight="1" x14ac:dyDescent="0.15">
      <c r="B23" s="494" t="s">
        <v>16</v>
      </c>
      <c r="C23" s="418" t="str">
        <f>抽選会資料!I18</f>
        <v>朝日ＦＣ</v>
      </c>
      <c r="D23" s="410"/>
      <c r="E23" s="64" t="str">
        <f>IF(D23="","",VLOOKUP(CONCATENATE(C23,"_",D23),選手名簿!$A:$H,5,FALSE))</f>
        <v/>
      </c>
      <c r="F23" s="65"/>
      <c r="G23" s="66"/>
      <c r="H23" s="63"/>
      <c r="I23" s="64" t="str">
        <f>IF(H23="","",VLOOKUP(CONCATENATE(C24,"_",H23),選手名簿!$A:$H,5,FALSE))</f>
        <v/>
      </c>
      <c r="J23" s="65"/>
      <c r="K23" s="66"/>
      <c r="L23" s="63"/>
      <c r="M23" s="64" t="str">
        <f>IF(L23="","",VLOOKUP(CONCATENATE(C24,"_",L23),選手名簿!$A:$H,5,FALSE))</f>
        <v/>
      </c>
      <c r="N23" s="65"/>
      <c r="O23" s="66"/>
      <c r="P23" s="63"/>
      <c r="Q23" s="64" t="str">
        <f>IF(P23="","",VLOOKUP(CONCATENATE(C24,"_",P23),選手名簿!$A:$H,5,FALSE))</f>
        <v/>
      </c>
      <c r="R23" s="65"/>
      <c r="S23" s="66"/>
      <c r="T23" s="63"/>
      <c r="U23" s="64" t="str">
        <f>IF(T23="","",VLOOKUP(CONCATENATE(C24,"_",T23),選手名簿!$A:$H,5,FALSE))</f>
        <v/>
      </c>
      <c r="V23" s="65"/>
      <c r="W23" s="66"/>
    </row>
    <row r="24" spans="2:23" ht="35.1" customHeight="1" thickBot="1" x14ac:dyDescent="0.2">
      <c r="B24" s="495"/>
      <c r="C24" s="418" t="str">
        <f>抽選会資料!I19</f>
        <v>スマイス・セレソン</v>
      </c>
      <c r="D24" s="410"/>
      <c r="E24" s="64" t="str">
        <f>IF(D24="","",VLOOKUP(CONCATENATE(C24,"_",D24),選手名簿!$A:$H,5,FALSE))</f>
        <v/>
      </c>
      <c r="F24" s="65"/>
      <c r="G24" s="66"/>
      <c r="H24" s="63"/>
      <c r="I24" s="64" t="str">
        <f>IF(H24="","",VLOOKUP(CONCATENATE(C25,"_",H24),選手名簿!$A:$H,5,FALSE))</f>
        <v/>
      </c>
      <c r="J24" s="65"/>
      <c r="K24" s="66"/>
      <c r="L24" s="63"/>
      <c r="M24" s="64" t="str">
        <f>IF(L24="","",VLOOKUP(CONCATENATE(C25,"_",L24),選手名簿!$A:$H,5,FALSE))</f>
        <v/>
      </c>
      <c r="N24" s="65"/>
      <c r="O24" s="66"/>
      <c r="P24" s="63"/>
      <c r="Q24" s="64" t="str">
        <f>IF(P24="","",VLOOKUP(CONCATENATE(C25,"_",P24),選手名簿!$A:$H,5,FALSE))</f>
        <v/>
      </c>
      <c r="R24" s="65"/>
      <c r="S24" s="66"/>
      <c r="T24" s="63"/>
      <c r="U24" s="64" t="str">
        <f>IF(T24="","",VLOOKUP(CONCATENATE(C25,"_",T24),選手名簿!$A:$H,5,FALSE))</f>
        <v/>
      </c>
      <c r="V24" s="65"/>
      <c r="W24" s="66"/>
    </row>
    <row r="25" spans="2:23" ht="35.1" customHeight="1" thickBot="1" x14ac:dyDescent="0.2">
      <c r="B25" s="31" t="s">
        <v>17</v>
      </c>
      <c r="C25" s="418" t="str">
        <f>抽選会資料!I20</f>
        <v>ＦＣアリアーレ</v>
      </c>
      <c r="D25" s="410"/>
      <c r="E25" s="64" t="str">
        <f>IF(D25="","",VLOOKUP(CONCATENATE(C25,"_",D25),選手名簿!$A:$H,5,FALSE))</f>
        <v/>
      </c>
      <c r="F25" s="65"/>
      <c r="G25" s="66"/>
      <c r="H25" s="63"/>
      <c r="I25" s="64" t="str">
        <f>IF(H25="","",VLOOKUP(CONCATENATE(#REF!,"_",H25),選手名簿!$A:$H,5,FALSE))</f>
        <v/>
      </c>
      <c r="J25" s="65"/>
      <c r="K25" s="66"/>
      <c r="L25" s="63"/>
      <c r="M25" s="64" t="str">
        <f>IF(L25="","",VLOOKUP(CONCATENATE(#REF!,"_",L25),選手名簿!$A:$H,5,FALSE))</f>
        <v/>
      </c>
      <c r="N25" s="65"/>
      <c r="O25" s="66"/>
      <c r="P25" s="63"/>
      <c r="Q25" s="64" t="str">
        <f>IF(P25="","",VLOOKUP(CONCATENATE(#REF!,"_",P25),選手名簿!$A:$H,5,FALSE))</f>
        <v/>
      </c>
      <c r="R25" s="65"/>
      <c r="S25" s="66"/>
      <c r="T25" s="63"/>
      <c r="U25" s="64" t="str">
        <f>IF(T25="","",VLOOKUP(CONCATENATE(#REF!,"_",T25),選手名簿!$A:$H,5,FALSE))</f>
        <v/>
      </c>
      <c r="V25" s="65"/>
      <c r="W25" s="66"/>
    </row>
    <row r="26" spans="2:23" ht="35.1" customHeight="1" thickBot="1" x14ac:dyDescent="0.2">
      <c r="B26" s="31" t="s">
        <v>19</v>
      </c>
      <c r="C26" s="418" t="str">
        <f>抽選会資料!I21</f>
        <v>鶴岡Ｓ―ｐｌａｙ・ＭＩＮＡＭＩ</v>
      </c>
      <c r="D26" s="410"/>
      <c r="E26" s="64" t="str">
        <f>IF(D26="","",VLOOKUP(CONCATENATE(C26,"_",D26),選手名簿!$A:$H,5,FALSE))</f>
        <v/>
      </c>
      <c r="F26" s="65"/>
      <c r="G26" s="66"/>
      <c r="H26" s="63"/>
      <c r="I26" s="64" t="str">
        <f>IF(H26="","",VLOOKUP(CONCATENATE(C26,"_",H26),選手名簿!$A:$H,5,FALSE))</f>
        <v/>
      </c>
      <c r="J26" s="65"/>
      <c r="K26" s="66"/>
      <c r="L26" s="63"/>
      <c r="M26" s="64" t="str">
        <f>IF(L26="","",VLOOKUP(CONCATENATE(C26,"_",L26),選手名簿!$A:$H,5,FALSE))</f>
        <v/>
      </c>
      <c r="N26" s="65"/>
      <c r="O26" s="66"/>
      <c r="P26" s="63"/>
      <c r="Q26" s="64" t="str">
        <f>IF(P26="","",VLOOKUP(CONCATENATE(C26,"_",P26),選手名簿!$A:$H,5,FALSE))</f>
        <v/>
      </c>
      <c r="R26" s="65"/>
      <c r="S26" s="66"/>
      <c r="T26" s="63"/>
      <c r="U26" s="64" t="str">
        <f>IF(T26="","",VLOOKUP(CONCATENATE(C26,"_",T26),選手名簿!$A:$H,5,FALSE))</f>
        <v/>
      </c>
      <c r="V26" s="65"/>
      <c r="W26" s="66"/>
    </row>
    <row r="27" spans="2:23" ht="35.1" customHeight="1" thickBot="1" x14ac:dyDescent="0.2">
      <c r="B27" s="31" t="s">
        <v>20</v>
      </c>
      <c r="C27" s="418" t="str">
        <f>抽選会資料!I22</f>
        <v>ＦＣ大野</v>
      </c>
      <c r="D27" s="410"/>
      <c r="E27" s="64" t="str">
        <f>IF(D27="","",VLOOKUP(CONCATENATE(C27,"_",D27),選手名簿!$A:$H,5,FALSE))</f>
        <v/>
      </c>
      <c r="F27" s="65"/>
      <c r="G27" s="66"/>
      <c r="H27" s="63"/>
      <c r="I27" s="64" t="str">
        <f>IF(H27="","",VLOOKUP(CONCATENATE(C27,"_",H27),選手名簿!$A:$H,5,FALSE))</f>
        <v/>
      </c>
      <c r="J27" s="65"/>
      <c r="K27" s="66"/>
      <c r="L27" s="63"/>
      <c r="M27" s="64" t="str">
        <f>IF(L27="","",VLOOKUP(CONCATENATE(C27,"_",L27),選手名簿!$A:$H,5,FALSE))</f>
        <v/>
      </c>
      <c r="N27" s="65"/>
      <c r="O27" s="66"/>
      <c r="P27" s="63"/>
      <c r="Q27" s="64" t="str">
        <f>IF(P27="","",VLOOKUP(CONCATENATE(C27,"_",P27),選手名簿!$A:$H,5,FALSE))</f>
        <v/>
      </c>
      <c r="R27" s="65"/>
      <c r="S27" s="66"/>
      <c r="T27" s="63"/>
      <c r="U27" s="64" t="str">
        <f>IF(T27="","",VLOOKUP(CONCATENATE(C27,"_",T27),選手名簿!$A:$H,5,FALSE))</f>
        <v/>
      </c>
      <c r="V27" s="65"/>
      <c r="W27" s="66"/>
    </row>
    <row r="28" spans="2:23" ht="35.1" customHeight="1" thickBot="1" x14ac:dyDescent="0.2">
      <c r="B28" s="31" t="s">
        <v>21</v>
      </c>
      <c r="C28" s="419" t="str">
        <f>抽選会資料!I23</f>
        <v>野津ＦＣ</v>
      </c>
      <c r="D28" s="412"/>
      <c r="E28" s="68" t="str">
        <f>IF(D28="","",VLOOKUP(CONCATENATE(C28,"_",D28),選手名簿!$A:$H,5,FALSE))</f>
        <v/>
      </c>
      <c r="F28" s="69"/>
      <c r="G28" s="70"/>
      <c r="H28" s="67"/>
      <c r="I28" s="68" t="str">
        <f>IF(H28="","",VLOOKUP(CONCATENATE(C28,"_",H28),選手名簿!$A:$H,5,FALSE))</f>
        <v/>
      </c>
      <c r="J28" s="69"/>
      <c r="K28" s="70"/>
      <c r="L28" s="67"/>
      <c r="M28" s="68" t="str">
        <f>IF(L28="","",VLOOKUP(CONCATENATE(C28,"_",L28),選手名簿!$A:$H,5,FALSE))</f>
        <v/>
      </c>
      <c r="N28" s="69"/>
      <c r="O28" s="70"/>
      <c r="P28" s="67"/>
      <c r="Q28" s="68" t="str">
        <f>IF(P28="","",VLOOKUP(CONCATENATE(C28,"_",P28),選手名簿!$A:$H,5,FALSE))</f>
        <v/>
      </c>
      <c r="R28" s="69"/>
      <c r="S28" s="70"/>
      <c r="T28" s="67"/>
      <c r="U28" s="68" t="str">
        <f>IF(T28="","",VLOOKUP(CONCATENATE(C28,"_",T28),選手名簿!$A:$H,5,FALSE))</f>
        <v/>
      </c>
      <c r="V28" s="69"/>
      <c r="W28" s="70"/>
    </row>
    <row r="29" spans="2:23" x14ac:dyDescent="0.15">
      <c r="B29" s="71"/>
      <c r="C29" s="72"/>
      <c r="F29" s="73"/>
      <c r="G29" s="73"/>
    </row>
    <row r="30" spans="2:23" x14ac:dyDescent="0.15">
      <c r="F30" s="73"/>
      <c r="G30" s="73"/>
    </row>
    <row r="31" spans="2:23" x14ac:dyDescent="0.15">
      <c r="E31" s="56"/>
      <c r="F31" s="73"/>
      <c r="G31" s="73"/>
    </row>
    <row r="32" spans="2:23" x14ac:dyDescent="0.15">
      <c r="E32" s="56"/>
      <c r="F32" s="73"/>
      <c r="G32" s="73"/>
    </row>
    <row r="33" spans="5:7" x14ac:dyDescent="0.15">
      <c r="E33" s="56"/>
      <c r="F33" s="73"/>
      <c r="G33" s="73"/>
    </row>
    <row r="34" spans="5:7" x14ac:dyDescent="0.15">
      <c r="E34" s="56"/>
      <c r="F34" s="73"/>
      <c r="G34" s="73"/>
    </row>
    <row r="35" spans="5:7" x14ac:dyDescent="0.15">
      <c r="F35" s="73"/>
      <c r="G35" s="73"/>
    </row>
    <row r="36" spans="5:7" x14ac:dyDescent="0.15">
      <c r="F36" s="73"/>
      <c r="G36" s="73"/>
    </row>
    <row r="37" spans="5:7" x14ac:dyDescent="0.15">
      <c r="F37" s="73"/>
      <c r="G37" s="73"/>
    </row>
    <row r="38" spans="5:7" x14ac:dyDescent="0.15">
      <c r="F38" s="73"/>
      <c r="G38" s="73"/>
    </row>
    <row r="39" spans="5:7" x14ac:dyDescent="0.15">
      <c r="F39" s="73"/>
      <c r="G39" s="73"/>
    </row>
    <row r="40" spans="5:7" x14ac:dyDescent="0.15">
      <c r="F40" s="73"/>
      <c r="G40" s="73"/>
    </row>
  </sheetData>
  <autoFilter ref="A4:AB4" xr:uid="{00000000-0009-0000-0000-000003000000}"/>
  <mergeCells count="5">
    <mergeCell ref="B16:B18"/>
    <mergeCell ref="B19:B20"/>
    <mergeCell ref="B21:B22"/>
    <mergeCell ref="B23:B24"/>
    <mergeCell ref="B5:B15"/>
  </mergeCells>
  <phoneticPr fontId="77"/>
  <conditionalFormatting sqref="B1:E1 H1:K1 M1:Y4 B1:B16 A1:A27 AC1:IV65536 C2:L4 C5:C28 B18:B27 A28:B28 A29:C45 D35:E35 D36:D65536 C39:E39 A46:A51 A52:C65536">
    <cfRule type="cellIs" dxfId="19" priority="49" stopIfTrue="1" operator="equal">
      <formula>"退場"</formula>
    </cfRule>
  </conditionalFormatting>
  <conditionalFormatting sqref="B1:E1 H1:K1 M1:Y4 B1:B16 A1:A27 AC1:IV65536 C2:L4 C5:C28 B18:B27 A28:B28 E29:E40 A29:C45 D35:E35 D36:D65536 C39:E39 A46:A51 A52:C65536 E41:Y65536">
    <cfRule type="cellIs" dxfId="18" priority="50" stopIfTrue="1" operator="equal">
      <formula>"警告"</formula>
    </cfRule>
  </conditionalFormatting>
  <conditionalFormatting sqref="B1:E1 H1:K1 M1:Y4 B1:B16 A1:A27 AC1:IV65536 C2:L4 C5:C28 B18:B27 A28:B28 E29:E40 A29:C45 D35:E35 D36:D65536 C39:E39 E41:Y65536 A46:A51 A52:C65536">
    <cfRule type="cellIs" dxfId="17" priority="51" stopIfTrue="1" operator="equal">
      <formula>"警告(累積2枚目次節出場停止）"</formula>
    </cfRule>
  </conditionalFormatting>
  <conditionalFormatting sqref="D5:D34">
    <cfRule type="cellIs" dxfId="16" priority="46" stopIfTrue="1" operator="equal">
      <formula>"退場"</formula>
    </cfRule>
    <cfRule type="cellIs" dxfId="15" priority="47" stopIfTrue="1" operator="equal">
      <formula>"警告"</formula>
    </cfRule>
    <cfRule type="cellIs" dxfId="14" priority="48" stopIfTrue="1" operator="equal">
      <formula>"警告(累積2枚目次節出場停止）"</formula>
    </cfRule>
  </conditionalFormatting>
  <conditionalFormatting sqref="E5:E28">
    <cfRule type="cellIs" dxfId="13" priority="41" stopIfTrue="1" operator="equal">
      <formula>"警告"</formula>
    </cfRule>
    <cfRule type="cellIs" dxfId="12" priority="42" stopIfTrue="1" operator="equal">
      <formula>"警告(累積2枚目次節出場停止）"</formula>
    </cfRule>
  </conditionalFormatting>
  <conditionalFormatting sqref="E5:Y65536">
    <cfRule type="cellIs" dxfId="11" priority="1" stopIfTrue="1" operator="equal">
      <formula>"退場"</formula>
    </cfRule>
  </conditionalFormatting>
  <conditionalFormatting sqref="F5:Y40">
    <cfRule type="cellIs" dxfId="10" priority="2" stopIfTrue="1" operator="equal">
      <formula>"警告"</formula>
    </cfRule>
    <cfRule type="cellIs" dxfId="9" priority="3" stopIfTrue="1" operator="equal">
      <formula>"警告(累積2枚目次節出場停止）"</formula>
    </cfRule>
  </conditionalFormatting>
  <dataValidations count="3">
    <dataValidation type="list" allowBlank="1" showInputMessage="1" showErrorMessage="1" sqref="A5:A29 WVI983045:WVI983069 WLM983045:WLM983069 WBQ983045:WBQ983069 VRU983045:VRU983069 VHY983045:VHY983069 UYC983045:UYC983069 UOG983045:UOG983069 UEK983045:UEK983069 TUO983045:TUO983069 TKS983045:TKS983069 TAW983045:TAW983069 SRA983045:SRA983069 SHE983045:SHE983069 RXI983045:RXI983069 RNM983045:RNM983069 RDQ983045:RDQ983069 QTU983045:QTU983069 QJY983045:QJY983069 QAC983045:QAC983069 PQG983045:PQG983069 PGK983045:PGK983069 OWO983045:OWO983069 OMS983045:OMS983069 OCW983045:OCW983069 NTA983045:NTA983069 NJE983045:NJE983069 MZI983045:MZI983069 MPM983045:MPM983069 MFQ983045:MFQ983069 LVU983045:LVU983069 LLY983045:LLY983069 LCC983045:LCC983069 KSG983045:KSG983069 KIK983045:KIK983069 JYO983045:JYO983069 JOS983045:JOS983069 JEW983045:JEW983069 IVA983045:IVA983069 ILE983045:ILE983069 IBI983045:IBI983069 HRM983045:HRM983069 HHQ983045:HHQ983069 GXU983045:GXU983069 GNY983045:GNY983069 GEC983045:GEC983069 FUG983045:FUG983069 FKK983045:FKK983069 FAO983045:FAO983069 EQS983045:EQS983069 EGW983045:EGW983069 DXA983045:DXA983069 DNE983045:DNE983069 DDI983045:DDI983069 CTM983045:CTM983069 CJQ983045:CJQ983069 BZU983045:BZU983069 BPY983045:BPY983069 BGC983045:BGC983069 AWG983045:AWG983069 AMK983045:AMK983069 ACO983045:ACO983069 SS983045:SS983069 IW983045:IW983069 A983045:A983069 WVI917509:WVI917533 WLM917509:WLM917533 WBQ917509:WBQ917533 VRU917509:VRU917533 VHY917509:VHY917533 UYC917509:UYC917533 UOG917509:UOG917533 UEK917509:UEK917533 TUO917509:TUO917533 TKS917509:TKS917533 TAW917509:TAW917533 SRA917509:SRA917533 SHE917509:SHE917533 RXI917509:RXI917533 RNM917509:RNM917533 RDQ917509:RDQ917533 QTU917509:QTU917533 QJY917509:QJY917533 QAC917509:QAC917533 PQG917509:PQG917533 PGK917509:PGK917533 OWO917509:OWO917533 OMS917509:OMS917533 OCW917509:OCW917533 NTA917509:NTA917533 NJE917509:NJE917533 MZI917509:MZI917533 MPM917509:MPM917533 MFQ917509:MFQ917533 LVU917509:LVU917533 LLY917509:LLY917533 LCC917509:LCC917533 KSG917509:KSG917533 KIK917509:KIK917533 JYO917509:JYO917533 JOS917509:JOS917533 JEW917509:JEW917533 IVA917509:IVA917533 ILE917509:ILE917533 IBI917509:IBI917533 HRM917509:HRM917533 HHQ917509:HHQ917533 GXU917509:GXU917533 GNY917509:GNY917533 GEC917509:GEC917533 FUG917509:FUG917533 FKK917509:FKK917533 FAO917509:FAO917533 EQS917509:EQS917533 EGW917509:EGW917533 DXA917509:DXA917533 DNE917509:DNE917533 DDI917509:DDI917533 CTM917509:CTM917533 CJQ917509:CJQ917533 BZU917509:BZU917533 BPY917509:BPY917533 BGC917509:BGC917533 AWG917509:AWG917533 AMK917509:AMK917533 ACO917509:ACO917533 SS917509:SS917533 IW917509:IW917533 A917509:A917533 WVI851973:WVI851997 WLM851973:WLM851997 WBQ851973:WBQ851997 VRU851973:VRU851997 VHY851973:VHY851997 UYC851973:UYC851997 UOG851973:UOG851997 UEK851973:UEK851997 TUO851973:TUO851997 TKS851973:TKS851997 TAW851973:TAW851997 SRA851973:SRA851997 SHE851973:SHE851997 RXI851973:RXI851997 RNM851973:RNM851997 RDQ851973:RDQ851997 QTU851973:QTU851997 QJY851973:QJY851997 QAC851973:QAC851997 PQG851973:PQG851997 PGK851973:PGK851997 OWO851973:OWO851997 OMS851973:OMS851997 OCW851973:OCW851997 NTA851973:NTA851997 NJE851973:NJE851997 MZI851973:MZI851997 MPM851973:MPM851997 MFQ851973:MFQ851997 LVU851973:LVU851997 LLY851973:LLY851997 LCC851973:LCC851997 KSG851973:KSG851997 KIK851973:KIK851997 JYO851973:JYO851997 JOS851973:JOS851997 JEW851973:JEW851997 IVA851973:IVA851997 ILE851973:ILE851997 IBI851973:IBI851997 HRM851973:HRM851997 HHQ851973:HHQ851997 GXU851973:GXU851997 GNY851973:GNY851997 GEC851973:GEC851997 FUG851973:FUG851997 FKK851973:FKK851997 FAO851973:FAO851997 EQS851973:EQS851997 EGW851973:EGW851997 DXA851973:DXA851997 DNE851973:DNE851997 DDI851973:DDI851997 CTM851973:CTM851997 CJQ851973:CJQ851997 BZU851973:BZU851997 BPY851973:BPY851997 BGC851973:BGC851997 AWG851973:AWG851997 AMK851973:AMK851997 ACO851973:ACO851997 SS851973:SS851997 IW851973:IW851997 A851973:A851997 WVI786437:WVI786461 WLM786437:WLM786461 WBQ786437:WBQ786461 VRU786437:VRU786461 VHY786437:VHY786461 UYC786437:UYC786461 UOG786437:UOG786461 UEK786437:UEK786461 TUO786437:TUO786461 TKS786437:TKS786461 TAW786437:TAW786461 SRA786437:SRA786461 SHE786437:SHE786461 RXI786437:RXI786461 RNM786437:RNM786461 RDQ786437:RDQ786461 QTU786437:QTU786461 QJY786437:QJY786461 QAC786437:QAC786461 PQG786437:PQG786461 PGK786437:PGK786461 OWO786437:OWO786461 OMS786437:OMS786461 OCW786437:OCW786461 NTA786437:NTA786461 NJE786437:NJE786461 MZI786437:MZI786461 MPM786437:MPM786461 MFQ786437:MFQ786461 LVU786437:LVU786461 LLY786437:LLY786461 LCC786437:LCC786461 KSG786437:KSG786461 KIK786437:KIK786461 JYO786437:JYO786461 JOS786437:JOS786461 JEW786437:JEW786461 IVA786437:IVA786461 ILE786437:ILE786461 IBI786437:IBI786461 HRM786437:HRM786461 HHQ786437:HHQ786461 GXU786437:GXU786461 GNY786437:GNY786461 GEC786437:GEC786461 FUG786437:FUG786461 FKK786437:FKK786461 FAO786437:FAO786461 EQS786437:EQS786461 EGW786437:EGW786461 DXA786437:DXA786461 DNE786437:DNE786461 DDI786437:DDI786461 CTM786437:CTM786461 CJQ786437:CJQ786461 BZU786437:BZU786461 BPY786437:BPY786461 BGC786437:BGC786461 AWG786437:AWG786461 AMK786437:AMK786461 ACO786437:ACO786461 SS786437:SS786461 IW786437:IW786461 A786437:A786461 WVI720901:WVI720925 WLM720901:WLM720925 WBQ720901:WBQ720925 VRU720901:VRU720925 VHY720901:VHY720925 UYC720901:UYC720925 UOG720901:UOG720925 UEK720901:UEK720925 TUO720901:TUO720925 TKS720901:TKS720925 TAW720901:TAW720925 SRA720901:SRA720925 SHE720901:SHE720925 RXI720901:RXI720925 RNM720901:RNM720925 RDQ720901:RDQ720925 QTU720901:QTU720925 QJY720901:QJY720925 QAC720901:QAC720925 PQG720901:PQG720925 PGK720901:PGK720925 OWO720901:OWO720925 OMS720901:OMS720925 OCW720901:OCW720925 NTA720901:NTA720925 NJE720901:NJE720925 MZI720901:MZI720925 MPM720901:MPM720925 MFQ720901:MFQ720925 LVU720901:LVU720925 LLY720901:LLY720925 LCC720901:LCC720925 KSG720901:KSG720925 KIK720901:KIK720925 JYO720901:JYO720925 JOS720901:JOS720925 JEW720901:JEW720925 IVA720901:IVA720925 ILE720901:ILE720925 IBI720901:IBI720925 HRM720901:HRM720925 HHQ720901:HHQ720925 GXU720901:GXU720925 GNY720901:GNY720925 GEC720901:GEC720925 FUG720901:FUG720925 FKK720901:FKK720925 FAO720901:FAO720925 EQS720901:EQS720925 EGW720901:EGW720925 DXA720901:DXA720925 DNE720901:DNE720925 DDI720901:DDI720925 CTM720901:CTM720925 CJQ720901:CJQ720925 BZU720901:BZU720925 BPY720901:BPY720925 BGC720901:BGC720925 AWG720901:AWG720925 AMK720901:AMK720925 ACO720901:ACO720925 SS720901:SS720925 IW720901:IW720925 A720901:A720925 WVI655365:WVI655389 WLM655365:WLM655389 WBQ655365:WBQ655389 VRU655365:VRU655389 VHY655365:VHY655389 UYC655365:UYC655389 UOG655365:UOG655389 UEK655365:UEK655389 TUO655365:TUO655389 TKS655365:TKS655389 TAW655365:TAW655389 SRA655365:SRA655389 SHE655365:SHE655389 RXI655365:RXI655389 RNM655365:RNM655389 RDQ655365:RDQ655389 QTU655365:QTU655389 QJY655365:QJY655389 QAC655365:QAC655389 PQG655365:PQG655389 PGK655365:PGK655389 OWO655365:OWO655389 OMS655365:OMS655389 OCW655365:OCW655389 NTA655365:NTA655389 NJE655365:NJE655389 MZI655365:MZI655389 MPM655365:MPM655389 MFQ655365:MFQ655389 LVU655365:LVU655389 LLY655365:LLY655389 LCC655365:LCC655389 KSG655365:KSG655389 KIK655365:KIK655389 JYO655365:JYO655389 JOS655365:JOS655389 JEW655365:JEW655389 IVA655365:IVA655389 ILE655365:ILE655389 IBI655365:IBI655389 HRM655365:HRM655389 HHQ655365:HHQ655389 GXU655365:GXU655389 GNY655365:GNY655389 GEC655365:GEC655389 FUG655365:FUG655389 FKK655365:FKK655389 FAO655365:FAO655389 EQS655365:EQS655389 EGW655365:EGW655389 DXA655365:DXA655389 DNE655365:DNE655389 DDI655365:DDI655389 CTM655365:CTM655389 CJQ655365:CJQ655389 BZU655365:BZU655389 BPY655365:BPY655389 BGC655365:BGC655389 AWG655365:AWG655389 AMK655365:AMK655389 ACO655365:ACO655389 SS655365:SS655389 IW655365:IW655389 A655365:A655389 WVI589829:WVI589853 WLM589829:WLM589853 WBQ589829:WBQ589853 VRU589829:VRU589853 VHY589829:VHY589853 UYC589829:UYC589853 UOG589829:UOG589853 UEK589829:UEK589853 TUO589829:TUO589853 TKS589829:TKS589853 TAW589829:TAW589853 SRA589829:SRA589853 SHE589829:SHE589853 RXI589829:RXI589853 RNM589829:RNM589853 RDQ589829:RDQ589853 QTU589829:QTU589853 QJY589829:QJY589853 QAC589829:QAC589853 PQG589829:PQG589853 PGK589829:PGK589853 OWO589829:OWO589853 OMS589829:OMS589853 OCW589829:OCW589853 NTA589829:NTA589853 NJE589829:NJE589853 MZI589829:MZI589853 MPM589829:MPM589853 MFQ589829:MFQ589853 LVU589829:LVU589853 LLY589829:LLY589853 LCC589829:LCC589853 KSG589829:KSG589853 KIK589829:KIK589853 JYO589829:JYO589853 JOS589829:JOS589853 JEW589829:JEW589853 IVA589829:IVA589853 ILE589829:ILE589853 IBI589829:IBI589853 HRM589829:HRM589853 HHQ589829:HHQ589853 GXU589829:GXU589853 GNY589829:GNY589853 GEC589829:GEC589853 FUG589829:FUG589853 FKK589829:FKK589853 FAO589829:FAO589853 EQS589829:EQS589853 EGW589829:EGW589853 DXA589829:DXA589853 DNE589829:DNE589853 DDI589829:DDI589853 CTM589829:CTM589853 CJQ589829:CJQ589853 BZU589829:BZU589853 BPY589829:BPY589853 BGC589829:BGC589853 AWG589829:AWG589853 AMK589829:AMK589853 ACO589829:ACO589853 SS589829:SS589853 IW589829:IW589853 A589829:A589853 WVI524293:WVI524317 WLM524293:WLM524317 WBQ524293:WBQ524317 VRU524293:VRU524317 VHY524293:VHY524317 UYC524293:UYC524317 UOG524293:UOG524317 UEK524293:UEK524317 TUO524293:TUO524317 TKS524293:TKS524317 TAW524293:TAW524317 SRA524293:SRA524317 SHE524293:SHE524317 RXI524293:RXI524317 RNM524293:RNM524317 RDQ524293:RDQ524317 QTU524293:QTU524317 QJY524293:QJY524317 QAC524293:QAC524317 PQG524293:PQG524317 PGK524293:PGK524317 OWO524293:OWO524317 OMS524293:OMS524317 OCW524293:OCW524317 NTA524293:NTA524317 NJE524293:NJE524317 MZI524293:MZI524317 MPM524293:MPM524317 MFQ524293:MFQ524317 LVU524293:LVU524317 LLY524293:LLY524317 LCC524293:LCC524317 KSG524293:KSG524317 KIK524293:KIK524317 JYO524293:JYO524317 JOS524293:JOS524317 JEW524293:JEW524317 IVA524293:IVA524317 ILE524293:ILE524317 IBI524293:IBI524317 HRM524293:HRM524317 HHQ524293:HHQ524317 GXU524293:GXU524317 GNY524293:GNY524317 GEC524293:GEC524317 FUG524293:FUG524317 FKK524293:FKK524317 FAO524293:FAO524317 EQS524293:EQS524317 EGW524293:EGW524317 DXA524293:DXA524317 DNE524293:DNE524317 DDI524293:DDI524317 CTM524293:CTM524317 CJQ524293:CJQ524317 BZU524293:BZU524317 BPY524293:BPY524317 BGC524293:BGC524317 AWG524293:AWG524317 AMK524293:AMK524317 ACO524293:ACO524317 SS524293:SS524317 IW524293:IW524317 A524293:A524317 WVI458757:WVI458781 WLM458757:WLM458781 WBQ458757:WBQ458781 VRU458757:VRU458781 VHY458757:VHY458781 UYC458757:UYC458781 UOG458757:UOG458781 UEK458757:UEK458781 TUO458757:TUO458781 TKS458757:TKS458781 TAW458757:TAW458781 SRA458757:SRA458781 SHE458757:SHE458781 RXI458757:RXI458781 RNM458757:RNM458781 RDQ458757:RDQ458781 QTU458757:QTU458781 QJY458757:QJY458781 QAC458757:QAC458781 PQG458757:PQG458781 PGK458757:PGK458781 OWO458757:OWO458781 OMS458757:OMS458781 OCW458757:OCW458781 NTA458757:NTA458781 NJE458757:NJE458781 MZI458757:MZI458781 MPM458757:MPM458781 MFQ458757:MFQ458781 LVU458757:LVU458781 LLY458757:LLY458781 LCC458757:LCC458781 KSG458757:KSG458781 KIK458757:KIK458781 JYO458757:JYO458781 JOS458757:JOS458781 JEW458757:JEW458781 IVA458757:IVA458781 ILE458757:ILE458781 IBI458757:IBI458781 HRM458757:HRM458781 HHQ458757:HHQ458781 GXU458757:GXU458781 GNY458757:GNY458781 GEC458757:GEC458781 FUG458757:FUG458781 FKK458757:FKK458781 FAO458757:FAO458781 EQS458757:EQS458781 EGW458757:EGW458781 DXA458757:DXA458781 DNE458757:DNE458781 DDI458757:DDI458781 CTM458757:CTM458781 CJQ458757:CJQ458781 BZU458757:BZU458781 BPY458757:BPY458781 BGC458757:BGC458781 AWG458757:AWG458781 AMK458757:AMK458781 ACO458757:ACO458781 SS458757:SS458781 IW458757:IW458781 A458757:A458781 WVI393221:WVI393245 WLM393221:WLM393245 WBQ393221:WBQ393245 VRU393221:VRU393245 VHY393221:VHY393245 UYC393221:UYC393245 UOG393221:UOG393245 UEK393221:UEK393245 TUO393221:TUO393245 TKS393221:TKS393245 TAW393221:TAW393245 SRA393221:SRA393245 SHE393221:SHE393245 RXI393221:RXI393245 RNM393221:RNM393245 RDQ393221:RDQ393245 QTU393221:QTU393245 QJY393221:QJY393245 QAC393221:QAC393245 PQG393221:PQG393245 PGK393221:PGK393245 OWO393221:OWO393245 OMS393221:OMS393245 OCW393221:OCW393245 NTA393221:NTA393245 NJE393221:NJE393245 MZI393221:MZI393245 MPM393221:MPM393245 MFQ393221:MFQ393245 LVU393221:LVU393245 LLY393221:LLY393245 LCC393221:LCC393245 KSG393221:KSG393245 KIK393221:KIK393245 JYO393221:JYO393245 JOS393221:JOS393245 JEW393221:JEW393245 IVA393221:IVA393245 ILE393221:ILE393245 IBI393221:IBI393245 HRM393221:HRM393245 HHQ393221:HHQ393245 GXU393221:GXU393245 GNY393221:GNY393245 GEC393221:GEC393245 FUG393221:FUG393245 FKK393221:FKK393245 FAO393221:FAO393245 EQS393221:EQS393245 EGW393221:EGW393245 DXA393221:DXA393245 DNE393221:DNE393245 DDI393221:DDI393245 CTM393221:CTM393245 CJQ393221:CJQ393245 BZU393221:BZU393245 BPY393221:BPY393245 BGC393221:BGC393245 AWG393221:AWG393245 AMK393221:AMK393245 ACO393221:ACO393245 SS393221:SS393245 IW393221:IW393245 A393221:A393245 WVI327685:WVI327709 WLM327685:WLM327709 WBQ327685:WBQ327709 VRU327685:VRU327709 VHY327685:VHY327709 UYC327685:UYC327709 UOG327685:UOG327709 UEK327685:UEK327709 TUO327685:TUO327709 TKS327685:TKS327709 TAW327685:TAW327709 SRA327685:SRA327709 SHE327685:SHE327709 RXI327685:RXI327709 RNM327685:RNM327709 RDQ327685:RDQ327709 QTU327685:QTU327709 QJY327685:QJY327709 QAC327685:QAC327709 PQG327685:PQG327709 PGK327685:PGK327709 OWO327685:OWO327709 OMS327685:OMS327709 OCW327685:OCW327709 NTA327685:NTA327709 NJE327685:NJE327709 MZI327685:MZI327709 MPM327685:MPM327709 MFQ327685:MFQ327709 LVU327685:LVU327709 LLY327685:LLY327709 LCC327685:LCC327709 KSG327685:KSG327709 KIK327685:KIK327709 JYO327685:JYO327709 JOS327685:JOS327709 JEW327685:JEW327709 IVA327685:IVA327709 ILE327685:ILE327709 IBI327685:IBI327709 HRM327685:HRM327709 HHQ327685:HHQ327709 GXU327685:GXU327709 GNY327685:GNY327709 GEC327685:GEC327709 FUG327685:FUG327709 FKK327685:FKK327709 FAO327685:FAO327709 EQS327685:EQS327709 EGW327685:EGW327709 DXA327685:DXA327709 DNE327685:DNE327709 DDI327685:DDI327709 CTM327685:CTM327709 CJQ327685:CJQ327709 BZU327685:BZU327709 BPY327685:BPY327709 BGC327685:BGC327709 AWG327685:AWG327709 AMK327685:AMK327709 ACO327685:ACO327709 SS327685:SS327709 IW327685:IW327709 A327685:A327709 WVI262149:WVI262173 WLM262149:WLM262173 WBQ262149:WBQ262173 VRU262149:VRU262173 VHY262149:VHY262173 UYC262149:UYC262173 UOG262149:UOG262173 UEK262149:UEK262173 TUO262149:TUO262173 TKS262149:TKS262173 TAW262149:TAW262173 SRA262149:SRA262173 SHE262149:SHE262173 RXI262149:RXI262173 RNM262149:RNM262173 RDQ262149:RDQ262173 QTU262149:QTU262173 QJY262149:QJY262173 QAC262149:QAC262173 PQG262149:PQG262173 PGK262149:PGK262173 OWO262149:OWO262173 OMS262149:OMS262173 OCW262149:OCW262173 NTA262149:NTA262173 NJE262149:NJE262173 MZI262149:MZI262173 MPM262149:MPM262173 MFQ262149:MFQ262173 LVU262149:LVU262173 LLY262149:LLY262173 LCC262149:LCC262173 KSG262149:KSG262173 KIK262149:KIK262173 JYO262149:JYO262173 JOS262149:JOS262173 JEW262149:JEW262173 IVA262149:IVA262173 ILE262149:ILE262173 IBI262149:IBI262173 HRM262149:HRM262173 HHQ262149:HHQ262173 GXU262149:GXU262173 GNY262149:GNY262173 GEC262149:GEC262173 FUG262149:FUG262173 FKK262149:FKK262173 FAO262149:FAO262173 EQS262149:EQS262173 EGW262149:EGW262173 DXA262149:DXA262173 DNE262149:DNE262173 DDI262149:DDI262173 CTM262149:CTM262173 CJQ262149:CJQ262173 BZU262149:BZU262173 BPY262149:BPY262173 BGC262149:BGC262173 AWG262149:AWG262173 AMK262149:AMK262173 ACO262149:ACO262173 SS262149:SS262173 IW262149:IW262173 A262149:A262173 WVI196613:WVI196637 WLM196613:WLM196637 WBQ196613:WBQ196637 VRU196613:VRU196637 VHY196613:VHY196637 UYC196613:UYC196637 UOG196613:UOG196637 UEK196613:UEK196637 TUO196613:TUO196637 TKS196613:TKS196637 TAW196613:TAW196637 SRA196613:SRA196637 SHE196613:SHE196637 RXI196613:RXI196637 RNM196613:RNM196637 RDQ196613:RDQ196637 QTU196613:QTU196637 QJY196613:QJY196637 QAC196613:QAC196637 PQG196613:PQG196637 PGK196613:PGK196637 OWO196613:OWO196637 OMS196613:OMS196637 OCW196613:OCW196637 NTA196613:NTA196637 NJE196613:NJE196637 MZI196613:MZI196637 MPM196613:MPM196637 MFQ196613:MFQ196637 LVU196613:LVU196637 LLY196613:LLY196637 LCC196613:LCC196637 KSG196613:KSG196637 KIK196613:KIK196637 JYO196613:JYO196637 JOS196613:JOS196637 JEW196613:JEW196637 IVA196613:IVA196637 ILE196613:ILE196637 IBI196613:IBI196637 HRM196613:HRM196637 HHQ196613:HHQ196637 GXU196613:GXU196637 GNY196613:GNY196637 GEC196613:GEC196637 FUG196613:FUG196637 FKK196613:FKK196637 FAO196613:FAO196637 EQS196613:EQS196637 EGW196613:EGW196637 DXA196613:DXA196637 DNE196613:DNE196637 DDI196613:DDI196637 CTM196613:CTM196637 CJQ196613:CJQ196637 BZU196613:BZU196637 BPY196613:BPY196637 BGC196613:BGC196637 AWG196613:AWG196637 AMK196613:AMK196637 ACO196613:ACO196637 SS196613:SS196637 IW196613:IW196637 A196613:A196637 WVI131077:WVI131101 WLM131077:WLM131101 WBQ131077:WBQ131101 VRU131077:VRU131101 VHY131077:VHY131101 UYC131077:UYC131101 UOG131077:UOG131101 UEK131077:UEK131101 TUO131077:TUO131101 TKS131077:TKS131101 TAW131077:TAW131101 SRA131077:SRA131101 SHE131077:SHE131101 RXI131077:RXI131101 RNM131077:RNM131101 RDQ131077:RDQ131101 QTU131077:QTU131101 QJY131077:QJY131101 QAC131077:QAC131101 PQG131077:PQG131101 PGK131077:PGK131101 OWO131077:OWO131101 OMS131077:OMS131101 OCW131077:OCW131101 NTA131077:NTA131101 NJE131077:NJE131101 MZI131077:MZI131101 MPM131077:MPM131101 MFQ131077:MFQ131101 LVU131077:LVU131101 LLY131077:LLY131101 LCC131077:LCC131101 KSG131077:KSG131101 KIK131077:KIK131101 JYO131077:JYO131101 JOS131077:JOS131101 JEW131077:JEW131101 IVA131077:IVA131101 ILE131077:ILE131101 IBI131077:IBI131101 HRM131077:HRM131101 HHQ131077:HHQ131101 GXU131077:GXU131101 GNY131077:GNY131101 GEC131077:GEC131101 FUG131077:FUG131101 FKK131077:FKK131101 FAO131077:FAO131101 EQS131077:EQS131101 EGW131077:EGW131101 DXA131077:DXA131101 DNE131077:DNE131101 DDI131077:DDI131101 CTM131077:CTM131101 CJQ131077:CJQ131101 BZU131077:BZU131101 BPY131077:BPY131101 BGC131077:BGC131101 AWG131077:AWG131101 AMK131077:AMK131101 ACO131077:ACO131101 SS131077:SS131101 IW131077:IW131101 A131077:A131101 WVI65541:WVI65565 WLM65541:WLM65565 WBQ65541:WBQ65565 VRU65541:VRU65565 VHY65541:VHY65565 UYC65541:UYC65565 UOG65541:UOG65565 UEK65541:UEK65565 TUO65541:TUO65565 TKS65541:TKS65565 TAW65541:TAW65565 SRA65541:SRA65565 SHE65541:SHE65565 RXI65541:RXI65565 RNM65541:RNM65565 RDQ65541:RDQ65565 QTU65541:QTU65565 QJY65541:QJY65565 QAC65541:QAC65565 PQG65541:PQG65565 PGK65541:PGK65565 OWO65541:OWO65565 OMS65541:OMS65565 OCW65541:OCW65565 NTA65541:NTA65565 NJE65541:NJE65565 MZI65541:MZI65565 MPM65541:MPM65565 MFQ65541:MFQ65565 LVU65541:LVU65565 LLY65541:LLY65565 LCC65541:LCC65565 KSG65541:KSG65565 KIK65541:KIK65565 JYO65541:JYO65565 JOS65541:JOS65565 JEW65541:JEW65565 IVA65541:IVA65565 ILE65541:ILE65565 IBI65541:IBI65565 HRM65541:HRM65565 HHQ65541:HHQ65565 GXU65541:GXU65565 GNY65541:GNY65565 GEC65541:GEC65565 FUG65541:FUG65565 FKK65541:FKK65565 FAO65541:FAO65565 EQS65541:EQS65565 EGW65541:EGW65565 DXA65541:DXA65565 DNE65541:DNE65565 DDI65541:DDI65565 CTM65541:CTM65565 CJQ65541:CJQ65565 BZU65541:BZU65565 BPY65541:BPY65565 BGC65541:BGC65565 AWG65541:AWG65565 AMK65541:AMK65565 ACO65541:ACO65565 SS65541:SS65565 IW65541:IW65565 A65541:A65565 WVI5:WVI29 WLM5:WLM29 WBQ5:WBQ29 VRU5:VRU29 VHY5:VHY29 UYC5:UYC29 UOG5:UOG29 UEK5:UEK29 TUO5:TUO29 TKS5:TKS29 TAW5:TAW29 SRA5:SRA29 SHE5:SHE29 RXI5:RXI29 RNM5:RNM29 RDQ5:RDQ29 QTU5:QTU29 QJY5:QJY29 QAC5:QAC29 PQG5:PQG29 PGK5:PGK29 OWO5:OWO29 OMS5:OMS29 OCW5:OCW29 NTA5:NTA29 NJE5:NJE29 MZI5:MZI29 MPM5:MPM29 MFQ5:MFQ29 LVU5:LVU29 LLY5:LLY29 LCC5:LCC29 KSG5:KSG29 KIK5:KIK29 JYO5:JYO29 JOS5:JOS29 JEW5:JEW29 IVA5:IVA29 ILE5:ILE29 IBI5:IBI29 HRM5:HRM29 HHQ5:HHQ29 GXU5:GXU29 GNY5:GNY29 GEC5:GEC29 FUG5:FUG29 FKK5:FKK29 FAO5:FAO29 EQS5:EQS29 EGW5:EGW29 DXA5:DXA29 DNE5:DNE29 DDI5:DDI29 CTM5:CTM29 CJQ5:CJQ29 BZU5:BZU29 BPY5:BPY29 BGC5:BGC29 AWG5:AWG29 AMK5:AMK29 ACO5:ACO29 SS5:SS29 IW5:IW29" xr:uid="{000900BC-00E6-418B-8694-00B800FF00F7}">
      <formula1>$A$1</formula1>
    </dataValidation>
    <dataValidation type="list" allowBlank="1" showInputMessage="1" showErrorMessage="1" sqref="G33:G40 G29:G30" xr:uid="{00EB00A5-00D5-4977-B2A8-00E7008E003E}">
      <formula1>$AJ$1:$AJ$18</formula1>
    </dataValidation>
    <dataValidation type="list" allowBlank="1" showInputMessage="1" showErrorMessage="1" sqref="F33:F40 F29:F30" xr:uid="{0085009E-00A6-4C0F-AB83-00E600D000D3}">
      <formula1>$AH$1:$AH$4</formula1>
    </dataValidation>
  </dataValidations>
  <pageMargins left="0" right="0" top="0.98425196850393704" bottom="0.98425196850393704" header="0.51181102362204722" footer="0.51181102362204722"/>
  <pageSetup paperSize="9" scale="51" orientation="landscape" r:id="rId1"/>
  <extLst>
    <ext xmlns:x14="http://schemas.microsoft.com/office/spreadsheetml/2009/9/main" uri="{CCE6A557-97BC-4b89-ADB6-D9C93CAAB3DF}">
      <x14:dataValidations xmlns:xm="http://schemas.microsoft.com/office/excel/2006/main" count="10176">
        <x14:dataValidation type="list" allowBlank="1" showInputMessage="1" showErrorMessage="1" xr:uid="{00000000-0002-0000-0300-000000000000}">
          <x14:formula1>
            <xm:f>項目!$C$1:$C$17</xm:f>
          </x14:formula1>
          <xm:sqref>G5:G28 F5:F12 G31:G32 K5:K28 J5:J12 O5:O28 N5:N12 S5:S28 R5:R12 W5:W28 V5:V12</xm:sqref>
        </x14:dataValidation>
        <x14:dataValidation type="list" allowBlank="1" showInputMessage="1" showErrorMessage="1" xr:uid="{00000000-0002-0000-0300-000001000000}">
          <x14:formula1>
            <xm:f>項目!$A$1:$A$4</xm:f>
          </x14:formula1>
          <xm:sqref>F13:F28 F31:F32 J13:J28 N13:N28 R13:R28 V13:V28</xm:sqref>
        </x14:dataValidation>
        <x14:dataValidation type="list" allowBlank="1" showInputMessage="1" showErrorMessage="1" xr:uid="{0018000F-00BA-4521-A470-006100280005}">
          <x14:formula1>
            <xm:f>#REF!</xm:f>
          </x14:formula1>
          <xm:sqref>R29:S29 WWD983069:WWE983069 WMH983069:WMI983069 WCL983069:WCM983069 VSP983069:VSQ983069 VIT983069:VIU983069 UYX983069:UYY983069 UPB983069:UPC983069 UFF983069:UFG983069 TVJ983069:TVK983069 TLN983069:TLO983069 TBR983069:TBS983069 SRV983069:SRW983069 SHZ983069:SIA983069 RYD983069:RYE983069 ROH983069:ROI983069 REL983069:REM983069 QUP983069:QUQ983069 QKT983069:QKU983069 QAX983069:QAY983069 PRB983069:PRC983069 PHF983069:PHG983069 OXJ983069:OXK983069 ONN983069:ONO983069 ODR983069:ODS983069 NTV983069:NTW983069 NJZ983069:NKA983069 NAD983069:NAE983069 MQH983069:MQI983069 MGL983069:MGM983069 LWP983069:LWQ983069 LMT983069:LMU983069 LCX983069:LCY983069 KTB983069:KTC983069 KJF983069:KJG983069 JZJ983069:JZK983069 JPN983069:JPO983069 JFR983069:JFS983069 IVV983069:IVW983069 ILZ983069:IMA983069 ICD983069:ICE983069 HSH983069:HSI983069 HIL983069:HIM983069 GYP983069:GYQ983069 GOT983069:GOU983069 GEX983069:GEY983069 FVB983069:FVC983069 FLF983069:FLG983069 FBJ983069:FBK983069 ERN983069:ERO983069 EHR983069:EHS983069 DXV983069:DXW983069 DNZ983069:DOA983069 DED983069:DEE983069 CUH983069:CUI983069 CKL983069:CKM983069 CAP983069:CAQ983069 BQT983069:BQU983069 BGX983069:BGY983069 AXB983069:AXC983069 ANF983069:ANG983069 ADJ983069:ADK983069 TN983069:TO983069 JR983069:JS983069 V983069:W983069 WWD917533:WWE917533 WMH917533:WMI917533 WCL917533:WCM917533 VSP917533:VSQ917533 VIT917533:VIU917533 UYX917533:UYY917533 UPB917533:UPC917533 UFF917533:UFG917533 TVJ917533:TVK917533 TLN917533:TLO917533 TBR917533:TBS917533 SRV917533:SRW917533 SHZ917533:SIA917533 RYD917533:RYE917533 ROH917533:ROI917533 REL917533:REM917533 QUP917533:QUQ917533 QKT917533:QKU917533 QAX917533:QAY917533 PRB917533:PRC917533 PHF917533:PHG917533 OXJ917533:OXK917533 ONN917533:ONO917533 ODR917533:ODS917533 NTV917533:NTW917533 NJZ917533:NKA917533 NAD917533:NAE917533 MQH917533:MQI917533 MGL917533:MGM917533 LWP917533:LWQ917533 LMT917533:LMU917533 LCX917533:LCY917533 KTB917533:KTC917533 KJF917533:KJG917533 JZJ917533:JZK917533 JPN917533:JPO917533 JFR917533:JFS917533 IVV917533:IVW917533 ILZ917533:IMA917533 ICD917533:ICE917533 HSH917533:HSI917533 HIL917533:HIM917533 GYP917533:GYQ917533 GOT917533:GOU917533 GEX917533:GEY917533 FVB917533:FVC917533 FLF917533:FLG917533 FBJ917533:FBK917533 ERN917533:ERO917533 EHR917533:EHS917533 DXV917533:DXW917533 DNZ917533:DOA917533 DED917533:DEE917533 CUH917533:CUI917533 CKL917533:CKM917533 CAP917533:CAQ917533 BQT917533:BQU917533 BGX917533:BGY917533 AXB917533:AXC917533 ANF917533:ANG917533 ADJ917533:ADK917533 TN917533:TO917533 JR917533:JS917533 V917533:W917533 WWD851997:WWE851997 WMH851997:WMI851997 WCL851997:WCM851997 VSP851997:VSQ851997 VIT851997:VIU851997 UYX851997:UYY851997 UPB851997:UPC851997 UFF851997:UFG851997 TVJ851997:TVK851997 TLN851997:TLO851997 TBR851997:TBS851997 SRV851997:SRW851997 SHZ851997:SIA851997 RYD851997:RYE851997 ROH851997:ROI851997 REL851997:REM851997 QUP851997:QUQ851997 QKT851997:QKU851997 QAX851997:QAY851997 PRB851997:PRC851997 PHF851997:PHG851997 OXJ851997:OXK851997 ONN851997:ONO851997 ODR851997:ODS851997 NTV851997:NTW851997 NJZ851997:NKA851997 NAD851997:NAE851997 MQH851997:MQI851997 MGL851997:MGM851997 LWP851997:LWQ851997 LMT851997:LMU851997 LCX851997:LCY851997 KTB851997:KTC851997 KJF851997:KJG851997 JZJ851997:JZK851997 JPN851997:JPO851997 JFR851997:JFS851997 IVV851997:IVW851997 ILZ851997:IMA851997 ICD851997:ICE851997 HSH851997:HSI851997 HIL851997:HIM851997 GYP851997:GYQ851997 GOT851997:GOU851997 GEX851997:GEY851997 FVB851997:FVC851997 FLF851997:FLG851997 FBJ851997:FBK851997 ERN851997:ERO851997 EHR851997:EHS851997 DXV851997:DXW851997 DNZ851997:DOA851997 DED851997:DEE851997 CUH851997:CUI851997 CKL851997:CKM851997 CAP851997:CAQ851997 BQT851997:BQU851997 BGX851997:BGY851997 AXB851997:AXC851997 ANF851997:ANG851997 ADJ851997:ADK851997 TN851997:TO851997 JR851997:JS851997 V851997:W851997 WWD786461:WWE786461 WMH786461:WMI786461 WCL786461:WCM786461 VSP786461:VSQ786461 VIT786461:VIU786461 UYX786461:UYY786461 UPB786461:UPC786461 UFF786461:UFG786461 TVJ786461:TVK786461 TLN786461:TLO786461 TBR786461:TBS786461 SRV786461:SRW786461 SHZ786461:SIA786461 RYD786461:RYE786461 ROH786461:ROI786461 REL786461:REM786461 QUP786461:QUQ786461 QKT786461:QKU786461 QAX786461:QAY786461 PRB786461:PRC786461 PHF786461:PHG786461 OXJ786461:OXK786461 ONN786461:ONO786461 ODR786461:ODS786461 NTV786461:NTW786461 NJZ786461:NKA786461 NAD786461:NAE786461 MQH786461:MQI786461 MGL786461:MGM786461 LWP786461:LWQ786461 LMT786461:LMU786461 LCX786461:LCY786461 KTB786461:KTC786461 KJF786461:KJG786461 JZJ786461:JZK786461 JPN786461:JPO786461 JFR786461:JFS786461 IVV786461:IVW786461 ILZ786461:IMA786461 ICD786461:ICE786461 HSH786461:HSI786461 HIL786461:HIM786461 GYP786461:GYQ786461 GOT786461:GOU786461 GEX786461:GEY786461 FVB786461:FVC786461 FLF786461:FLG786461 FBJ786461:FBK786461 ERN786461:ERO786461 EHR786461:EHS786461 DXV786461:DXW786461 DNZ786461:DOA786461 DED786461:DEE786461 CUH786461:CUI786461 CKL786461:CKM786461 CAP786461:CAQ786461 BQT786461:BQU786461 BGX786461:BGY786461 AXB786461:AXC786461 ANF786461:ANG786461 ADJ786461:ADK786461 TN786461:TO786461 JR786461:JS786461 V786461:W786461 WWD720925:WWE720925 WMH720925:WMI720925 WCL720925:WCM720925 VSP720925:VSQ720925 VIT720925:VIU720925 UYX720925:UYY720925 UPB720925:UPC720925 UFF720925:UFG720925 TVJ720925:TVK720925 TLN720925:TLO720925 TBR720925:TBS720925 SRV720925:SRW720925 SHZ720925:SIA720925 RYD720925:RYE720925 ROH720925:ROI720925 REL720925:REM720925 QUP720925:QUQ720925 QKT720925:QKU720925 QAX720925:QAY720925 PRB720925:PRC720925 PHF720925:PHG720925 OXJ720925:OXK720925 ONN720925:ONO720925 ODR720925:ODS720925 NTV720925:NTW720925 NJZ720925:NKA720925 NAD720925:NAE720925 MQH720925:MQI720925 MGL720925:MGM720925 LWP720925:LWQ720925 LMT720925:LMU720925 LCX720925:LCY720925 KTB720925:KTC720925 KJF720925:KJG720925 JZJ720925:JZK720925 JPN720925:JPO720925 JFR720925:JFS720925 IVV720925:IVW720925 ILZ720925:IMA720925 ICD720925:ICE720925 HSH720925:HSI720925 HIL720925:HIM720925 GYP720925:GYQ720925 GOT720925:GOU720925 GEX720925:GEY720925 FVB720925:FVC720925 FLF720925:FLG720925 FBJ720925:FBK720925 ERN720925:ERO720925 EHR720925:EHS720925 DXV720925:DXW720925 DNZ720925:DOA720925 DED720925:DEE720925 CUH720925:CUI720925 CKL720925:CKM720925 CAP720925:CAQ720925 BQT720925:BQU720925 BGX720925:BGY720925 AXB720925:AXC720925 ANF720925:ANG720925 ADJ720925:ADK720925 TN720925:TO720925 JR720925:JS720925 V720925:W720925 WWD655389:WWE655389 WMH655389:WMI655389 WCL655389:WCM655389 VSP655389:VSQ655389 VIT655389:VIU655389 UYX655389:UYY655389 UPB655389:UPC655389 UFF655389:UFG655389 TVJ655389:TVK655389 TLN655389:TLO655389 TBR655389:TBS655389 SRV655389:SRW655389 SHZ655389:SIA655389 RYD655389:RYE655389 ROH655389:ROI655389 REL655389:REM655389 QUP655389:QUQ655389 QKT655389:QKU655389 QAX655389:QAY655389 PRB655389:PRC655389 PHF655389:PHG655389 OXJ655389:OXK655389 ONN655389:ONO655389 ODR655389:ODS655389 NTV655389:NTW655389 NJZ655389:NKA655389 NAD655389:NAE655389 MQH655389:MQI655389 MGL655389:MGM655389 LWP655389:LWQ655389 LMT655389:LMU655389 LCX655389:LCY655389 KTB655389:KTC655389 KJF655389:KJG655389 JZJ655389:JZK655389 JPN655389:JPO655389 JFR655389:JFS655389 IVV655389:IVW655389 ILZ655389:IMA655389 ICD655389:ICE655389 HSH655389:HSI655389 HIL655389:HIM655389 GYP655389:GYQ655389 GOT655389:GOU655389 GEX655389:GEY655389 FVB655389:FVC655389 FLF655389:FLG655389 FBJ655389:FBK655389 ERN655389:ERO655389 EHR655389:EHS655389 DXV655389:DXW655389 DNZ655389:DOA655389 DED655389:DEE655389 CUH655389:CUI655389 CKL655389:CKM655389 CAP655389:CAQ655389 BQT655389:BQU655389 BGX655389:BGY655389 AXB655389:AXC655389 ANF655389:ANG655389 ADJ655389:ADK655389 TN655389:TO655389 JR655389:JS655389 V655389:W655389 WWD589853:WWE589853 WMH589853:WMI589853 WCL589853:WCM589853 VSP589853:VSQ589853 VIT589853:VIU589853 UYX589853:UYY589853 UPB589853:UPC589853 UFF589853:UFG589853 TVJ589853:TVK589853 TLN589853:TLO589853 TBR589853:TBS589853 SRV589853:SRW589853 SHZ589853:SIA589853 RYD589853:RYE589853 ROH589853:ROI589853 REL589853:REM589853 QUP589853:QUQ589853 QKT589853:QKU589853 QAX589853:QAY589853 PRB589853:PRC589853 PHF589853:PHG589853 OXJ589853:OXK589853 ONN589853:ONO589853 ODR589853:ODS589853 NTV589853:NTW589853 NJZ589853:NKA589853 NAD589853:NAE589853 MQH589853:MQI589853 MGL589853:MGM589853 LWP589853:LWQ589853 LMT589853:LMU589853 LCX589853:LCY589853 KTB589853:KTC589853 KJF589853:KJG589853 JZJ589853:JZK589853 JPN589853:JPO589853 JFR589853:JFS589853 IVV589853:IVW589853 ILZ589853:IMA589853 ICD589853:ICE589853 HSH589853:HSI589853 HIL589853:HIM589853 GYP589853:GYQ589853 GOT589853:GOU589853 GEX589853:GEY589853 FVB589853:FVC589853 FLF589853:FLG589853 FBJ589853:FBK589853 ERN589853:ERO589853 EHR589853:EHS589853 DXV589853:DXW589853 DNZ589853:DOA589853 DED589853:DEE589853 CUH589853:CUI589853 CKL589853:CKM589853 CAP589853:CAQ589853 BQT589853:BQU589853 BGX589853:BGY589853 AXB589853:AXC589853 ANF589853:ANG589853 ADJ589853:ADK589853 TN589853:TO589853 JR589853:JS589853 V589853:W589853 WWD524317:WWE524317 WMH524317:WMI524317 WCL524317:WCM524317 VSP524317:VSQ524317 VIT524317:VIU524317 UYX524317:UYY524317 UPB524317:UPC524317 UFF524317:UFG524317 TVJ524317:TVK524317 TLN524317:TLO524317 TBR524317:TBS524317 SRV524317:SRW524317 SHZ524317:SIA524317 RYD524317:RYE524317 ROH524317:ROI524317 REL524317:REM524317 QUP524317:QUQ524317 QKT524317:QKU524317 QAX524317:QAY524317 PRB524317:PRC524317 PHF524317:PHG524317 OXJ524317:OXK524317 ONN524317:ONO524317 ODR524317:ODS524317 NTV524317:NTW524317 NJZ524317:NKA524317 NAD524317:NAE524317 MQH524317:MQI524317 MGL524317:MGM524317 LWP524317:LWQ524317 LMT524317:LMU524317 LCX524317:LCY524317 KTB524317:KTC524317 KJF524317:KJG524317 JZJ524317:JZK524317 JPN524317:JPO524317 JFR524317:JFS524317 IVV524317:IVW524317 ILZ524317:IMA524317 ICD524317:ICE524317 HSH524317:HSI524317 HIL524317:HIM524317 GYP524317:GYQ524317 GOT524317:GOU524317 GEX524317:GEY524317 FVB524317:FVC524317 FLF524317:FLG524317 FBJ524317:FBK524317 ERN524317:ERO524317 EHR524317:EHS524317 DXV524317:DXW524317 DNZ524317:DOA524317 DED524317:DEE524317 CUH524317:CUI524317 CKL524317:CKM524317 CAP524317:CAQ524317 BQT524317:BQU524317 BGX524317:BGY524317 AXB524317:AXC524317 ANF524317:ANG524317 ADJ524317:ADK524317 TN524317:TO524317 JR524317:JS524317 V524317:W524317 WWD458781:WWE458781 WMH458781:WMI458781 WCL458781:WCM458781 VSP458781:VSQ458781 VIT458781:VIU458781 UYX458781:UYY458781 UPB458781:UPC458781 UFF458781:UFG458781 TVJ458781:TVK458781 TLN458781:TLO458781 TBR458781:TBS458781 SRV458781:SRW458781 SHZ458781:SIA458781 RYD458781:RYE458781 ROH458781:ROI458781 REL458781:REM458781 QUP458781:QUQ458781 QKT458781:QKU458781 QAX458781:QAY458781 PRB458781:PRC458781 PHF458781:PHG458781 OXJ458781:OXK458781 ONN458781:ONO458781 ODR458781:ODS458781 NTV458781:NTW458781 NJZ458781:NKA458781 NAD458781:NAE458781 MQH458781:MQI458781 MGL458781:MGM458781 LWP458781:LWQ458781 LMT458781:LMU458781 LCX458781:LCY458781 KTB458781:KTC458781 KJF458781:KJG458781 JZJ458781:JZK458781 JPN458781:JPO458781 JFR458781:JFS458781 IVV458781:IVW458781 ILZ458781:IMA458781 ICD458781:ICE458781 HSH458781:HSI458781 HIL458781:HIM458781 GYP458781:GYQ458781 GOT458781:GOU458781 GEX458781:GEY458781 FVB458781:FVC458781 FLF458781:FLG458781 FBJ458781:FBK458781 ERN458781:ERO458781 EHR458781:EHS458781 DXV458781:DXW458781 DNZ458781:DOA458781 DED458781:DEE458781 CUH458781:CUI458781 CKL458781:CKM458781 CAP458781:CAQ458781 BQT458781:BQU458781 BGX458781:BGY458781 AXB458781:AXC458781 ANF458781:ANG458781 ADJ458781:ADK458781 TN458781:TO458781 JR458781:JS458781 V458781:W458781 WWD393245:WWE393245 WMH393245:WMI393245 WCL393245:WCM393245 VSP393245:VSQ393245 VIT393245:VIU393245 UYX393245:UYY393245 UPB393245:UPC393245 UFF393245:UFG393245 TVJ393245:TVK393245 TLN393245:TLO393245 TBR393245:TBS393245 SRV393245:SRW393245 SHZ393245:SIA393245 RYD393245:RYE393245 ROH393245:ROI393245 REL393245:REM393245 QUP393245:QUQ393245 QKT393245:QKU393245 QAX393245:QAY393245 PRB393245:PRC393245 PHF393245:PHG393245 OXJ393245:OXK393245 ONN393245:ONO393245 ODR393245:ODS393245 NTV393245:NTW393245 NJZ393245:NKA393245 NAD393245:NAE393245 MQH393245:MQI393245 MGL393245:MGM393245 LWP393245:LWQ393245 LMT393245:LMU393245 LCX393245:LCY393245 KTB393245:KTC393245 KJF393245:KJG393245 JZJ393245:JZK393245 JPN393245:JPO393245 JFR393245:JFS393245 IVV393245:IVW393245 ILZ393245:IMA393245 ICD393245:ICE393245 HSH393245:HSI393245 HIL393245:HIM393245 GYP393245:GYQ393245 GOT393245:GOU393245 GEX393245:GEY393245 FVB393245:FVC393245 FLF393245:FLG393245 FBJ393245:FBK393245 ERN393245:ERO393245 EHR393245:EHS393245 DXV393245:DXW393245 DNZ393245:DOA393245 DED393245:DEE393245 CUH393245:CUI393245 CKL393245:CKM393245 CAP393245:CAQ393245 BQT393245:BQU393245 BGX393245:BGY393245 AXB393245:AXC393245 ANF393245:ANG393245 ADJ393245:ADK393245 TN393245:TO393245 JR393245:JS393245 V393245:W393245 WWD327709:WWE327709 WMH327709:WMI327709 WCL327709:WCM327709 VSP327709:VSQ327709 VIT327709:VIU327709 UYX327709:UYY327709 UPB327709:UPC327709 UFF327709:UFG327709 TVJ327709:TVK327709 TLN327709:TLO327709 TBR327709:TBS327709 SRV327709:SRW327709 SHZ327709:SIA327709 RYD327709:RYE327709 ROH327709:ROI327709 REL327709:REM327709 QUP327709:QUQ327709 QKT327709:QKU327709 QAX327709:QAY327709 PRB327709:PRC327709 PHF327709:PHG327709 OXJ327709:OXK327709 ONN327709:ONO327709 ODR327709:ODS327709 NTV327709:NTW327709 NJZ327709:NKA327709 NAD327709:NAE327709 MQH327709:MQI327709 MGL327709:MGM327709 LWP327709:LWQ327709 LMT327709:LMU327709 LCX327709:LCY327709 KTB327709:KTC327709 KJF327709:KJG327709 JZJ327709:JZK327709 JPN327709:JPO327709 JFR327709:JFS327709 IVV327709:IVW327709 ILZ327709:IMA327709 ICD327709:ICE327709 HSH327709:HSI327709 HIL327709:HIM327709 GYP327709:GYQ327709 GOT327709:GOU327709 GEX327709:GEY327709 FVB327709:FVC327709 FLF327709:FLG327709 FBJ327709:FBK327709 ERN327709:ERO327709 EHR327709:EHS327709 DXV327709:DXW327709 DNZ327709:DOA327709 DED327709:DEE327709 CUH327709:CUI327709 CKL327709:CKM327709 CAP327709:CAQ327709 BQT327709:BQU327709 BGX327709:BGY327709 AXB327709:AXC327709 ANF327709:ANG327709 ADJ327709:ADK327709 TN327709:TO327709 JR327709:JS327709 V327709:W327709 WWD262173:WWE262173 WMH262173:WMI262173 WCL262173:WCM262173 VSP262173:VSQ262173 VIT262173:VIU262173 UYX262173:UYY262173 UPB262173:UPC262173 UFF262173:UFG262173 TVJ262173:TVK262173 TLN262173:TLO262173 TBR262173:TBS262173 SRV262173:SRW262173 SHZ262173:SIA262173 RYD262173:RYE262173 ROH262173:ROI262173 REL262173:REM262173 QUP262173:QUQ262173 QKT262173:QKU262173 QAX262173:QAY262173 PRB262173:PRC262173 PHF262173:PHG262173 OXJ262173:OXK262173 ONN262173:ONO262173 ODR262173:ODS262173 NTV262173:NTW262173 NJZ262173:NKA262173 NAD262173:NAE262173 MQH262173:MQI262173 MGL262173:MGM262173 LWP262173:LWQ262173 LMT262173:LMU262173 LCX262173:LCY262173 KTB262173:KTC262173 KJF262173:KJG262173 JZJ262173:JZK262173 JPN262173:JPO262173 JFR262173:JFS262173 IVV262173:IVW262173 ILZ262173:IMA262173 ICD262173:ICE262173 HSH262173:HSI262173 HIL262173:HIM262173 GYP262173:GYQ262173 GOT262173:GOU262173 GEX262173:GEY262173 FVB262173:FVC262173 FLF262173:FLG262173 FBJ262173:FBK262173 ERN262173:ERO262173 EHR262173:EHS262173 DXV262173:DXW262173 DNZ262173:DOA262173 DED262173:DEE262173 CUH262173:CUI262173 CKL262173:CKM262173 CAP262173:CAQ262173 BQT262173:BQU262173 BGX262173:BGY262173 AXB262173:AXC262173 ANF262173:ANG262173 ADJ262173:ADK262173 TN262173:TO262173 JR262173:JS262173 V262173:W262173 WWD196637:WWE196637 WMH196637:WMI196637 WCL196637:WCM196637 VSP196637:VSQ196637 VIT196637:VIU196637 UYX196637:UYY196637 UPB196637:UPC196637 UFF196637:UFG196637 TVJ196637:TVK196637 TLN196637:TLO196637 TBR196637:TBS196637 SRV196637:SRW196637 SHZ196637:SIA196637 RYD196637:RYE196637 ROH196637:ROI196637 REL196637:REM196637 QUP196637:QUQ196637 QKT196637:QKU196637 QAX196637:QAY196637 PRB196637:PRC196637 PHF196637:PHG196637 OXJ196637:OXK196637 ONN196637:ONO196637 ODR196637:ODS196637 NTV196637:NTW196637 NJZ196637:NKA196637 NAD196637:NAE196637 MQH196637:MQI196637 MGL196637:MGM196637 LWP196637:LWQ196637 LMT196637:LMU196637 LCX196637:LCY196637 KTB196637:KTC196637 KJF196637:KJG196637 JZJ196637:JZK196637 JPN196637:JPO196637 JFR196637:JFS196637 IVV196637:IVW196637 ILZ196637:IMA196637 ICD196637:ICE196637 HSH196637:HSI196637 HIL196637:HIM196637 GYP196637:GYQ196637 GOT196637:GOU196637 GEX196637:GEY196637 FVB196637:FVC196637 FLF196637:FLG196637 FBJ196637:FBK196637 ERN196637:ERO196637 EHR196637:EHS196637 DXV196637:DXW196637 DNZ196637:DOA196637 DED196637:DEE196637 CUH196637:CUI196637 CKL196637:CKM196637 CAP196637:CAQ196637 BQT196637:BQU196637 BGX196637:BGY196637 AXB196637:AXC196637 ANF196637:ANG196637 ADJ196637:ADK196637 TN196637:TO196637 JR196637:JS196637 V196637:W196637 WWD131101:WWE131101 WMH131101:WMI131101 WCL131101:WCM131101 VSP131101:VSQ131101 VIT131101:VIU131101 UYX131101:UYY131101 UPB131101:UPC131101 UFF131101:UFG131101 TVJ131101:TVK131101 TLN131101:TLO131101 TBR131101:TBS131101 SRV131101:SRW131101 SHZ131101:SIA131101 RYD131101:RYE131101 ROH131101:ROI131101 REL131101:REM131101 QUP131101:QUQ131101 QKT131101:QKU131101 QAX131101:QAY131101 PRB131101:PRC131101 PHF131101:PHG131101 OXJ131101:OXK131101 ONN131101:ONO131101 ODR131101:ODS131101 NTV131101:NTW131101 NJZ131101:NKA131101 NAD131101:NAE131101 MQH131101:MQI131101 MGL131101:MGM131101 LWP131101:LWQ131101 LMT131101:LMU131101 LCX131101:LCY131101 KTB131101:KTC131101 KJF131101:KJG131101 JZJ131101:JZK131101 JPN131101:JPO131101 JFR131101:JFS131101 IVV131101:IVW131101 ILZ131101:IMA131101 ICD131101:ICE131101 HSH131101:HSI131101 HIL131101:HIM131101 GYP131101:GYQ131101 GOT131101:GOU131101 GEX131101:GEY131101 FVB131101:FVC131101 FLF131101:FLG131101 FBJ131101:FBK131101 ERN131101:ERO131101 EHR131101:EHS131101 DXV131101:DXW131101 DNZ131101:DOA131101 DED131101:DEE131101 CUH131101:CUI131101 CKL131101:CKM131101 CAP131101:CAQ131101 BQT131101:BQU131101 BGX131101:BGY131101 AXB131101:AXC131101 ANF131101:ANG131101 ADJ131101:ADK131101 TN131101:TO131101 JR131101:JS131101 V131101:W131101 WWD65565:WWE65565 WMH65565:WMI65565 WCL65565:WCM65565 VSP65565:VSQ65565 VIT65565:VIU65565 UYX65565:UYY65565 UPB65565:UPC65565 UFF65565:UFG65565 TVJ65565:TVK65565 TLN65565:TLO65565 TBR65565:TBS65565 SRV65565:SRW65565 SHZ65565:SIA65565 RYD65565:RYE65565 ROH65565:ROI65565 REL65565:REM65565 QUP65565:QUQ65565 QKT65565:QKU65565 QAX65565:QAY65565 PRB65565:PRC65565 PHF65565:PHG65565 OXJ65565:OXK65565 ONN65565:ONO65565 ODR65565:ODS65565 NTV65565:NTW65565 NJZ65565:NKA65565 NAD65565:NAE65565 MQH65565:MQI65565 MGL65565:MGM65565 LWP65565:LWQ65565 LMT65565:LMU65565 LCX65565:LCY65565 KTB65565:KTC65565 KJF65565:KJG65565 JZJ65565:JZK65565 JPN65565:JPO65565 JFR65565:JFS65565 IVV65565:IVW65565 ILZ65565:IMA65565 ICD65565:ICE65565 HSH65565:HSI65565 HIL65565:HIM65565 GYP65565:GYQ65565 GOT65565:GOU65565 GEX65565:GEY65565 FVB65565:FVC65565 FLF65565:FLG65565 FBJ65565:FBK65565 ERN65565:ERO65565 EHR65565:EHS65565 DXV65565:DXW65565 DNZ65565:DOA65565 DED65565:DEE65565 CUH65565:CUI65565 CKL65565:CKM65565 CAP65565:CAQ65565 BQT65565:BQU65565 BGX65565:BGY65565 AXB65565:AXC65565 ANF65565:ANG65565 ADJ65565:ADK65565 TN65565:TO65565 JR65565:JS65565 V65565:W65565 WWD29:WWE29 WMH29:WMI29 WCL29:WCM29 VSP29:VSQ29 VIT29:VIU29 UYX29:UYY29 UPB29:UPC29 UFF29:UFG29 TVJ29:TVK29 TLN29:TLO29 TBR29:TBS29 SRV29:SRW29 SHZ29:SIA29 RYD29:RYE29 ROH29:ROI29 REL29:REM29 QUP29:QUQ29 QKT29:QKU29 QAX29:QAY29 PRB29:PRC29 PHF29:PHG29 OXJ29:OXK29 ONN29:ONO29 ODR29:ODS29 NTV29:NTW29 NJZ29:NKA29 NAD29:NAE29 MQH29:MQI29 MGL29:MGM29 LWP29:LWQ29 LMT29:LMU29 LCX29:LCY29 KTB29:KTC29 KJF29:KJG29 JZJ29:JZK29 JPN29:JPO29 JFR29:JFS29 IVV29:IVW29 ILZ29:IMA29 ICD29:ICE29 HSH29:HSI29 HIL29:HIM29 GYP29:GYQ29 GOT29:GOU29 GEX29:GEY29 FVB29:FVC29 FLF29:FLG29 FBJ29:FBK29 ERN29:ERO29 EHR29:EHS29 DXV29:DXW29 DNZ29:DOA29 DED29:DEE29 CUH29:CUI29 CKL29:CKM29 CAP29:CAQ29 BQT29:BQU29 BGX29:BGY29 AXB29:AXC29 ANF29:ANG29 ADJ29:ADK29 TN29:TO29 JR29:JS29 V29:W29 WWD983044 WMH983044 WCL983044 VSP983044 VIT983044 UYX983044 UPB983044 UFF983044 TVJ983044 TLN983044 TBR983044 SRV983044 SHZ983044 RYD983044 ROH983044 REL983044 QUP983044 QKT983044 QAX983044 PRB983044 PHF983044 OXJ983044 ONN983044 ODR983044 NTV983044 NJZ983044 NAD983044 MQH983044 MGL983044 LWP983044 LMT983044 LCX983044 KTB983044 KJF983044 JZJ983044 JPN983044 JFR983044 IVV983044 ILZ983044 ICD983044 HSH983044 HIL983044 GYP983044 GOT983044 GEX983044 FVB983044 FLF983044 FBJ983044 ERN983044 EHR983044 DXV983044 DNZ983044 DED983044 CUH983044 CKL983044 CAP983044 BQT983044 BGX983044 AXB983044 ANF983044 ADJ983044 TN983044 JR983044 V983044 WWD917508 WMH917508 WCL917508 VSP917508 VIT917508 UYX917508 UPB917508 UFF917508 TVJ917508 TLN917508 TBR917508 SRV917508 SHZ917508 RYD917508 ROH917508 REL917508 QUP917508 QKT917508 QAX917508 PRB917508 PHF917508 OXJ917508 ONN917508 ODR917508 NTV917508 NJZ917508 NAD917508 MQH917508 MGL917508 LWP917508 LMT917508 LCX917508 KTB917508 KJF917508 JZJ917508 JPN917508 JFR917508 IVV917508 ILZ917508 ICD917508 HSH917508 HIL917508 GYP917508 GOT917508 GEX917508 FVB917508 FLF917508 FBJ917508 ERN917508 EHR917508 DXV917508 DNZ917508 DED917508 CUH917508 CKL917508 CAP917508 BQT917508 BGX917508 AXB917508 ANF917508 ADJ917508 TN917508 JR917508 V917508 WWD851972 WMH851972 WCL851972 VSP851972 VIT851972 UYX851972 UPB851972 UFF851972 TVJ851972 TLN851972 TBR851972 SRV851972 SHZ851972 RYD851972 ROH851972 REL851972 QUP851972 QKT851972 QAX851972 PRB851972 PHF851972 OXJ851972 ONN851972 ODR851972 NTV851972 NJZ851972 NAD851972 MQH851972 MGL851972 LWP851972 LMT851972 LCX851972 KTB851972 KJF851972 JZJ851972 JPN851972 JFR851972 IVV851972 ILZ851972 ICD851972 HSH851972 HIL851972 GYP851972 GOT851972 GEX851972 FVB851972 FLF851972 FBJ851972 ERN851972 EHR851972 DXV851972 DNZ851972 DED851972 CUH851972 CKL851972 CAP851972 BQT851972 BGX851972 AXB851972 ANF851972 ADJ851972 TN851972 JR851972 V851972 WWD786436 WMH786436 WCL786436 VSP786436 VIT786436 UYX786436 UPB786436 UFF786436 TVJ786436 TLN786436 TBR786436 SRV786436 SHZ786436 RYD786436 ROH786436 REL786436 QUP786436 QKT786436 QAX786436 PRB786436 PHF786436 OXJ786436 ONN786436 ODR786436 NTV786436 NJZ786436 NAD786436 MQH786436 MGL786436 LWP786436 LMT786436 LCX786436 KTB786436 KJF786436 JZJ786436 JPN786436 JFR786436 IVV786436 ILZ786436 ICD786436 HSH786436 HIL786436 GYP786436 GOT786436 GEX786436 FVB786436 FLF786436 FBJ786436 ERN786436 EHR786436 DXV786436 DNZ786436 DED786436 CUH786436 CKL786436 CAP786436 BQT786436 BGX786436 AXB786436 ANF786436 ADJ786436 TN786436 JR786436 V786436 WWD720900 WMH720900 WCL720900 VSP720900 VIT720900 UYX720900 UPB720900 UFF720900 TVJ720900 TLN720900 TBR720900 SRV720900 SHZ720900 RYD720900 ROH720900 REL720900 QUP720900 QKT720900 QAX720900 PRB720900 PHF720900 OXJ720900 ONN720900 ODR720900 NTV720900 NJZ720900 NAD720900 MQH720900 MGL720900 LWP720900 LMT720900 LCX720900 KTB720900 KJF720900 JZJ720900 JPN720900 JFR720900 IVV720900 ILZ720900 ICD720900 HSH720900 HIL720900 GYP720900 GOT720900 GEX720900 FVB720900 FLF720900 FBJ720900 ERN720900 EHR720900 DXV720900 DNZ720900 DED720900 CUH720900 CKL720900 CAP720900 BQT720900 BGX720900 AXB720900 ANF720900 ADJ720900 TN720900 JR720900 V720900 WWD655364 WMH655364 WCL655364 VSP655364 VIT655364 UYX655364 UPB655364 UFF655364 TVJ655364 TLN655364 TBR655364 SRV655364 SHZ655364 RYD655364 ROH655364 REL655364 QUP655364 QKT655364 QAX655364 PRB655364 PHF655364 OXJ655364 ONN655364 ODR655364 NTV655364 NJZ655364 NAD655364 MQH655364 MGL655364 LWP655364 LMT655364 LCX655364 KTB655364 KJF655364 JZJ655364 JPN655364 JFR655364 IVV655364 ILZ655364 ICD655364 HSH655364 HIL655364 GYP655364 GOT655364 GEX655364 FVB655364 FLF655364 FBJ655364 ERN655364 EHR655364 DXV655364 DNZ655364 DED655364 CUH655364 CKL655364 CAP655364 BQT655364 BGX655364 AXB655364 ANF655364 ADJ655364 TN655364 JR655364 V655364 WWD589828 WMH589828 WCL589828 VSP589828 VIT589828 UYX589828 UPB589828 UFF589828 TVJ589828 TLN589828 TBR589828 SRV589828 SHZ589828 RYD589828 ROH589828 REL589828 QUP589828 QKT589828 QAX589828 PRB589828 PHF589828 OXJ589828 ONN589828 ODR589828 NTV589828 NJZ589828 NAD589828 MQH589828 MGL589828 LWP589828 LMT589828 LCX589828 KTB589828 KJF589828 JZJ589828 JPN589828 JFR589828 IVV589828 ILZ589828 ICD589828 HSH589828 HIL589828 GYP589828 GOT589828 GEX589828 FVB589828 FLF589828 FBJ589828 ERN589828 EHR589828 DXV589828 DNZ589828 DED589828 CUH589828 CKL589828 CAP589828 BQT589828 BGX589828 AXB589828 ANF589828 ADJ589828 TN589828 JR589828 V589828 WWD524292 WMH524292 WCL524292 VSP524292 VIT524292 UYX524292 UPB524292 UFF524292 TVJ524292 TLN524292 TBR524292 SRV524292 SHZ524292 RYD524292 ROH524292 REL524292 QUP524292 QKT524292 QAX524292 PRB524292 PHF524292 OXJ524292 ONN524292 ODR524292 NTV524292 NJZ524292 NAD524292 MQH524292 MGL524292 LWP524292 LMT524292 LCX524292 KTB524292 KJF524292 JZJ524292 JPN524292 JFR524292 IVV524292 ILZ524292 ICD524292 HSH524292 HIL524292 GYP524292 GOT524292 GEX524292 FVB524292 FLF524292 FBJ524292 ERN524292 EHR524292 DXV524292 DNZ524292 DED524292 CUH524292 CKL524292 CAP524292 BQT524292 BGX524292 AXB524292 ANF524292 ADJ524292 TN524292 JR524292 V524292 WWD458756 WMH458756 WCL458756 VSP458756 VIT458756 UYX458756 UPB458756 UFF458756 TVJ458756 TLN458756 TBR458756 SRV458756 SHZ458756 RYD458756 ROH458756 REL458756 QUP458756 QKT458756 QAX458756 PRB458756 PHF458756 OXJ458756 ONN458756 ODR458756 NTV458756 NJZ458756 NAD458756 MQH458756 MGL458756 LWP458756 LMT458756 LCX458756 KTB458756 KJF458756 JZJ458756 JPN458756 JFR458756 IVV458756 ILZ458756 ICD458756 HSH458756 HIL458756 GYP458756 GOT458756 GEX458756 FVB458756 FLF458756 FBJ458756 ERN458756 EHR458756 DXV458756 DNZ458756 DED458756 CUH458756 CKL458756 CAP458756 BQT458756 BGX458756 AXB458756 ANF458756 ADJ458756 TN458756 JR458756 V458756 WWD393220 WMH393220 WCL393220 VSP393220 VIT393220 UYX393220 UPB393220 UFF393220 TVJ393220 TLN393220 TBR393220 SRV393220 SHZ393220 RYD393220 ROH393220 REL393220 QUP393220 QKT393220 QAX393220 PRB393220 PHF393220 OXJ393220 ONN393220 ODR393220 NTV393220 NJZ393220 NAD393220 MQH393220 MGL393220 LWP393220 LMT393220 LCX393220 KTB393220 KJF393220 JZJ393220 JPN393220 JFR393220 IVV393220 ILZ393220 ICD393220 HSH393220 HIL393220 GYP393220 GOT393220 GEX393220 FVB393220 FLF393220 FBJ393220 ERN393220 EHR393220 DXV393220 DNZ393220 DED393220 CUH393220 CKL393220 CAP393220 BQT393220 BGX393220 AXB393220 ANF393220 ADJ393220 TN393220 JR393220 V393220 WWD327684 WMH327684 WCL327684 VSP327684 VIT327684 UYX327684 UPB327684 UFF327684 TVJ327684 TLN327684 TBR327684 SRV327684 SHZ327684 RYD327684 ROH327684 REL327684 QUP327684 QKT327684 QAX327684 PRB327684 PHF327684 OXJ327684 ONN327684 ODR327684 NTV327684 NJZ327684 NAD327684 MQH327684 MGL327684 LWP327684 LMT327684 LCX327684 KTB327684 KJF327684 JZJ327684 JPN327684 JFR327684 IVV327684 ILZ327684 ICD327684 HSH327684 HIL327684 GYP327684 GOT327684 GEX327684 FVB327684 FLF327684 FBJ327684 ERN327684 EHR327684 DXV327684 DNZ327684 DED327684 CUH327684 CKL327684 CAP327684 BQT327684 BGX327684 AXB327684 ANF327684 ADJ327684 TN327684 JR327684 V327684 WWD262148 WMH262148 WCL262148 VSP262148 VIT262148 UYX262148 UPB262148 UFF262148 TVJ262148 TLN262148 TBR262148 SRV262148 SHZ262148 RYD262148 ROH262148 REL262148 QUP262148 QKT262148 QAX262148 PRB262148 PHF262148 OXJ262148 ONN262148 ODR262148 NTV262148 NJZ262148 NAD262148 MQH262148 MGL262148 LWP262148 LMT262148 LCX262148 KTB262148 KJF262148 JZJ262148 JPN262148 JFR262148 IVV262148 ILZ262148 ICD262148 HSH262148 HIL262148 GYP262148 GOT262148 GEX262148 FVB262148 FLF262148 FBJ262148 ERN262148 EHR262148 DXV262148 DNZ262148 DED262148 CUH262148 CKL262148 CAP262148 BQT262148 BGX262148 AXB262148 ANF262148 ADJ262148 TN262148 JR262148 V262148 WWD196612 WMH196612 WCL196612 VSP196612 VIT196612 UYX196612 UPB196612 UFF196612 TVJ196612 TLN196612 TBR196612 SRV196612 SHZ196612 RYD196612 ROH196612 REL196612 QUP196612 QKT196612 QAX196612 PRB196612 PHF196612 OXJ196612 ONN196612 ODR196612 NTV196612 NJZ196612 NAD196612 MQH196612 MGL196612 LWP196612 LMT196612 LCX196612 KTB196612 KJF196612 JZJ196612 JPN196612 JFR196612 IVV196612 ILZ196612 ICD196612 HSH196612 HIL196612 GYP196612 GOT196612 GEX196612 FVB196612 FLF196612 FBJ196612 ERN196612 EHR196612 DXV196612 DNZ196612 DED196612 CUH196612 CKL196612 CAP196612 BQT196612 BGX196612 AXB196612 ANF196612 ADJ196612 TN196612 JR196612 V196612 WWD131076 WMH131076 WCL131076 VSP131076 VIT131076 UYX131076 UPB131076 UFF131076 TVJ131076 TLN131076 TBR131076 SRV131076 SHZ131076 RYD131076 ROH131076 REL131076 QUP131076 QKT131076 QAX131076 PRB131076 PHF131076 OXJ131076 ONN131076 ODR131076 NTV131076 NJZ131076 NAD131076 MQH131076 MGL131076 LWP131076 LMT131076 LCX131076 KTB131076 KJF131076 JZJ131076 JPN131076 JFR131076 IVV131076 ILZ131076 ICD131076 HSH131076 HIL131076 GYP131076 GOT131076 GEX131076 FVB131076 FLF131076 FBJ131076 ERN131076 EHR131076 DXV131076 DNZ131076 DED131076 CUH131076 CKL131076 CAP131076 BQT131076 BGX131076 AXB131076 ANF131076 ADJ131076 TN131076 JR131076 V131076 WWD65540 WMH65540 WCL65540 VSP65540 VIT65540 UYX65540 UPB65540 UFF65540 TVJ65540 TLN65540 TBR65540 SRV65540 SHZ65540 RYD65540 ROH65540 REL65540 QUP65540 QKT65540 QAX65540 PRB65540 PHF65540 OXJ65540 ONN65540 ODR65540 NTV65540 NJZ65540 NAD65540 MQH65540 MGL65540 LWP65540 LMT65540 LCX65540 KTB65540 KJF65540 JZJ65540 JPN65540 JFR65540 IVV65540 ILZ65540 ICD65540 HSH65540 HIL65540 GYP65540 GOT65540 GEX65540 FVB65540 FLF65540 FBJ65540 ERN65540 EHR65540 DXV65540 DNZ65540 DED65540 CUH65540 CKL65540 CAP65540 BQT65540 BGX65540 AXB65540 ANF65540 ADJ65540 TN65540 JR65540 V65540 WWD4 WMH4 WCL4 VSP4 VIT4 UYX4 UPB4 UFF4 TVJ4 TLN4 TBR4 SRV4 SHZ4 RYD4 ROH4 REL4 QUP4 QKT4 QAX4 PRB4 PHF4 OXJ4 ONN4 ODR4 NTV4 NJZ4 NAD4 MQH4 MGL4 LWP4 LMT4 LCX4 KTB4 KJF4 JZJ4 JPN4 JFR4 IVV4 ILZ4 ICD4 HSH4 HIL4 GYP4 GOT4 GEX4 FVB4 FLF4 FBJ4 ERN4 EHR4 DXV4 DNZ4 DED4 CUH4 CKL4 CAP4 BQT4 BGX4 AXB4 ANF4 ADJ4 TN4 JR4 V4 WVZ983044 WMD983044 WCH983044 VSL983044 VIP983044 UYT983044 UOX983044 UFB983044 TVF983044 TLJ983044 TBN983044 SRR983044 SHV983044 RXZ983044 ROD983044 REH983044 QUL983044 QKP983044 QAT983044 PQX983044 PHB983044 OXF983044 ONJ983044 ODN983044 NTR983044 NJV983044 MZZ983044 MQD983044 MGH983044 LWL983044 LMP983044 LCT983044 KSX983044 KJB983044 JZF983044 JPJ983044 JFN983044 IVR983044 ILV983044 IBZ983044 HSD983044 HIH983044 GYL983044 GOP983044 GET983044 FUX983044 FLB983044 FBF983044 ERJ983044 EHN983044 DXR983044 DNV983044 DDZ983044 CUD983044 CKH983044 CAL983044 BQP983044 BGT983044 AWX983044 ANB983044 ADF983044 TJ983044 JN983044 R983044 WVZ917508 WMD917508 WCH917508 VSL917508 VIP917508 UYT917508 UOX917508 UFB917508 TVF917508 TLJ917508 TBN917508 SRR917508 SHV917508 RXZ917508 ROD917508 REH917508 QUL917508 QKP917508 QAT917508 PQX917508 PHB917508 OXF917508 ONJ917508 ODN917508 NTR917508 NJV917508 MZZ917508 MQD917508 MGH917508 LWL917508 LMP917508 LCT917508 KSX917508 KJB917508 JZF917508 JPJ917508 JFN917508 IVR917508 ILV917508 IBZ917508 HSD917508 HIH917508 GYL917508 GOP917508 GET917508 FUX917508 FLB917508 FBF917508 ERJ917508 EHN917508 DXR917508 DNV917508 DDZ917508 CUD917508 CKH917508 CAL917508 BQP917508 BGT917508 AWX917508 ANB917508 ADF917508 TJ917508 JN917508 R917508 WVZ851972 WMD851972 WCH851972 VSL851972 VIP851972 UYT851972 UOX851972 UFB851972 TVF851972 TLJ851972 TBN851972 SRR851972 SHV851972 RXZ851972 ROD851972 REH851972 QUL851972 QKP851972 QAT851972 PQX851972 PHB851972 OXF851972 ONJ851972 ODN851972 NTR851972 NJV851972 MZZ851972 MQD851972 MGH851972 LWL851972 LMP851972 LCT851972 KSX851972 KJB851972 JZF851972 JPJ851972 JFN851972 IVR851972 ILV851972 IBZ851972 HSD851972 HIH851972 GYL851972 GOP851972 GET851972 FUX851972 FLB851972 FBF851972 ERJ851972 EHN851972 DXR851972 DNV851972 DDZ851972 CUD851972 CKH851972 CAL851972 BQP851972 BGT851972 AWX851972 ANB851972 ADF851972 TJ851972 JN851972 R851972 WVZ786436 WMD786436 WCH786436 VSL786436 VIP786436 UYT786436 UOX786436 UFB786436 TVF786436 TLJ786436 TBN786436 SRR786436 SHV786436 RXZ786436 ROD786436 REH786436 QUL786436 QKP786436 QAT786436 PQX786436 PHB786436 OXF786436 ONJ786436 ODN786436 NTR786436 NJV786436 MZZ786436 MQD786436 MGH786436 LWL786436 LMP786436 LCT786436 KSX786436 KJB786436 JZF786436 JPJ786436 JFN786436 IVR786436 ILV786436 IBZ786436 HSD786436 HIH786436 GYL786436 GOP786436 GET786436 FUX786436 FLB786436 FBF786436 ERJ786436 EHN786436 DXR786436 DNV786436 DDZ786436 CUD786436 CKH786436 CAL786436 BQP786436 BGT786436 AWX786436 ANB786436 ADF786436 TJ786436 JN786436 R786436 WVZ720900 WMD720900 WCH720900 VSL720900 VIP720900 UYT720900 UOX720900 UFB720900 TVF720900 TLJ720900 TBN720900 SRR720900 SHV720900 RXZ720900 ROD720900 REH720900 QUL720900 QKP720900 QAT720900 PQX720900 PHB720900 OXF720900 ONJ720900 ODN720900 NTR720900 NJV720900 MZZ720900 MQD720900 MGH720900 LWL720900 LMP720900 LCT720900 KSX720900 KJB720900 JZF720900 JPJ720900 JFN720900 IVR720900 ILV720900 IBZ720900 HSD720900 HIH720900 GYL720900 GOP720900 GET720900 FUX720900 FLB720900 FBF720900 ERJ720900 EHN720900 DXR720900 DNV720900 DDZ720900 CUD720900 CKH720900 CAL720900 BQP720900 BGT720900 AWX720900 ANB720900 ADF720900 TJ720900 JN720900 R720900 WVZ655364 WMD655364 WCH655364 VSL655364 VIP655364 UYT655364 UOX655364 UFB655364 TVF655364 TLJ655364 TBN655364 SRR655364 SHV655364 RXZ655364 ROD655364 REH655364 QUL655364 QKP655364 QAT655364 PQX655364 PHB655364 OXF655364 ONJ655364 ODN655364 NTR655364 NJV655364 MZZ655364 MQD655364 MGH655364 LWL655364 LMP655364 LCT655364 KSX655364 KJB655364 JZF655364 JPJ655364 JFN655364 IVR655364 ILV655364 IBZ655364 HSD655364 HIH655364 GYL655364 GOP655364 GET655364 FUX655364 FLB655364 FBF655364 ERJ655364 EHN655364 DXR655364 DNV655364 DDZ655364 CUD655364 CKH655364 CAL655364 BQP655364 BGT655364 AWX655364 ANB655364 ADF655364 TJ655364 JN655364 R655364 WVZ589828 WMD589828 WCH589828 VSL589828 VIP589828 UYT589828 UOX589828 UFB589828 TVF589828 TLJ589828 TBN589828 SRR589828 SHV589828 RXZ589828 ROD589828 REH589828 QUL589828 QKP589828 QAT589828 PQX589828 PHB589828 OXF589828 ONJ589828 ODN589828 NTR589828 NJV589828 MZZ589828 MQD589828 MGH589828 LWL589828 LMP589828 LCT589828 KSX589828 KJB589828 JZF589828 JPJ589828 JFN589828 IVR589828 ILV589828 IBZ589828 HSD589828 HIH589828 GYL589828 GOP589828 GET589828 FUX589828 FLB589828 FBF589828 ERJ589828 EHN589828 DXR589828 DNV589828 DDZ589828 CUD589828 CKH589828 CAL589828 BQP589828 BGT589828 AWX589828 ANB589828 ADF589828 TJ589828 JN589828 R589828 WVZ524292 WMD524292 WCH524292 VSL524292 VIP524292 UYT524292 UOX524292 UFB524292 TVF524292 TLJ524292 TBN524292 SRR524292 SHV524292 RXZ524292 ROD524292 REH524292 QUL524292 QKP524292 QAT524292 PQX524292 PHB524292 OXF524292 ONJ524292 ODN524292 NTR524292 NJV524292 MZZ524292 MQD524292 MGH524292 LWL524292 LMP524292 LCT524292 KSX524292 KJB524292 JZF524292 JPJ524292 JFN524292 IVR524292 ILV524292 IBZ524292 HSD524292 HIH524292 GYL524292 GOP524292 GET524292 FUX524292 FLB524292 FBF524292 ERJ524292 EHN524292 DXR524292 DNV524292 DDZ524292 CUD524292 CKH524292 CAL524292 BQP524292 BGT524292 AWX524292 ANB524292 ADF524292 TJ524292 JN524292 R524292 WVZ458756 WMD458756 WCH458756 VSL458756 VIP458756 UYT458756 UOX458756 UFB458756 TVF458756 TLJ458756 TBN458756 SRR458756 SHV458756 RXZ458756 ROD458756 REH458756 QUL458756 QKP458756 QAT458756 PQX458756 PHB458756 OXF458756 ONJ458756 ODN458756 NTR458756 NJV458756 MZZ458756 MQD458756 MGH458756 LWL458756 LMP458756 LCT458756 KSX458756 KJB458756 JZF458756 JPJ458756 JFN458756 IVR458756 ILV458756 IBZ458756 HSD458756 HIH458756 GYL458756 GOP458756 GET458756 FUX458756 FLB458756 FBF458756 ERJ458756 EHN458756 DXR458756 DNV458756 DDZ458756 CUD458756 CKH458756 CAL458756 BQP458756 BGT458756 AWX458756 ANB458756 ADF458756 TJ458756 JN458756 R458756 WVZ393220 WMD393220 WCH393220 VSL393220 VIP393220 UYT393220 UOX393220 UFB393220 TVF393220 TLJ393220 TBN393220 SRR393220 SHV393220 RXZ393220 ROD393220 REH393220 QUL393220 QKP393220 QAT393220 PQX393220 PHB393220 OXF393220 ONJ393220 ODN393220 NTR393220 NJV393220 MZZ393220 MQD393220 MGH393220 LWL393220 LMP393220 LCT393220 KSX393220 KJB393220 JZF393220 JPJ393220 JFN393220 IVR393220 ILV393220 IBZ393220 HSD393220 HIH393220 GYL393220 GOP393220 GET393220 FUX393220 FLB393220 FBF393220 ERJ393220 EHN393220 DXR393220 DNV393220 DDZ393220 CUD393220 CKH393220 CAL393220 BQP393220 BGT393220 AWX393220 ANB393220 ADF393220 TJ393220 JN393220 R393220 WVZ327684 WMD327684 WCH327684 VSL327684 VIP327684 UYT327684 UOX327684 UFB327684 TVF327684 TLJ327684 TBN327684 SRR327684 SHV327684 RXZ327684 ROD327684 REH327684 QUL327684 QKP327684 QAT327684 PQX327684 PHB327684 OXF327684 ONJ327684 ODN327684 NTR327684 NJV327684 MZZ327684 MQD327684 MGH327684 LWL327684 LMP327684 LCT327684 KSX327684 KJB327684 JZF327684 JPJ327684 JFN327684 IVR327684 ILV327684 IBZ327684 HSD327684 HIH327684 GYL327684 GOP327684 GET327684 FUX327684 FLB327684 FBF327684 ERJ327684 EHN327684 DXR327684 DNV327684 DDZ327684 CUD327684 CKH327684 CAL327684 BQP327684 BGT327684 AWX327684 ANB327684 ADF327684 TJ327684 JN327684 R327684 WVZ262148 WMD262148 WCH262148 VSL262148 VIP262148 UYT262148 UOX262148 UFB262148 TVF262148 TLJ262148 TBN262148 SRR262148 SHV262148 RXZ262148 ROD262148 REH262148 QUL262148 QKP262148 QAT262148 PQX262148 PHB262148 OXF262148 ONJ262148 ODN262148 NTR262148 NJV262148 MZZ262148 MQD262148 MGH262148 LWL262148 LMP262148 LCT262148 KSX262148 KJB262148 JZF262148 JPJ262148 JFN262148 IVR262148 ILV262148 IBZ262148 HSD262148 HIH262148 GYL262148 GOP262148 GET262148 FUX262148 FLB262148 FBF262148 ERJ262148 EHN262148 DXR262148 DNV262148 DDZ262148 CUD262148 CKH262148 CAL262148 BQP262148 BGT262148 AWX262148 ANB262148 ADF262148 TJ262148 JN262148 R262148 WVZ196612 WMD196612 WCH196612 VSL196612 VIP196612 UYT196612 UOX196612 UFB196612 TVF196612 TLJ196612 TBN196612 SRR196612 SHV196612 RXZ196612 ROD196612 REH196612 QUL196612 QKP196612 QAT196612 PQX196612 PHB196612 OXF196612 ONJ196612 ODN196612 NTR196612 NJV196612 MZZ196612 MQD196612 MGH196612 LWL196612 LMP196612 LCT196612 KSX196612 KJB196612 JZF196612 JPJ196612 JFN196612 IVR196612 ILV196612 IBZ196612 HSD196612 HIH196612 GYL196612 GOP196612 GET196612 FUX196612 FLB196612 FBF196612 ERJ196612 EHN196612 DXR196612 DNV196612 DDZ196612 CUD196612 CKH196612 CAL196612 BQP196612 BGT196612 AWX196612 ANB196612 ADF196612 TJ196612 JN196612 R196612 WVZ131076 WMD131076 WCH131076 VSL131076 VIP131076 UYT131076 UOX131076 UFB131076 TVF131076 TLJ131076 TBN131076 SRR131076 SHV131076 RXZ131076 ROD131076 REH131076 QUL131076 QKP131076 QAT131076 PQX131076 PHB131076 OXF131076 ONJ131076 ODN131076 NTR131076 NJV131076 MZZ131076 MQD131076 MGH131076 LWL131076 LMP131076 LCT131076 KSX131076 KJB131076 JZF131076 JPJ131076 JFN131076 IVR131076 ILV131076 IBZ131076 HSD131076 HIH131076 GYL131076 GOP131076 GET131076 FUX131076 FLB131076 FBF131076 ERJ131076 EHN131076 DXR131076 DNV131076 DDZ131076 CUD131076 CKH131076 CAL131076 BQP131076 BGT131076 AWX131076 ANB131076 ADF131076 TJ131076 JN131076 R131076 WVZ65540 WMD65540 WCH65540 VSL65540 VIP65540 UYT65540 UOX65540 UFB65540 TVF65540 TLJ65540 TBN65540 SRR65540 SHV65540 RXZ65540 ROD65540 REH65540 QUL65540 QKP65540 QAT65540 PQX65540 PHB65540 OXF65540 ONJ65540 ODN65540 NTR65540 NJV65540 MZZ65540 MQD65540 MGH65540 LWL65540 LMP65540 LCT65540 KSX65540 KJB65540 JZF65540 JPJ65540 JFN65540 IVR65540 ILV65540 IBZ65540 HSD65540 HIH65540 GYL65540 GOP65540 GET65540 FUX65540 FLB65540 FBF65540 ERJ65540 EHN65540 DXR65540 DNV65540 DDZ65540 CUD65540 CKH65540 CAL65540 BQP65540 BGT65540 AWX65540 ANB65540 ADF65540 TJ65540 JN65540 R65540 WVZ4 WMD4 WCH4 VSL4 VIP4 UYT4 UOX4 UFB4 TVF4 TLJ4 TBN4 SRR4 SHV4 RXZ4 ROD4 REH4 QUL4 QKP4 QAT4 PQX4 PHB4 OXF4 ONJ4 ODN4 NTR4 NJV4 MZZ4 MQD4 MGH4 LWL4 LMP4 LCT4 KSX4 KJB4 JZF4 JPJ4 JFN4 IVR4 ILV4 IBZ4 HSD4 HIH4 GYL4 GOP4 GET4 FUX4 FLB4 FBF4 ERJ4 EHN4 DXR4 DNV4 DDZ4 CUD4 CKH4 CAL4 BQP4 BGT4 AWX4 ANB4 ADF4 TJ4 JN4 R4 WVV983044 WLZ983044 WCD983044 VSH983044 VIL983044 UYP983044 UOT983044 UEX983044 TVB983044 TLF983044 TBJ983044 SRN983044 SHR983044 RXV983044 RNZ983044 RED983044 QUH983044 QKL983044 QAP983044 PQT983044 PGX983044 OXB983044 ONF983044 ODJ983044 NTN983044 NJR983044 MZV983044 MPZ983044 MGD983044 LWH983044 LML983044 LCP983044 KST983044 KIX983044 JZB983044 JPF983044 JFJ983044 IVN983044 ILR983044 IBV983044 HRZ983044 HID983044 GYH983044 GOL983044 GEP983044 FUT983044 FKX983044 FBB983044 ERF983044 EHJ983044 DXN983044 DNR983044 DDV983044 CTZ983044 CKD983044 CAH983044 BQL983044 BGP983044 AWT983044 AMX983044 ADB983044 TF983044 JJ983044 N983044 WVV917508 WLZ917508 WCD917508 VSH917508 VIL917508 UYP917508 UOT917508 UEX917508 TVB917508 TLF917508 TBJ917508 SRN917508 SHR917508 RXV917508 RNZ917508 RED917508 QUH917508 QKL917508 QAP917508 PQT917508 PGX917508 OXB917508 ONF917508 ODJ917508 NTN917508 NJR917508 MZV917508 MPZ917508 MGD917508 LWH917508 LML917508 LCP917508 KST917508 KIX917508 JZB917508 JPF917508 JFJ917508 IVN917508 ILR917508 IBV917508 HRZ917508 HID917508 GYH917508 GOL917508 GEP917508 FUT917508 FKX917508 FBB917508 ERF917508 EHJ917508 DXN917508 DNR917508 DDV917508 CTZ917508 CKD917508 CAH917508 BQL917508 BGP917508 AWT917508 AMX917508 ADB917508 TF917508 JJ917508 N917508 WVV851972 WLZ851972 WCD851972 VSH851972 VIL851972 UYP851972 UOT851972 UEX851972 TVB851972 TLF851972 TBJ851972 SRN851972 SHR851972 RXV851972 RNZ851972 RED851972 QUH851972 QKL851972 QAP851972 PQT851972 PGX851972 OXB851972 ONF851972 ODJ851972 NTN851972 NJR851972 MZV851972 MPZ851972 MGD851972 LWH851972 LML851972 LCP851972 KST851972 KIX851972 JZB851972 JPF851972 JFJ851972 IVN851972 ILR851972 IBV851972 HRZ851972 HID851972 GYH851972 GOL851972 GEP851972 FUT851972 FKX851972 FBB851972 ERF851972 EHJ851972 DXN851972 DNR851972 DDV851972 CTZ851972 CKD851972 CAH851972 BQL851972 BGP851972 AWT851972 AMX851972 ADB851972 TF851972 JJ851972 N851972 WVV786436 WLZ786436 WCD786436 VSH786436 VIL786436 UYP786436 UOT786436 UEX786436 TVB786436 TLF786436 TBJ786436 SRN786436 SHR786436 RXV786436 RNZ786436 RED786436 QUH786436 QKL786436 QAP786436 PQT786436 PGX786436 OXB786436 ONF786436 ODJ786436 NTN786436 NJR786436 MZV786436 MPZ786436 MGD786436 LWH786436 LML786436 LCP786436 KST786436 KIX786436 JZB786436 JPF786436 JFJ786436 IVN786436 ILR786436 IBV786436 HRZ786436 HID786436 GYH786436 GOL786436 GEP786436 FUT786436 FKX786436 FBB786436 ERF786436 EHJ786436 DXN786436 DNR786436 DDV786436 CTZ786436 CKD786436 CAH786436 BQL786436 BGP786436 AWT786436 AMX786436 ADB786436 TF786436 JJ786436 N786436 WVV720900 WLZ720900 WCD720900 VSH720900 VIL720900 UYP720900 UOT720900 UEX720900 TVB720900 TLF720900 TBJ720900 SRN720900 SHR720900 RXV720900 RNZ720900 RED720900 QUH720900 QKL720900 QAP720900 PQT720900 PGX720900 OXB720900 ONF720900 ODJ720900 NTN720900 NJR720900 MZV720900 MPZ720900 MGD720900 LWH720900 LML720900 LCP720900 KST720900 KIX720900 JZB720900 JPF720900 JFJ720900 IVN720900 ILR720900 IBV720900 HRZ720900 HID720900 GYH720900 GOL720900 GEP720900 FUT720900 FKX720900 FBB720900 ERF720900 EHJ720900 DXN720900 DNR720900 DDV720900 CTZ720900 CKD720900 CAH720900 BQL720900 BGP720900 AWT720900 AMX720900 ADB720900 TF720900 JJ720900 N720900 WVV655364 WLZ655364 WCD655364 VSH655364 VIL655364 UYP655364 UOT655364 UEX655364 TVB655364 TLF655364 TBJ655364 SRN655364 SHR655364 RXV655364 RNZ655364 RED655364 QUH655364 QKL655364 QAP655364 PQT655364 PGX655364 OXB655364 ONF655364 ODJ655364 NTN655364 NJR655364 MZV655364 MPZ655364 MGD655364 LWH655364 LML655364 LCP655364 KST655364 KIX655364 JZB655364 JPF655364 JFJ655364 IVN655364 ILR655364 IBV655364 HRZ655364 HID655364 GYH655364 GOL655364 GEP655364 FUT655364 FKX655364 FBB655364 ERF655364 EHJ655364 DXN655364 DNR655364 DDV655364 CTZ655364 CKD655364 CAH655364 BQL655364 BGP655364 AWT655364 AMX655364 ADB655364 TF655364 JJ655364 N655364 WVV589828 WLZ589828 WCD589828 VSH589828 VIL589828 UYP589828 UOT589828 UEX589828 TVB589828 TLF589828 TBJ589828 SRN589828 SHR589828 RXV589828 RNZ589828 RED589828 QUH589828 QKL589828 QAP589828 PQT589828 PGX589828 OXB589828 ONF589828 ODJ589828 NTN589828 NJR589828 MZV589828 MPZ589828 MGD589828 LWH589828 LML589828 LCP589828 KST589828 KIX589828 JZB589828 JPF589828 JFJ589828 IVN589828 ILR589828 IBV589828 HRZ589828 HID589828 GYH589828 GOL589828 GEP589828 FUT589828 FKX589828 FBB589828 ERF589828 EHJ589828 DXN589828 DNR589828 DDV589828 CTZ589828 CKD589828 CAH589828 BQL589828 BGP589828 AWT589828 AMX589828 ADB589828 TF589828 JJ589828 N589828 WVV524292 WLZ524292 WCD524292 VSH524292 VIL524292 UYP524292 UOT524292 UEX524292 TVB524292 TLF524292 TBJ524292 SRN524292 SHR524292 RXV524292 RNZ524292 RED524292 QUH524292 QKL524292 QAP524292 PQT524292 PGX524292 OXB524292 ONF524292 ODJ524292 NTN524292 NJR524292 MZV524292 MPZ524292 MGD524292 LWH524292 LML524292 LCP524292 KST524292 KIX524292 JZB524292 JPF524292 JFJ524292 IVN524292 ILR524292 IBV524292 HRZ524292 HID524292 GYH524292 GOL524292 GEP524292 FUT524292 FKX524292 FBB524292 ERF524292 EHJ524292 DXN524292 DNR524292 DDV524292 CTZ524292 CKD524292 CAH524292 BQL524292 BGP524292 AWT524292 AMX524292 ADB524292 TF524292 JJ524292 N524292 WVV458756 WLZ458756 WCD458756 VSH458756 VIL458756 UYP458756 UOT458756 UEX458756 TVB458756 TLF458756 TBJ458756 SRN458756 SHR458756 RXV458756 RNZ458756 RED458756 QUH458756 QKL458756 QAP458756 PQT458756 PGX458756 OXB458756 ONF458756 ODJ458756 NTN458756 NJR458756 MZV458756 MPZ458756 MGD458756 LWH458756 LML458756 LCP458756 KST458756 KIX458756 JZB458756 JPF458756 JFJ458756 IVN458756 ILR458756 IBV458756 HRZ458756 HID458756 GYH458756 GOL458756 GEP458756 FUT458756 FKX458756 FBB458756 ERF458756 EHJ458756 DXN458756 DNR458756 DDV458756 CTZ458756 CKD458756 CAH458756 BQL458756 BGP458756 AWT458756 AMX458756 ADB458756 TF458756 JJ458756 N458756 WVV393220 WLZ393220 WCD393220 VSH393220 VIL393220 UYP393220 UOT393220 UEX393220 TVB393220 TLF393220 TBJ393220 SRN393220 SHR393220 RXV393220 RNZ393220 RED393220 QUH393220 QKL393220 QAP393220 PQT393220 PGX393220 OXB393220 ONF393220 ODJ393220 NTN393220 NJR393220 MZV393220 MPZ393220 MGD393220 LWH393220 LML393220 LCP393220 KST393220 KIX393220 JZB393220 JPF393220 JFJ393220 IVN393220 ILR393220 IBV393220 HRZ393220 HID393220 GYH393220 GOL393220 GEP393220 FUT393220 FKX393220 FBB393220 ERF393220 EHJ393220 DXN393220 DNR393220 DDV393220 CTZ393220 CKD393220 CAH393220 BQL393220 BGP393220 AWT393220 AMX393220 ADB393220 TF393220 JJ393220 N393220 WVV327684 WLZ327684 WCD327684 VSH327684 VIL327684 UYP327684 UOT327684 UEX327684 TVB327684 TLF327684 TBJ327684 SRN327684 SHR327684 RXV327684 RNZ327684 RED327684 QUH327684 QKL327684 QAP327684 PQT327684 PGX327684 OXB327684 ONF327684 ODJ327684 NTN327684 NJR327684 MZV327684 MPZ327684 MGD327684 LWH327684 LML327684 LCP327684 KST327684 KIX327684 JZB327684 JPF327684 JFJ327684 IVN327684 ILR327684 IBV327684 HRZ327684 HID327684 GYH327684 GOL327684 GEP327684 FUT327684 FKX327684 FBB327684 ERF327684 EHJ327684 DXN327684 DNR327684 DDV327684 CTZ327684 CKD327684 CAH327684 BQL327684 BGP327684 AWT327684 AMX327684 ADB327684 TF327684 JJ327684 N327684 WVV262148 WLZ262148 WCD262148 VSH262148 VIL262148 UYP262148 UOT262148 UEX262148 TVB262148 TLF262148 TBJ262148 SRN262148 SHR262148 RXV262148 RNZ262148 RED262148 QUH262148 QKL262148 QAP262148 PQT262148 PGX262148 OXB262148 ONF262148 ODJ262148 NTN262148 NJR262148 MZV262148 MPZ262148 MGD262148 LWH262148 LML262148 LCP262148 KST262148 KIX262148 JZB262148 JPF262148 JFJ262148 IVN262148 ILR262148 IBV262148 HRZ262148 HID262148 GYH262148 GOL262148 GEP262148 FUT262148 FKX262148 FBB262148 ERF262148 EHJ262148 DXN262148 DNR262148 DDV262148 CTZ262148 CKD262148 CAH262148 BQL262148 BGP262148 AWT262148 AMX262148 ADB262148 TF262148 JJ262148 N262148 WVV196612 WLZ196612 WCD196612 VSH196612 VIL196612 UYP196612 UOT196612 UEX196612 TVB196612 TLF196612 TBJ196612 SRN196612 SHR196612 RXV196612 RNZ196612 RED196612 QUH196612 QKL196612 QAP196612 PQT196612 PGX196612 OXB196612 ONF196612 ODJ196612 NTN196612 NJR196612 MZV196612 MPZ196612 MGD196612 LWH196612 LML196612 LCP196612 KST196612 KIX196612 JZB196612 JPF196612 JFJ196612 IVN196612 ILR196612 IBV196612 HRZ196612 HID196612 GYH196612 GOL196612 GEP196612 FUT196612 FKX196612 FBB196612 ERF196612 EHJ196612 DXN196612 DNR196612 DDV196612 CTZ196612 CKD196612 CAH196612 BQL196612 BGP196612 AWT196612 AMX196612 ADB196612 TF196612 JJ196612 N196612 WVV131076 WLZ131076 WCD131076 VSH131076 VIL131076 UYP131076 UOT131076 UEX131076 TVB131076 TLF131076 TBJ131076 SRN131076 SHR131076 RXV131076 RNZ131076 RED131076 QUH131076 QKL131076 QAP131076 PQT131076 PGX131076 OXB131076 ONF131076 ODJ131076 NTN131076 NJR131076 MZV131076 MPZ131076 MGD131076 LWH131076 LML131076 LCP131076 KST131076 KIX131076 JZB131076 JPF131076 JFJ131076 IVN131076 ILR131076 IBV131076 HRZ131076 HID131076 GYH131076 GOL131076 GEP131076 FUT131076 FKX131076 FBB131076 ERF131076 EHJ131076 DXN131076 DNR131076 DDV131076 CTZ131076 CKD131076 CAH131076 BQL131076 BGP131076 AWT131076 AMX131076 ADB131076 TF131076 JJ131076 N131076 WVV65540 WLZ65540 WCD65540 VSH65540 VIL65540 UYP65540 UOT65540 UEX65540 TVB65540 TLF65540 TBJ65540 SRN65540 SHR65540 RXV65540 RNZ65540 RED65540 QUH65540 QKL65540 QAP65540 PQT65540 PGX65540 OXB65540 ONF65540 ODJ65540 NTN65540 NJR65540 MZV65540 MPZ65540 MGD65540 LWH65540 LML65540 LCP65540 KST65540 KIX65540 JZB65540 JPF65540 JFJ65540 IVN65540 ILR65540 IBV65540 HRZ65540 HID65540 GYH65540 GOL65540 GEP65540 FUT65540 FKX65540 FBB65540 ERF65540 EHJ65540 DXN65540 DNR65540 DDV65540 CTZ65540 CKD65540 CAH65540 BQL65540 BGP65540 AWT65540 AMX65540 ADB65540 TF65540 JJ65540 N65540 WVV4 WLZ4 WCD4 VSH4 VIL4 UYP4 UOT4 UEX4 TVB4 TLF4 TBJ4 SRN4 SHR4 RXV4 RNZ4 RED4 QUH4 QKL4 QAP4 PQT4 PGX4 OXB4 ONF4 ODJ4 NTN4 NJR4 MZV4 MPZ4 MGD4 LWH4 LML4 LCP4 KST4 KIX4 JZB4 JPF4 JFJ4 IVN4 ILR4 IBV4 HRZ4 HID4 GYH4 GOL4 GEP4 FUT4 FKX4 FBB4 ERF4 EHJ4 DXN4 DNR4 DDV4 CTZ4 CKD4 CAH4 BQL4 BGP4 AWT4 AMX4 ADB4 TF4 JJ4 N4 WVR983044 WLV983044 WBZ983044 VSD983044 VIH983044 UYL983044 UOP983044 UET983044 TUX983044 TLB983044 TBF983044 SRJ983044 SHN983044 RXR983044 RNV983044 RDZ983044 QUD983044 QKH983044 QAL983044 PQP983044 PGT983044 OWX983044 ONB983044 ODF983044 NTJ983044 NJN983044 MZR983044 MPV983044 MFZ983044 LWD983044 LMH983044 LCL983044 KSP983044 KIT983044 JYX983044 JPB983044 JFF983044 IVJ983044 ILN983044 IBR983044 HRV983044 HHZ983044 GYD983044 GOH983044 GEL983044 FUP983044 FKT983044 FAX983044 ERB983044 EHF983044 DXJ983044 DNN983044 DDR983044 CTV983044 CJZ983044 CAD983044 BQH983044 BGL983044 AWP983044 AMT983044 ACX983044 TB983044 JF983044 J983044 WVR917508 WLV917508 WBZ917508 VSD917508 VIH917508 UYL917508 UOP917508 UET917508 TUX917508 TLB917508 TBF917508 SRJ917508 SHN917508 RXR917508 RNV917508 RDZ917508 QUD917508 QKH917508 QAL917508 PQP917508 PGT917508 OWX917508 ONB917508 ODF917508 NTJ917508 NJN917508 MZR917508 MPV917508 MFZ917508 LWD917508 LMH917508 LCL917508 KSP917508 KIT917508 JYX917508 JPB917508 JFF917508 IVJ917508 ILN917508 IBR917508 HRV917508 HHZ917508 GYD917508 GOH917508 GEL917508 FUP917508 FKT917508 FAX917508 ERB917508 EHF917508 DXJ917508 DNN917508 DDR917508 CTV917508 CJZ917508 CAD917508 BQH917508 BGL917508 AWP917508 AMT917508 ACX917508 TB917508 JF917508 J917508 WVR851972 WLV851972 WBZ851972 VSD851972 VIH851972 UYL851972 UOP851972 UET851972 TUX851972 TLB851972 TBF851972 SRJ851972 SHN851972 RXR851972 RNV851972 RDZ851972 QUD851972 QKH851972 QAL851972 PQP851972 PGT851972 OWX851972 ONB851972 ODF851972 NTJ851972 NJN851972 MZR851972 MPV851972 MFZ851972 LWD851972 LMH851972 LCL851972 KSP851972 KIT851972 JYX851972 JPB851972 JFF851972 IVJ851972 ILN851972 IBR851972 HRV851972 HHZ851972 GYD851972 GOH851972 GEL851972 FUP851972 FKT851972 FAX851972 ERB851972 EHF851972 DXJ851972 DNN851972 DDR851972 CTV851972 CJZ851972 CAD851972 BQH851972 BGL851972 AWP851972 AMT851972 ACX851972 TB851972 JF851972 J851972 WVR786436 WLV786436 WBZ786436 VSD786436 VIH786436 UYL786436 UOP786436 UET786436 TUX786436 TLB786436 TBF786436 SRJ786436 SHN786436 RXR786436 RNV786436 RDZ786436 QUD786436 QKH786436 QAL786436 PQP786436 PGT786436 OWX786436 ONB786436 ODF786436 NTJ786436 NJN786436 MZR786436 MPV786436 MFZ786436 LWD786436 LMH786436 LCL786436 KSP786436 KIT786436 JYX786436 JPB786436 JFF786436 IVJ786436 ILN786436 IBR786436 HRV786436 HHZ786436 GYD786436 GOH786436 GEL786436 FUP786436 FKT786436 FAX786436 ERB786436 EHF786436 DXJ786436 DNN786436 DDR786436 CTV786436 CJZ786436 CAD786436 BQH786436 BGL786436 AWP786436 AMT786436 ACX786436 TB786436 JF786436 J786436 WVR720900 WLV720900 WBZ720900 VSD720900 VIH720900 UYL720900 UOP720900 UET720900 TUX720900 TLB720900 TBF720900 SRJ720900 SHN720900 RXR720900 RNV720900 RDZ720900 QUD720900 QKH720900 QAL720900 PQP720900 PGT720900 OWX720900 ONB720900 ODF720900 NTJ720900 NJN720900 MZR720900 MPV720900 MFZ720900 LWD720900 LMH720900 LCL720900 KSP720900 KIT720900 JYX720900 JPB720900 JFF720900 IVJ720900 ILN720900 IBR720900 HRV720900 HHZ720900 GYD720900 GOH720900 GEL720900 FUP720900 FKT720900 FAX720900 ERB720900 EHF720900 DXJ720900 DNN720900 DDR720900 CTV720900 CJZ720900 CAD720900 BQH720900 BGL720900 AWP720900 AMT720900 ACX720900 TB720900 JF720900 J720900 WVR655364 WLV655364 WBZ655364 VSD655364 VIH655364 UYL655364 UOP655364 UET655364 TUX655364 TLB655364 TBF655364 SRJ655364 SHN655364 RXR655364 RNV655364 RDZ655364 QUD655364 QKH655364 QAL655364 PQP655364 PGT655364 OWX655364 ONB655364 ODF655364 NTJ655364 NJN655364 MZR655364 MPV655364 MFZ655364 LWD655364 LMH655364 LCL655364 KSP655364 KIT655364 JYX655364 JPB655364 JFF655364 IVJ655364 ILN655364 IBR655364 HRV655364 HHZ655364 GYD655364 GOH655364 GEL655364 FUP655364 FKT655364 FAX655364 ERB655364 EHF655364 DXJ655364 DNN655364 DDR655364 CTV655364 CJZ655364 CAD655364 BQH655364 BGL655364 AWP655364 AMT655364 ACX655364 TB655364 JF655364 J655364 WVR589828 WLV589828 WBZ589828 VSD589828 VIH589828 UYL589828 UOP589828 UET589828 TUX589828 TLB589828 TBF589828 SRJ589828 SHN589828 RXR589828 RNV589828 RDZ589828 QUD589828 QKH589828 QAL589828 PQP589828 PGT589828 OWX589828 ONB589828 ODF589828 NTJ589828 NJN589828 MZR589828 MPV589828 MFZ589828 LWD589828 LMH589828 LCL589828 KSP589828 KIT589828 JYX589828 JPB589828 JFF589828 IVJ589828 ILN589828 IBR589828 HRV589828 HHZ589828 GYD589828 GOH589828 GEL589828 FUP589828 FKT589828 FAX589828 ERB589828 EHF589828 DXJ589828 DNN589828 DDR589828 CTV589828 CJZ589828 CAD589828 BQH589828 BGL589828 AWP589828 AMT589828 ACX589828 TB589828 JF589828 J589828 WVR524292 WLV524292 WBZ524292 VSD524292 VIH524292 UYL524292 UOP524292 UET524292 TUX524292 TLB524292 TBF524292 SRJ524292 SHN524292 RXR524292 RNV524292 RDZ524292 QUD524292 QKH524292 QAL524292 PQP524292 PGT524292 OWX524292 ONB524292 ODF524292 NTJ524292 NJN524292 MZR524292 MPV524292 MFZ524292 LWD524292 LMH524292 LCL524292 KSP524292 KIT524292 JYX524292 JPB524292 JFF524292 IVJ524292 ILN524292 IBR524292 HRV524292 HHZ524292 GYD524292 GOH524292 GEL524292 FUP524292 FKT524292 FAX524292 ERB524292 EHF524292 DXJ524292 DNN524292 DDR524292 CTV524292 CJZ524292 CAD524292 BQH524292 BGL524292 AWP524292 AMT524292 ACX524292 TB524292 JF524292 J524292 WVR458756 WLV458756 WBZ458756 VSD458756 VIH458756 UYL458756 UOP458756 UET458756 TUX458756 TLB458756 TBF458756 SRJ458756 SHN458756 RXR458756 RNV458756 RDZ458756 QUD458756 QKH458756 QAL458756 PQP458756 PGT458756 OWX458756 ONB458756 ODF458756 NTJ458756 NJN458756 MZR458756 MPV458756 MFZ458756 LWD458756 LMH458756 LCL458756 KSP458756 KIT458756 JYX458756 JPB458756 JFF458756 IVJ458756 ILN458756 IBR458756 HRV458756 HHZ458756 GYD458756 GOH458756 GEL458756 FUP458756 FKT458756 FAX458756 ERB458756 EHF458756 DXJ458756 DNN458756 DDR458756 CTV458756 CJZ458756 CAD458756 BQH458756 BGL458756 AWP458756 AMT458756 ACX458756 TB458756 JF458756 J458756 WVR393220 WLV393220 WBZ393220 VSD393220 VIH393220 UYL393220 UOP393220 UET393220 TUX393220 TLB393220 TBF393220 SRJ393220 SHN393220 RXR393220 RNV393220 RDZ393220 QUD393220 QKH393220 QAL393220 PQP393220 PGT393220 OWX393220 ONB393220 ODF393220 NTJ393220 NJN393220 MZR393220 MPV393220 MFZ393220 LWD393220 LMH393220 LCL393220 KSP393220 KIT393220 JYX393220 JPB393220 JFF393220 IVJ393220 ILN393220 IBR393220 HRV393220 HHZ393220 GYD393220 GOH393220 GEL393220 FUP393220 FKT393220 FAX393220 ERB393220 EHF393220 DXJ393220 DNN393220 DDR393220 CTV393220 CJZ393220 CAD393220 BQH393220 BGL393220 AWP393220 AMT393220 ACX393220 TB393220 JF393220 J393220 WVR327684 WLV327684 WBZ327684 VSD327684 VIH327684 UYL327684 UOP327684 UET327684 TUX327684 TLB327684 TBF327684 SRJ327684 SHN327684 RXR327684 RNV327684 RDZ327684 QUD327684 QKH327684 QAL327684 PQP327684 PGT327684 OWX327684 ONB327684 ODF327684 NTJ327684 NJN327684 MZR327684 MPV327684 MFZ327684 LWD327684 LMH327684 LCL327684 KSP327684 KIT327684 JYX327684 JPB327684 JFF327684 IVJ327684 ILN327684 IBR327684 HRV327684 HHZ327684 GYD327684 GOH327684 GEL327684 FUP327684 FKT327684 FAX327684 ERB327684 EHF327684 DXJ327684 DNN327684 DDR327684 CTV327684 CJZ327684 CAD327684 BQH327684 BGL327684 AWP327684 AMT327684 ACX327684 TB327684 JF327684 J327684 WVR262148 WLV262148 WBZ262148 VSD262148 VIH262148 UYL262148 UOP262148 UET262148 TUX262148 TLB262148 TBF262148 SRJ262148 SHN262148 RXR262148 RNV262148 RDZ262148 QUD262148 QKH262148 QAL262148 PQP262148 PGT262148 OWX262148 ONB262148 ODF262148 NTJ262148 NJN262148 MZR262148 MPV262148 MFZ262148 LWD262148 LMH262148 LCL262148 KSP262148 KIT262148 JYX262148 JPB262148 JFF262148 IVJ262148 ILN262148 IBR262148 HRV262148 HHZ262148 GYD262148 GOH262148 GEL262148 FUP262148 FKT262148 FAX262148 ERB262148 EHF262148 DXJ262148 DNN262148 DDR262148 CTV262148 CJZ262148 CAD262148 BQH262148 BGL262148 AWP262148 AMT262148 ACX262148 TB262148 JF262148 J262148 WVR196612 WLV196612 WBZ196612 VSD196612 VIH196612 UYL196612 UOP196612 UET196612 TUX196612 TLB196612 TBF196612 SRJ196612 SHN196612 RXR196612 RNV196612 RDZ196612 QUD196612 QKH196612 QAL196612 PQP196612 PGT196612 OWX196612 ONB196612 ODF196612 NTJ196612 NJN196612 MZR196612 MPV196612 MFZ196612 LWD196612 LMH196612 LCL196612 KSP196612 KIT196612 JYX196612 JPB196612 JFF196612 IVJ196612 ILN196612 IBR196612 HRV196612 HHZ196612 GYD196612 GOH196612 GEL196612 FUP196612 FKT196612 FAX196612 ERB196612 EHF196612 DXJ196612 DNN196612 DDR196612 CTV196612 CJZ196612 CAD196612 BQH196612 BGL196612 AWP196612 AMT196612 ACX196612 TB196612 JF196612 J196612 WVR131076 WLV131076 WBZ131076 VSD131076 VIH131076 UYL131076 UOP131076 UET131076 TUX131076 TLB131076 TBF131076 SRJ131076 SHN131076 RXR131076 RNV131076 RDZ131076 QUD131076 QKH131076 QAL131076 PQP131076 PGT131076 OWX131076 ONB131076 ODF131076 NTJ131076 NJN131076 MZR131076 MPV131076 MFZ131076 LWD131076 LMH131076 LCL131076 KSP131076 KIT131076 JYX131076 JPB131076 JFF131076 IVJ131076 ILN131076 IBR131076 HRV131076 HHZ131076 GYD131076 GOH131076 GEL131076 FUP131076 FKT131076 FAX131076 ERB131076 EHF131076 DXJ131076 DNN131076 DDR131076 CTV131076 CJZ131076 CAD131076 BQH131076 BGL131076 AWP131076 AMT131076 ACX131076 TB131076 JF131076 J131076 WVR65540 WLV65540 WBZ65540 VSD65540 VIH65540 UYL65540 UOP65540 UET65540 TUX65540 TLB65540 TBF65540 SRJ65540 SHN65540 RXR65540 RNV65540 RDZ65540 QUD65540 QKH65540 QAL65540 PQP65540 PGT65540 OWX65540 ONB65540 ODF65540 NTJ65540 NJN65540 MZR65540 MPV65540 MFZ65540 LWD65540 LMH65540 LCL65540 KSP65540 KIT65540 JYX65540 JPB65540 JFF65540 IVJ65540 ILN65540 IBR65540 HRV65540 HHZ65540 GYD65540 GOH65540 GEL65540 FUP65540 FKT65540 FAX65540 ERB65540 EHF65540 DXJ65540 DNN65540 DDR65540 CTV65540 CJZ65540 CAD65540 BQH65540 BGL65540 AWP65540 AMT65540 ACX65540 TB65540 JF65540 J65540 WVR4 WLV4 WBZ4 VSD4 VIH4 UYL4 UOP4 UET4 TUX4 TLB4 TBF4 SRJ4 SHN4 RXR4 RNV4 RDZ4 QUD4 QKH4 QAL4 PQP4 PGT4 OWX4 ONB4 ODF4 NTJ4 NJN4 MZR4 MPV4 MFZ4 LWD4 LMH4 LCL4 KSP4 KIT4 JYX4 JPB4 JFF4 IVJ4 ILN4 IBR4 HRV4 HHZ4 GYD4 GOH4 GEL4 FUP4 FKT4 FAX4 ERB4 EHF4 DXJ4 DNN4 DDR4 CTV4 CJZ4 CAD4 BQH4 BGL4 AWP4 AMT4 ACX4 TB4 JF4 J4 WVN983044 WLR983044 WBV983044 VRZ983044 VID983044 UYH983044 UOL983044 UEP983044 TUT983044 TKX983044 TBB983044 SRF983044 SHJ983044 RXN983044 RNR983044 RDV983044 QTZ983044 QKD983044 QAH983044 PQL983044 PGP983044 OWT983044 OMX983044 ODB983044 NTF983044 NJJ983044 MZN983044 MPR983044 MFV983044 LVZ983044 LMD983044 LCH983044 KSL983044 KIP983044 JYT983044 JOX983044 JFB983044 IVF983044 ILJ983044 IBN983044 HRR983044 HHV983044 GXZ983044 GOD983044 GEH983044 FUL983044 FKP983044 FAT983044 EQX983044 EHB983044 DXF983044 DNJ983044 DDN983044 CTR983044 CJV983044 BZZ983044 BQD983044 BGH983044 AWL983044 AMP983044 ACT983044 SX983044 JB983044 F983044 WVN917508 WLR917508 WBV917508 VRZ917508 VID917508 UYH917508 UOL917508 UEP917508 TUT917508 TKX917508 TBB917508 SRF917508 SHJ917508 RXN917508 RNR917508 RDV917508 QTZ917508 QKD917508 QAH917508 PQL917508 PGP917508 OWT917508 OMX917508 ODB917508 NTF917508 NJJ917508 MZN917508 MPR917508 MFV917508 LVZ917508 LMD917508 LCH917508 KSL917508 KIP917508 JYT917508 JOX917508 JFB917508 IVF917508 ILJ917508 IBN917508 HRR917508 HHV917508 GXZ917508 GOD917508 GEH917508 FUL917508 FKP917508 FAT917508 EQX917508 EHB917508 DXF917508 DNJ917508 DDN917508 CTR917508 CJV917508 BZZ917508 BQD917508 BGH917508 AWL917508 AMP917508 ACT917508 SX917508 JB917508 F917508 WVN851972 WLR851972 WBV851972 VRZ851972 VID851972 UYH851972 UOL851972 UEP851972 TUT851972 TKX851972 TBB851972 SRF851972 SHJ851972 RXN851972 RNR851972 RDV851972 QTZ851972 QKD851972 QAH851972 PQL851972 PGP851972 OWT851972 OMX851972 ODB851972 NTF851972 NJJ851972 MZN851972 MPR851972 MFV851972 LVZ851972 LMD851972 LCH851972 KSL851972 KIP851972 JYT851972 JOX851972 JFB851972 IVF851972 ILJ851972 IBN851972 HRR851972 HHV851972 GXZ851972 GOD851972 GEH851972 FUL851972 FKP851972 FAT851972 EQX851972 EHB851972 DXF851972 DNJ851972 DDN851972 CTR851972 CJV851972 BZZ851972 BQD851972 BGH851972 AWL851972 AMP851972 ACT851972 SX851972 JB851972 F851972 WVN786436 WLR786436 WBV786436 VRZ786436 VID786436 UYH786436 UOL786436 UEP786436 TUT786436 TKX786436 TBB786436 SRF786436 SHJ786436 RXN786436 RNR786436 RDV786436 QTZ786436 QKD786436 QAH786436 PQL786436 PGP786436 OWT786436 OMX786436 ODB786436 NTF786436 NJJ786436 MZN786436 MPR786436 MFV786436 LVZ786436 LMD786436 LCH786436 KSL786436 KIP786436 JYT786436 JOX786436 JFB786436 IVF786436 ILJ786436 IBN786436 HRR786436 HHV786436 GXZ786436 GOD786436 GEH786436 FUL786436 FKP786436 FAT786436 EQX786436 EHB786436 DXF786436 DNJ786436 DDN786436 CTR786436 CJV786436 BZZ786436 BQD786436 BGH786436 AWL786436 AMP786436 ACT786436 SX786436 JB786436 F786436 WVN720900 WLR720900 WBV720900 VRZ720900 VID720900 UYH720900 UOL720900 UEP720900 TUT720900 TKX720900 TBB720900 SRF720900 SHJ720900 RXN720900 RNR720900 RDV720900 QTZ720900 QKD720900 QAH720900 PQL720900 PGP720900 OWT720900 OMX720900 ODB720900 NTF720900 NJJ720900 MZN720900 MPR720900 MFV720900 LVZ720900 LMD720900 LCH720900 KSL720900 KIP720900 JYT720900 JOX720900 JFB720900 IVF720900 ILJ720900 IBN720900 HRR720900 HHV720900 GXZ720900 GOD720900 GEH720900 FUL720900 FKP720900 FAT720900 EQX720900 EHB720900 DXF720900 DNJ720900 DDN720900 CTR720900 CJV720900 BZZ720900 BQD720900 BGH720900 AWL720900 AMP720900 ACT720900 SX720900 JB720900 F720900 WVN655364 WLR655364 WBV655364 VRZ655364 VID655364 UYH655364 UOL655364 UEP655364 TUT655364 TKX655364 TBB655364 SRF655364 SHJ655364 RXN655364 RNR655364 RDV655364 QTZ655364 QKD655364 QAH655364 PQL655364 PGP655364 OWT655364 OMX655364 ODB655364 NTF655364 NJJ655364 MZN655364 MPR655364 MFV655364 LVZ655364 LMD655364 LCH655364 KSL655364 KIP655364 JYT655364 JOX655364 JFB655364 IVF655364 ILJ655364 IBN655364 HRR655364 HHV655364 GXZ655364 GOD655364 GEH655364 FUL655364 FKP655364 FAT655364 EQX655364 EHB655364 DXF655364 DNJ655364 DDN655364 CTR655364 CJV655364 BZZ655364 BQD655364 BGH655364 AWL655364 AMP655364 ACT655364 SX655364 JB655364 F655364 WVN589828 WLR589828 WBV589828 VRZ589828 VID589828 UYH589828 UOL589828 UEP589828 TUT589828 TKX589828 TBB589828 SRF589828 SHJ589828 RXN589828 RNR589828 RDV589828 QTZ589828 QKD589828 QAH589828 PQL589828 PGP589828 OWT589828 OMX589828 ODB589828 NTF589828 NJJ589828 MZN589828 MPR589828 MFV589828 LVZ589828 LMD589828 LCH589828 KSL589828 KIP589828 JYT589828 JOX589828 JFB589828 IVF589828 ILJ589828 IBN589828 HRR589828 HHV589828 GXZ589828 GOD589828 GEH589828 FUL589828 FKP589828 FAT589828 EQX589828 EHB589828 DXF589828 DNJ589828 DDN589828 CTR589828 CJV589828 BZZ589828 BQD589828 BGH589828 AWL589828 AMP589828 ACT589828 SX589828 JB589828 F589828 WVN524292 WLR524292 WBV524292 VRZ524292 VID524292 UYH524292 UOL524292 UEP524292 TUT524292 TKX524292 TBB524292 SRF524292 SHJ524292 RXN524292 RNR524292 RDV524292 QTZ524292 QKD524292 QAH524292 PQL524292 PGP524292 OWT524292 OMX524292 ODB524292 NTF524292 NJJ524292 MZN524292 MPR524292 MFV524292 LVZ524292 LMD524292 LCH524292 KSL524292 KIP524292 JYT524292 JOX524292 JFB524292 IVF524292 ILJ524292 IBN524292 HRR524292 HHV524292 GXZ524292 GOD524292 GEH524292 FUL524292 FKP524292 FAT524292 EQX524292 EHB524292 DXF524292 DNJ524292 DDN524292 CTR524292 CJV524292 BZZ524292 BQD524292 BGH524292 AWL524292 AMP524292 ACT524292 SX524292 JB524292 F524292 WVN458756 WLR458756 WBV458756 VRZ458756 VID458756 UYH458756 UOL458756 UEP458756 TUT458756 TKX458756 TBB458756 SRF458756 SHJ458756 RXN458756 RNR458756 RDV458756 QTZ458756 QKD458756 QAH458756 PQL458756 PGP458756 OWT458756 OMX458756 ODB458756 NTF458756 NJJ458756 MZN458756 MPR458756 MFV458756 LVZ458756 LMD458756 LCH458756 KSL458756 KIP458756 JYT458756 JOX458756 JFB458756 IVF458756 ILJ458756 IBN458756 HRR458756 HHV458756 GXZ458756 GOD458756 GEH458756 FUL458756 FKP458756 FAT458756 EQX458756 EHB458756 DXF458756 DNJ458756 DDN458756 CTR458756 CJV458756 BZZ458756 BQD458756 BGH458756 AWL458756 AMP458756 ACT458756 SX458756 JB458756 F458756 WVN393220 WLR393220 WBV393220 VRZ393220 VID393220 UYH393220 UOL393220 UEP393220 TUT393220 TKX393220 TBB393220 SRF393220 SHJ393220 RXN393220 RNR393220 RDV393220 QTZ393220 QKD393220 QAH393220 PQL393220 PGP393220 OWT393220 OMX393220 ODB393220 NTF393220 NJJ393220 MZN393220 MPR393220 MFV393220 LVZ393220 LMD393220 LCH393220 KSL393220 KIP393220 JYT393220 JOX393220 JFB393220 IVF393220 ILJ393220 IBN393220 HRR393220 HHV393220 GXZ393220 GOD393220 GEH393220 FUL393220 FKP393220 FAT393220 EQX393220 EHB393220 DXF393220 DNJ393220 DDN393220 CTR393220 CJV393220 BZZ393220 BQD393220 BGH393220 AWL393220 AMP393220 ACT393220 SX393220 JB393220 F393220 WVN327684 WLR327684 WBV327684 VRZ327684 VID327684 UYH327684 UOL327684 UEP327684 TUT327684 TKX327684 TBB327684 SRF327684 SHJ327684 RXN327684 RNR327684 RDV327684 QTZ327684 QKD327684 QAH327684 PQL327684 PGP327684 OWT327684 OMX327684 ODB327684 NTF327684 NJJ327684 MZN327684 MPR327684 MFV327684 LVZ327684 LMD327684 LCH327684 KSL327684 KIP327684 JYT327684 JOX327684 JFB327684 IVF327684 ILJ327684 IBN327684 HRR327684 HHV327684 GXZ327684 GOD327684 GEH327684 FUL327684 FKP327684 FAT327684 EQX327684 EHB327684 DXF327684 DNJ327684 DDN327684 CTR327684 CJV327684 BZZ327684 BQD327684 BGH327684 AWL327684 AMP327684 ACT327684 SX327684 JB327684 F327684 WVN262148 WLR262148 WBV262148 VRZ262148 VID262148 UYH262148 UOL262148 UEP262148 TUT262148 TKX262148 TBB262148 SRF262148 SHJ262148 RXN262148 RNR262148 RDV262148 QTZ262148 QKD262148 QAH262148 PQL262148 PGP262148 OWT262148 OMX262148 ODB262148 NTF262148 NJJ262148 MZN262148 MPR262148 MFV262148 LVZ262148 LMD262148 LCH262148 KSL262148 KIP262148 JYT262148 JOX262148 JFB262148 IVF262148 ILJ262148 IBN262148 HRR262148 HHV262148 GXZ262148 GOD262148 GEH262148 FUL262148 FKP262148 FAT262148 EQX262148 EHB262148 DXF262148 DNJ262148 DDN262148 CTR262148 CJV262148 BZZ262148 BQD262148 BGH262148 AWL262148 AMP262148 ACT262148 SX262148 JB262148 F262148 WVN196612 WLR196612 WBV196612 VRZ196612 VID196612 UYH196612 UOL196612 UEP196612 TUT196612 TKX196612 TBB196612 SRF196612 SHJ196612 RXN196612 RNR196612 RDV196612 QTZ196612 QKD196612 QAH196612 PQL196612 PGP196612 OWT196612 OMX196612 ODB196612 NTF196612 NJJ196612 MZN196612 MPR196612 MFV196612 LVZ196612 LMD196612 LCH196612 KSL196612 KIP196612 JYT196612 JOX196612 JFB196612 IVF196612 ILJ196612 IBN196612 HRR196612 HHV196612 GXZ196612 GOD196612 GEH196612 FUL196612 FKP196612 FAT196612 EQX196612 EHB196612 DXF196612 DNJ196612 DDN196612 CTR196612 CJV196612 BZZ196612 BQD196612 BGH196612 AWL196612 AMP196612 ACT196612 SX196612 JB196612 F196612 WVN131076 WLR131076 WBV131076 VRZ131076 VID131076 UYH131076 UOL131076 UEP131076 TUT131076 TKX131076 TBB131076 SRF131076 SHJ131076 RXN131076 RNR131076 RDV131076 QTZ131076 QKD131076 QAH131076 PQL131076 PGP131076 OWT131076 OMX131076 ODB131076 NTF131076 NJJ131076 MZN131076 MPR131076 MFV131076 LVZ131076 LMD131076 LCH131076 KSL131076 KIP131076 JYT131076 JOX131076 JFB131076 IVF131076 ILJ131076 IBN131076 HRR131076 HHV131076 GXZ131076 GOD131076 GEH131076 FUL131076 FKP131076 FAT131076 EQX131076 EHB131076 DXF131076 DNJ131076 DDN131076 CTR131076 CJV131076 BZZ131076 BQD131076 BGH131076 AWL131076 AMP131076 ACT131076 SX131076 JB131076 F131076 WVN65540 WLR65540 WBV65540 VRZ65540 VID65540 UYH65540 UOL65540 UEP65540 TUT65540 TKX65540 TBB65540 SRF65540 SHJ65540 RXN65540 RNR65540 RDV65540 QTZ65540 QKD65540 QAH65540 PQL65540 PGP65540 OWT65540 OMX65540 ODB65540 NTF65540 NJJ65540 MZN65540 MPR65540 MFV65540 LVZ65540 LMD65540 LCH65540 KSL65540 KIP65540 JYT65540 JOX65540 JFB65540 IVF65540 ILJ65540 IBN65540 HRR65540 HHV65540 GXZ65540 GOD65540 GEH65540 FUL65540 FKP65540 FAT65540 EQX65540 EHB65540 DXF65540 DNJ65540 DDN65540 CTR65540 CJV65540 BZZ65540 BQD65540 BGH65540 AWL65540 AMP65540 ACT65540 SX65540 JB65540 F65540 WVN4 WLR4 WBV4 VRZ4 VID4 UYH4 UOL4 UEP4 TUT4 TKX4 TBB4 SRF4 SHJ4 RXN4 RNR4 RDV4 QTZ4 QKD4 QAH4 PQL4 PGP4 OWT4 OMX4 ODB4 NTF4 NJJ4 MZN4 MPR4 MFV4 LVZ4 LMD4 LCH4 KSL4 KIP4 JYT4 JOX4 JFB4 IVF4 ILJ4 IBN4 HRR4 HHV4 GXZ4 GOD4 GEH4 FUL4 FKP4 FAT4 EQX4 EHB4 DXF4 DNJ4 DDN4 CTR4 CJV4 BZZ4 BQD4 BGH4 AWL4 AMP4 ACT4 SX4 JB4 F4 WVN983069:WVO983069 WLR983069:WLS983069 WBV983069:WBW983069 VRZ983069:VSA983069 VID983069:VIE983069 UYH983069:UYI983069 UOL983069:UOM983069 UEP983069:UEQ983069 TUT983069:TUU983069 TKX983069:TKY983069 TBB983069:TBC983069 SRF983069:SRG983069 SHJ983069:SHK983069 RXN983069:RXO983069 RNR983069:RNS983069 RDV983069:RDW983069 QTZ983069:QUA983069 QKD983069:QKE983069 QAH983069:QAI983069 PQL983069:PQM983069 PGP983069:PGQ983069 OWT983069:OWU983069 OMX983069:OMY983069 ODB983069:ODC983069 NTF983069:NTG983069 NJJ983069:NJK983069 MZN983069:MZO983069 MPR983069:MPS983069 MFV983069:MFW983069 LVZ983069:LWA983069 LMD983069:LME983069 LCH983069:LCI983069 KSL983069:KSM983069 KIP983069:KIQ983069 JYT983069:JYU983069 JOX983069:JOY983069 JFB983069:JFC983069 IVF983069:IVG983069 ILJ983069:ILK983069 IBN983069:IBO983069 HRR983069:HRS983069 HHV983069:HHW983069 GXZ983069:GYA983069 GOD983069:GOE983069 GEH983069:GEI983069 FUL983069:FUM983069 FKP983069:FKQ983069 FAT983069:FAU983069 EQX983069:EQY983069 EHB983069:EHC983069 DXF983069:DXG983069 DNJ983069:DNK983069 DDN983069:DDO983069 CTR983069:CTS983069 CJV983069:CJW983069 BZZ983069:CAA983069 BQD983069:BQE983069 BGH983069:BGI983069 AWL983069:AWM983069 AMP983069:AMQ983069 ACT983069:ACU983069 SX983069:SY983069 JB983069:JC983069 F983069:G983069 WVN917533:WVO917533 WLR917533:WLS917533 WBV917533:WBW917533 VRZ917533:VSA917533 VID917533:VIE917533 UYH917533:UYI917533 UOL917533:UOM917533 UEP917533:UEQ917533 TUT917533:TUU917533 TKX917533:TKY917533 TBB917533:TBC917533 SRF917533:SRG917533 SHJ917533:SHK917533 RXN917533:RXO917533 RNR917533:RNS917533 RDV917533:RDW917533 QTZ917533:QUA917533 QKD917533:QKE917533 QAH917533:QAI917533 PQL917533:PQM917533 PGP917533:PGQ917533 OWT917533:OWU917533 OMX917533:OMY917533 ODB917533:ODC917533 NTF917533:NTG917533 NJJ917533:NJK917533 MZN917533:MZO917533 MPR917533:MPS917533 MFV917533:MFW917533 LVZ917533:LWA917533 LMD917533:LME917533 LCH917533:LCI917533 KSL917533:KSM917533 KIP917533:KIQ917533 JYT917533:JYU917533 JOX917533:JOY917533 JFB917533:JFC917533 IVF917533:IVG917533 ILJ917533:ILK917533 IBN917533:IBO917533 HRR917533:HRS917533 HHV917533:HHW917533 GXZ917533:GYA917533 GOD917533:GOE917533 GEH917533:GEI917533 FUL917533:FUM917533 FKP917533:FKQ917533 FAT917533:FAU917533 EQX917533:EQY917533 EHB917533:EHC917533 DXF917533:DXG917533 DNJ917533:DNK917533 DDN917533:DDO917533 CTR917533:CTS917533 CJV917533:CJW917533 BZZ917533:CAA917533 BQD917533:BQE917533 BGH917533:BGI917533 AWL917533:AWM917533 AMP917533:AMQ917533 ACT917533:ACU917533 SX917533:SY917533 JB917533:JC917533 F917533:G917533 WVN851997:WVO851997 WLR851997:WLS851997 WBV851997:WBW851997 VRZ851997:VSA851997 VID851997:VIE851997 UYH851997:UYI851997 UOL851997:UOM851997 UEP851997:UEQ851997 TUT851997:TUU851997 TKX851997:TKY851997 TBB851997:TBC851997 SRF851997:SRG851997 SHJ851997:SHK851997 RXN851997:RXO851997 RNR851997:RNS851997 RDV851997:RDW851997 QTZ851997:QUA851997 QKD851997:QKE851997 QAH851997:QAI851997 PQL851997:PQM851997 PGP851997:PGQ851997 OWT851997:OWU851997 OMX851997:OMY851997 ODB851997:ODC851997 NTF851997:NTG851997 NJJ851997:NJK851997 MZN851997:MZO851997 MPR851997:MPS851997 MFV851997:MFW851997 LVZ851997:LWA851997 LMD851997:LME851997 LCH851997:LCI851997 KSL851997:KSM851997 KIP851997:KIQ851997 JYT851997:JYU851997 JOX851997:JOY851997 JFB851997:JFC851997 IVF851997:IVG851997 ILJ851997:ILK851997 IBN851997:IBO851997 HRR851997:HRS851997 HHV851997:HHW851997 GXZ851997:GYA851997 GOD851997:GOE851997 GEH851997:GEI851997 FUL851997:FUM851997 FKP851997:FKQ851997 FAT851997:FAU851997 EQX851997:EQY851997 EHB851997:EHC851997 DXF851997:DXG851997 DNJ851997:DNK851997 DDN851997:DDO851997 CTR851997:CTS851997 CJV851997:CJW851997 BZZ851997:CAA851997 BQD851997:BQE851997 BGH851997:BGI851997 AWL851997:AWM851997 AMP851997:AMQ851997 ACT851997:ACU851997 SX851997:SY851997 JB851997:JC851997 F851997:G851997 WVN786461:WVO786461 WLR786461:WLS786461 WBV786461:WBW786461 VRZ786461:VSA786461 VID786461:VIE786461 UYH786461:UYI786461 UOL786461:UOM786461 UEP786461:UEQ786461 TUT786461:TUU786461 TKX786461:TKY786461 TBB786461:TBC786461 SRF786461:SRG786461 SHJ786461:SHK786461 RXN786461:RXO786461 RNR786461:RNS786461 RDV786461:RDW786461 QTZ786461:QUA786461 QKD786461:QKE786461 QAH786461:QAI786461 PQL786461:PQM786461 PGP786461:PGQ786461 OWT786461:OWU786461 OMX786461:OMY786461 ODB786461:ODC786461 NTF786461:NTG786461 NJJ786461:NJK786461 MZN786461:MZO786461 MPR786461:MPS786461 MFV786461:MFW786461 LVZ786461:LWA786461 LMD786461:LME786461 LCH786461:LCI786461 KSL786461:KSM786461 KIP786461:KIQ786461 JYT786461:JYU786461 JOX786461:JOY786461 JFB786461:JFC786461 IVF786461:IVG786461 ILJ786461:ILK786461 IBN786461:IBO786461 HRR786461:HRS786461 HHV786461:HHW786461 GXZ786461:GYA786461 GOD786461:GOE786461 GEH786461:GEI786461 FUL786461:FUM786461 FKP786461:FKQ786461 FAT786461:FAU786461 EQX786461:EQY786461 EHB786461:EHC786461 DXF786461:DXG786461 DNJ786461:DNK786461 DDN786461:DDO786461 CTR786461:CTS786461 CJV786461:CJW786461 BZZ786461:CAA786461 BQD786461:BQE786461 BGH786461:BGI786461 AWL786461:AWM786461 AMP786461:AMQ786461 ACT786461:ACU786461 SX786461:SY786461 JB786461:JC786461 F786461:G786461 WVN720925:WVO720925 WLR720925:WLS720925 WBV720925:WBW720925 VRZ720925:VSA720925 VID720925:VIE720925 UYH720925:UYI720925 UOL720925:UOM720925 UEP720925:UEQ720925 TUT720925:TUU720925 TKX720925:TKY720925 TBB720925:TBC720925 SRF720925:SRG720925 SHJ720925:SHK720925 RXN720925:RXO720925 RNR720925:RNS720925 RDV720925:RDW720925 QTZ720925:QUA720925 QKD720925:QKE720925 QAH720925:QAI720925 PQL720925:PQM720925 PGP720925:PGQ720925 OWT720925:OWU720925 OMX720925:OMY720925 ODB720925:ODC720925 NTF720925:NTG720925 NJJ720925:NJK720925 MZN720925:MZO720925 MPR720925:MPS720925 MFV720925:MFW720925 LVZ720925:LWA720925 LMD720925:LME720925 LCH720925:LCI720925 KSL720925:KSM720925 KIP720925:KIQ720925 JYT720925:JYU720925 JOX720925:JOY720925 JFB720925:JFC720925 IVF720925:IVG720925 ILJ720925:ILK720925 IBN720925:IBO720925 HRR720925:HRS720925 HHV720925:HHW720925 GXZ720925:GYA720925 GOD720925:GOE720925 GEH720925:GEI720925 FUL720925:FUM720925 FKP720925:FKQ720925 FAT720925:FAU720925 EQX720925:EQY720925 EHB720925:EHC720925 DXF720925:DXG720925 DNJ720925:DNK720925 DDN720925:DDO720925 CTR720925:CTS720925 CJV720925:CJW720925 BZZ720925:CAA720925 BQD720925:BQE720925 BGH720925:BGI720925 AWL720925:AWM720925 AMP720925:AMQ720925 ACT720925:ACU720925 SX720925:SY720925 JB720925:JC720925 F720925:G720925 WVN655389:WVO655389 WLR655389:WLS655389 WBV655389:WBW655389 VRZ655389:VSA655389 VID655389:VIE655389 UYH655389:UYI655389 UOL655389:UOM655389 UEP655389:UEQ655389 TUT655389:TUU655389 TKX655389:TKY655389 TBB655389:TBC655389 SRF655389:SRG655389 SHJ655389:SHK655389 RXN655389:RXO655389 RNR655389:RNS655389 RDV655389:RDW655389 QTZ655389:QUA655389 QKD655389:QKE655389 QAH655389:QAI655389 PQL655389:PQM655389 PGP655389:PGQ655389 OWT655389:OWU655389 OMX655389:OMY655389 ODB655389:ODC655389 NTF655389:NTG655389 NJJ655389:NJK655389 MZN655389:MZO655389 MPR655389:MPS655389 MFV655389:MFW655389 LVZ655389:LWA655389 LMD655389:LME655389 LCH655389:LCI655389 KSL655389:KSM655389 KIP655389:KIQ655389 JYT655389:JYU655389 JOX655389:JOY655389 JFB655389:JFC655389 IVF655389:IVG655389 ILJ655389:ILK655389 IBN655389:IBO655389 HRR655389:HRS655389 HHV655389:HHW655389 GXZ655389:GYA655389 GOD655389:GOE655389 GEH655389:GEI655389 FUL655389:FUM655389 FKP655389:FKQ655389 FAT655389:FAU655389 EQX655389:EQY655389 EHB655389:EHC655389 DXF655389:DXG655389 DNJ655389:DNK655389 DDN655389:DDO655389 CTR655389:CTS655389 CJV655389:CJW655389 BZZ655389:CAA655389 BQD655389:BQE655389 BGH655389:BGI655389 AWL655389:AWM655389 AMP655389:AMQ655389 ACT655389:ACU655389 SX655389:SY655389 JB655389:JC655389 F655389:G655389 WVN589853:WVO589853 WLR589853:WLS589853 WBV589853:WBW589853 VRZ589853:VSA589853 VID589853:VIE589853 UYH589853:UYI589853 UOL589853:UOM589853 UEP589853:UEQ589853 TUT589853:TUU589853 TKX589853:TKY589853 TBB589853:TBC589853 SRF589853:SRG589853 SHJ589853:SHK589853 RXN589853:RXO589853 RNR589853:RNS589853 RDV589853:RDW589853 QTZ589853:QUA589853 QKD589853:QKE589853 QAH589853:QAI589853 PQL589853:PQM589853 PGP589853:PGQ589853 OWT589853:OWU589853 OMX589853:OMY589853 ODB589853:ODC589853 NTF589853:NTG589853 NJJ589853:NJK589853 MZN589853:MZO589853 MPR589853:MPS589853 MFV589853:MFW589853 LVZ589853:LWA589853 LMD589853:LME589853 LCH589853:LCI589853 KSL589853:KSM589853 KIP589853:KIQ589853 JYT589853:JYU589853 JOX589853:JOY589853 JFB589853:JFC589853 IVF589853:IVG589853 ILJ589853:ILK589853 IBN589853:IBO589853 HRR589853:HRS589853 HHV589853:HHW589853 GXZ589853:GYA589853 GOD589853:GOE589853 GEH589853:GEI589853 FUL589853:FUM589853 FKP589853:FKQ589853 FAT589853:FAU589853 EQX589853:EQY589853 EHB589853:EHC589853 DXF589853:DXG589853 DNJ589853:DNK589853 DDN589853:DDO589853 CTR589853:CTS589853 CJV589853:CJW589853 BZZ589853:CAA589853 BQD589853:BQE589853 BGH589853:BGI589853 AWL589853:AWM589853 AMP589853:AMQ589853 ACT589853:ACU589853 SX589853:SY589853 JB589853:JC589853 F589853:G589853 WVN524317:WVO524317 WLR524317:WLS524317 WBV524317:WBW524317 VRZ524317:VSA524317 VID524317:VIE524317 UYH524317:UYI524317 UOL524317:UOM524317 UEP524317:UEQ524317 TUT524317:TUU524317 TKX524317:TKY524317 TBB524317:TBC524317 SRF524317:SRG524317 SHJ524317:SHK524317 RXN524317:RXO524317 RNR524317:RNS524317 RDV524317:RDW524317 QTZ524317:QUA524317 QKD524317:QKE524317 QAH524317:QAI524317 PQL524317:PQM524317 PGP524317:PGQ524317 OWT524317:OWU524317 OMX524317:OMY524317 ODB524317:ODC524317 NTF524317:NTG524317 NJJ524317:NJK524317 MZN524317:MZO524317 MPR524317:MPS524317 MFV524317:MFW524317 LVZ524317:LWA524317 LMD524317:LME524317 LCH524317:LCI524317 KSL524317:KSM524317 KIP524317:KIQ524317 JYT524317:JYU524317 JOX524317:JOY524317 JFB524317:JFC524317 IVF524317:IVG524317 ILJ524317:ILK524317 IBN524317:IBO524317 HRR524317:HRS524317 HHV524317:HHW524317 GXZ524317:GYA524317 GOD524317:GOE524317 GEH524317:GEI524317 FUL524317:FUM524317 FKP524317:FKQ524317 FAT524317:FAU524317 EQX524317:EQY524317 EHB524317:EHC524317 DXF524317:DXG524317 DNJ524317:DNK524317 DDN524317:DDO524317 CTR524317:CTS524317 CJV524317:CJW524317 BZZ524317:CAA524317 BQD524317:BQE524317 BGH524317:BGI524317 AWL524317:AWM524317 AMP524317:AMQ524317 ACT524317:ACU524317 SX524317:SY524317 JB524317:JC524317 F524317:G524317 WVN458781:WVO458781 WLR458781:WLS458781 WBV458781:WBW458781 VRZ458781:VSA458781 VID458781:VIE458781 UYH458781:UYI458781 UOL458781:UOM458781 UEP458781:UEQ458781 TUT458781:TUU458781 TKX458781:TKY458781 TBB458781:TBC458781 SRF458781:SRG458781 SHJ458781:SHK458781 RXN458781:RXO458781 RNR458781:RNS458781 RDV458781:RDW458781 QTZ458781:QUA458781 QKD458781:QKE458781 QAH458781:QAI458781 PQL458781:PQM458781 PGP458781:PGQ458781 OWT458781:OWU458781 OMX458781:OMY458781 ODB458781:ODC458781 NTF458781:NTG458781 NJJ458781:NJK458781 MZN458781:MZO458781 MPR458781:MPS458781 MFV458781:MFW458781 LVZ458781:LWA458781 LMD458781:LME458781 LCH458781:LCI458781 KSL458781:KSM458781 KIP458781:KIQ458781 JYT458781:JYU458781 JOX458781:JOY458781 JFB458781:JFC458781 IVF458781:IVG458781 ILJ458781:ILK458781 IBN458781:IBO458781 HRR458781:HRS458781 HHV458781:HHW458781 GXZ458781:GYA458781 GOD458781:GOE458781 GEH458781:GEI458781 FUL458781:FUM458781 FKP458781:FKQ458781 FAT458781:FAU458781 EQX458781:EQY458781 EHB458781:EHC458781 DXF458781:DXG458781 DNJ458781:DNK458781 DDN458781:DDO458781 CTR458781:CTS458781 CJV458781:CJW458781 BZZ458781:CAA458781 BQD458781:BQE458781 BGH458781:BGI458781 AWL458781:AWM458781 AMP458781:AMQ458781 ACT458781:ACU458781 SX458781:SY458781 JB458781:JC458781 F458781:G458781 WVN393245:WVO393245 WLR393245:WLS393245 WBV393245:WBW393245 VRZ393245:VSA393245 VID393245:VIE393245 UYH393245:UYI393245 UOL393245:UOM393245 UEP393245:UEQ393245 TUT393245:TUU393245 TKX393245:TKY393245 TBB393245:TBC393245 SRF393245:SRG393245 SHJ393245:SHK393245 RXN393245:RXO393245 RNR393245:RNS393245 RDV393245:RDW393245 QTZ393245:QUA393245 QKD393245:QKE393245 QAH393245:QAI393245 PQL393245:PQM393245 PGP393245:PGQ393245 OWT393245:OWU393245 OMX393245:OMY393245 ODB393245:ODC393245 NTF393245:NTG393245 NJJ393245:NJK393245 MZN393245:MZO393245 MPR393245:MPS393245 MFV393245:MFW393245 LVZ393245:LWA393245 LMD393245:LME393245 LCH393245:LCI393245 KSL393245:KSM393245 KIP393245:KIQ393245 JYT393245:JYU393245 JOX393245:JOY393245 JFB393245:JFC393245 IVF393245:IVG393245 ILJ393245:ILK393245 IBN393245:IBO393245 HRR393245:HRS393245 HHV393245:HHW393245 GXZ393245:GYA393245 GOD393245:GOE393245 GEH393245:GEI393245 FUL393245:FUM393245 FKP393245:FKQ393245 FAT393245:FAU393245 EQX393245:EQY393245 EHB393245:EHC393245 DXF393245:DXG393245 DNJ393245:DNK393245 DDN393245:DDO393245 CTR393245:CTS393245 CJV393245:CJW393245 BZZ393245:CAA393245 BQD393245:BQE393245 BGH393245:BGI393245 AWL393245:AWM393245 AMP393245:AMQ393245 ACT393245:ACU393245 SX393245:SY393245 JB393245:JC393245 F393245:G393245 WVN327709:WVO327709 WLR327709:WLS327709 WBV327709:WBW327709 VRZ327709:VSA327709 VID327709:VIE327709 UYH327709:UYI327709 UOL327709:UOM327709 UEP327709:UEQ327709 TUT327709:TUU327709 TKX327709:TKY327709 TBB327709:TBC327709 SRF327709:SRG327709 SHJ327709:SHK327709 RXN327709:RXO327709 RNR327709:RNS327709 RDV327709:RDW327709 QTZ327709:QUA327709 QKD327709:QKE327709 QAH327709:QAI327709 PQL327709:PQM327709 PGP327709:PGQ327709 OWT327709:OWU327709 OMX327709:OMY327709 ODB327709:ODC327709 NTF327709:NTG327709 NJJ327709:NJK327709 MZN327709:MZO327709 MPR327709:MPS327709 MFV327709:MFW327709 LVZ327709:LWA327709 LMD327709:LME327709 LCH327709:LCI327709 KSL327709:KSM327709 KIP327709:KIQ327709 JYT327709:JYU327709 JOX327709:JOY327709 JFB327709:JFC327709 IVF327709:IVG327709 ILJ327709:ILK327709 IBN327709:IBO327709 HRR327709:HRS327709 HHV327709:HHW327709 GXZ327709:GYA327709 GOD327709:GOE327709 GEH327709:GEI327709 FUL327709:FUM327709 FKP327709:FKQ327709 FAT327709:FAU327709 EQX327709:EQY327709 EHB327709:EHC327709 DXF327709:DXG327709 DNJ327709:DNK327709 DDN327709:DDO327709 CTR327709:CTS327709 CJV327709:CJW327709 BZZ327709:CAA327709 BQD327709:BQE327709 BGH327709:BGI327709 AWL327709:AWM327709 AMP327709:AMQ327709 ACT327709:ACU327709 SX327709:SY327709 JB327709:JC327709 F327709:G327709 WVN262173:WVO262173 WLR262173:WLS262173 WBV262173:WBW262173 VRZ262173:VSA262173 VID262173:VIE262173 UYH262173:UYI262173 UOL262173:UOM262173 UEP262173:UEQ262173 TUT262173:TUU262173 TKX262173:TKY262173 TBB262173:TBC262173 SRF262173:SRG262173 SHJ262173:SHK262173 RXN262173:RXO262173 RNR262173:RNS262173 RDV262173:RDW262173 QTZ262173:QUA262173 QKD262173:QKE262173 QAH262173:QAI262173 PQL262173:PQM262173 PGP262173:PGQ262173 OWT262173:OWU262173 OMX262173:OMY262173 ODB262173:ODC262173 NTF262173:NTG262173 NJJ262173:NJK262173 MZN262173:MZO262173 MPR262173:MPS262173 MFV262173:MFW262173 LVZ262173:LWA262173 LMD262173:LME262173 LCH262173:LCI262173 KSL262173:KSM262173 KIP262173:KIQ262173 JYT262173:JYU262173 JOX262173:JOY262173 JFB262173:JFC262173 IVF262173:IVG262173 ILJ262173:ILK262173 IBN262173:IBO262173 HRR262173:HRS262173 HHV262173:HHW262173 GXZ262173:GYA262173 GOD262173:GOE262173 GEH262173:GEI262173 FUL262173:FUM262173 FKP262173:FKQ262173 FAT262173:FAU262173 EQX262173:EQY262173 EHB262173:EHC262173 DXF262173:DXG262173 DNJ262173:DNK262173 DDN262173:DDO262173 CTR262173:CTS262173 CJV262173:CJW262173 BZZ262173:CAA262173 BQD262173:BQE262173 BGH262173:BGI262173 AWL262173:AWM262173 AMP262173:AMQ262173 ACT262173:ACU262173 SX262173:SY262173 JB262173:JC262173 F262173:G262173 WVN196637:WVO196637 WLR196637:WLS196637 WBV196637:WBW196637 VRZ196637:VSA196637 VID196637:VIE196637 UYH196637:UYI196637 UOL196637:UOM196637 UEP196637:UEQ196637 TUT196637:TUU196637 TKX196637:TKY196637 TBB196637:TBC196637 SRF196637:SRG196637 SHJ196637:SHK196637 RXN196637:RXO196637 RNR196637:RNS196637 RDV196637:RDW196637 QTZ196637:QUA196637 QKD196637:QKE196637 QAH196637:QAI196637 PQL196637:PQM196637 PGP196637:PGQ196637 OWT196637:OWU196637 OMX196637:OMY196637 ODB196637:ODC196637 NTF196637:NTG196637 NJJ196637:NJK196637 MZN196637:MZO196637 MPR196637:MPS196637 MFV196637:MFW196637 LVZ196637:LWA196637 LMD196637:LME196637 LCH196637:LCI196637 KSL196637:KSM196637 KIP196637:KIQ196637 JYT196637:JYU196637 JOX196637:JOY196637 JFB196637:JFC196637 IVF196637:IVG196637 ILJ196637:ILK196637 IBN196637:IBO196637 HRR196637:HRS196637 HHV196637:HHW196637 GXZ196637:GYA196637 GOD196637:GOE196637 GEH196637:GEI196637 FUL196637:FUM196637 FKP196637:FKQ196637 FAT196637:FAU196637 EQX196637:EQY196637 EHB196637:EHC196637 DXF196637:DXG196637 DNJ196637:DNK196637 DDN196637:DDO196637 CTR196637:CTS196637 CJV196637:CJW196637 BZZ196637:CAA196637 BQD196637:BQE196637 BGH196637:BGI196637 AWL196637:AWM196637 AMP196637:AMQ196637 ACT196637:ACU196637 SX196637:SY196637 JB196637:JC196637 F196637:G196637 WVN131101:WVO131101 WLR131101:WLS131101 WBV131101:WBW131101 VRZ131101:VSA131101 VID131101:VIE131101 UYH131101:UYI131101 UOL131101:UOM131101 UEP131101:UEQ131101 TUT131101:TUU131101 TKX131101:TKY131101 TBB131101:TBC131101 SRF131101:SRG131101 SHJ131101:SHK131101 RXN131101:RXO131101 RNR131101:RNS131101 RDV131101:RDW131101 QTZ131101:QUA131101 QKD131101:QKE131101 QAH131101:QAI131101 PQL131101:PQM131101 PGP131101:PGQ131101 OWT131101:OWU131101 OMX131101:OMY131101 ODB131101:ODC131101 NTF131101:NTG131101 NJJ131101:NJK131101 MZN131101:MZO131101 MPR131101:MPS131101 MFV131101:MFW131101 LVZ131101:LWA131101 LMD131101:LME131101 LCH131101:LCI131101 KSL131101:KSM131101 KIP131101:KIQ131101 JYT131101:JYU131101 JOX131101:JOY131101 JFB131101:JFC131101 IVF131101:IVG131101 ILJ131101:ILK131101 IBN131101:IBO131101 HRR131101:HRS131101 HHV131101:HHW131101 GXZ131101:GYA131101 GOD131101:GOE131101 GEH131101:GEI131101 FUL131101:FUM131101 FKP131101:FKQ131101 FAT131101:FAU131101 EQX131101:EQY131101 EHB131101:EHC131101 DXF131101:DXG131101 DNJ131101:DNK131101 DDN131101:DDO131101 CTR131101:CTS131101 CJV131101:CJW131101 BZZ131101:CAA131101 BQD131101:BQE131101 BGH131101:BGI131101 AWL131101:AWM131101 AMP131101:AMQ131101 ACT131101:ACU131101 SX131101:SY131101 JB131101:JC131101 F131101:G131101 WVN65565:WVO65565 WLR65565:WLS65565 WBV65565:WBW65565 VRZ65565:VSA65565 VID65565:VIE65565 UYH65565:UYI65565 UOL65565:UOM65565 UEP65565:UEQ65565 TUT65565:TUU65565 TKX65565:TKY65565 TBB65565:TBC65565 SRF65565:SRG65565 SHJ65565:SHK65565 RXN65565:RXO65565 RNR65565:RNS65565 RDV65565:RDW65565 QTZ65565:QUA65565 QKD65565:QKE65565 QAH65565:QAI65565 PQL65565:PQM65565 PGP65565:PGQ65565 OWT65565:OWU65565 OMX65565:OMY65565 ODB65565:ODC65565 NTF65565:NTG65565 NJJ65565:NJK65565 MZN65565:MZO65565 MPR65565:MPS65565 MFV65565:MFW65565 LVZ65565:LWA65565 LMD65565:LME65565 LCH65565:LCI65565 KSL65565:KSM65565 KIP65565:KIQ65565 JYT65565:JYU65565 JOX65565:JOY65565 JFB65565:JFC65565 IVF65565:IVG65565 ILJ65565:ILK65565 IBN65565:IBO65565 HRR65565:HRS65565 HHV65565:HHW65565 GXZ65565:GYA65565 GOD65565:GOE65565 GEH65565:GEI65565 FUL65565:FUM65565 FKP65565:FKQ65565 FAT65565:FAU65565 EQX65565:EQY65565 EHB65565:EHC65565 DXF65565:DXG65565 DNJ65565:DNK65565 DDN65565:DDO65565 CTR65565:CTS65565 CJV65565:CJW65565 BZZ65565:CAA65565 BQD65565:BQE65565 BGH65565:BGI65565 AWL65565:AWM65565 AMP65565:AMQ65565 ACT65565:ACU65565 SX65565:SY65565 JB65565:JC65565 F65565:G65565 WVN29:WVO29 WLR29:WLS29 WBV29:WBW29 VRZ29:VSA29 VID29:VIE29 UYH29:UYI29 UOL29:UOM29 UEP29:UEQ29 TUT29:TUU29 TKX29:TKY29 TBB29:TBC29 SRF29:SRG29 SHJ29:SHK29 RXN29:RXO29 RNR29:RNS29 RDV29:RDW29 QTZ29:QUA29 QKD29:QKE29 QAH29:QAI29 PQL29:PQM29 PGP29:PGQ29 OWT29:OWU29 OMX29:OMY29 ODB29:ODC29 NTF29:NTG29 NJJ29:NJK29 MZN29:MZO29 MPR29:MPS29 MFV29:MFW29 LVZ29:LWA29 LMD29:LME29 LCH29:LCI29 KSL29:KSM29 KIP29:KIQ29 JYT29:JYU29 JOX29:JOY29 JFB29:JFC29 IVF29:IVG29 ILJ29:ILK29 IBN29:IBO29 HRR29:HRS29 HHV29:HHW29 GXZ29:GYA29 GOD29:GOE29 GEH29:GEI29 FUL29:FUM29 FKP29:FKQ29 FAT29:FAU29 EQX29:EQY29 EHB29:EHC29 DXF29:DXG29 DNJ29:DNK29 DDN29:DDO29 CTR29:CTS29 CJV29:CJW29 BZZ29:CAA29 BQD29:BQE29 BGH29:BGI29 AWL29:AWM29 AMP29:AMQ29 ACT29:ACU29 SX29:SY29 JB29:JC29 JN29:JO29 WVR983069:WVS983069 WLV983069:WLW983069 WBZ983069:WCA983069 VSD983069:VSE983069 VIH983069:VII983069 UYL983069:UYM983069 UOP983069:UOQ983069 UET983069:UEU983069 TUX983069:TUY983069 TLB983069:TLC983069 TBF983069:TBG983069 SRJ983069:SRK983069 SHN983069:SHO983069 RXR983069:RXS983069 RNV983069:RNW983069 RDZ983069:REA983069 QUD983069:QUE983069 QKH983069:QKI983069 QAL983069:QAM983069 PQP983069:PQQ983069 PGT983069:PGU983069 OWX983069:OWY983069 ONB983069:ONC983069 ODF983069:ODG983069 NTJ983069:NTK983069 NJN983069:NJO983069 MZR983069:MZS983069 MPV983069:MPW983069 MFZ983069:MGA983069 LWD983069:LWE983069 LMH983069:LMI983069 LCL983069:LCM983069 KSP983069:KSQ983069 KIT983069:KIU983069 JYX983069:JYY983069 JPB983069:JPC983069 JFF983069:JFG983069 IVJ983069:IVK983069 ILN983069:ILO983069 IBR983069:IBS983069 HRV983069:HRW983069 HHZ983069:HIA983069 GYD983069:GYE983069 GOH983069:GOI983069 GEL983069:GEM983069 FUP983069:FUQ983069 FKT983069:FKU983069 FAX983069:FAY983069 ERB983069:ERC983069 EHF983069:EHG983069 DXJ983069:DXK983069 DNN983069:DNO983069 DDR983069:DDS983069 CTV983069:CTW983069 CJZ983069:CKA983069 CAD983069:CAE983069 BQH983069:BQI983069 BGL983069:BGM983069 AWP983069:AWQ983069 AMT983069:AMU983069 ACX983069:ACY983069 TB983069:TC983069 JF983069:JG983069 J983069:K983069 WVR917533:WVS917533 WLV917533:WLW917533 WBZ917533:WCA917533 VSD917533:VSE917533 VIH917533:VII917533 UYL917533:UYM917533 UOP917533:UOQ917533 UET917533:UEU917533 TUX917533:TUY917533 TLB917533:TLC917533 TBF917533:TBG917533 SRJ917533:SRK917533 SHN917533:SHO917533 RXR917533:RXS917533 RNV917533:RNW917533 RDZ917533:REA917533 QUD917533:QUE917533 QKH917533:QKI917533 QAL917533:QAM917533 PQP917533:PQQ917533 PGT917533:PGU917533 OWX917533:OWY917533 ONB917533:ONC917533 ODF917533:ODG917533 NTJ917533:NTK917533 NJN917533:NJO917533 MZR917533:MZS917533 MPV917533:MPW917533 MFZ917533:MGA917533 LWD917533:LWE917533 LMH917533:LMI917533 LCL917533:LCM917533 KSP917533:KSQ917533 KIT917533:KIU917533 JYX917533:JYY917533 JPB917533:JPC917533 JFF917533:JFG917533 IVJ917533:IVK917533 ILN917533:ILO917533 IBR917533:IBS917533 HRV917533:HRW917533 HHZ917533:HIA917533 GYD917533:GYE917533 GOH917533:GOI917533 GEL917533:GEM917533 FUP917533:FUQ917533 FKT917533:FKU917533 FAX917533:FAY917533 ERB917533:ERC917533 EHF917533:EHG917533 DXJ917533:DXK917533 DNN917533:DNO917533 DDR917533:DDS917533 CTV917533:CTW917533 CJZ917533:CKA917533 CAD917533:CAE917533 BQH917533:BQI917533 BGL917533:BGM917533 AWP917533:AWQ917533 AMT917533:AMU917533 ACX917533:ACY917533 TB917533:TC917533 JF917533:JG917533 J917533:K917533 WVR851997:WVS851997 WLV851997:WLW851997 WBZ851997:WCA851997 VSD851997:VSE851997 VIH851997:VII851997 UYL851997:UYM851997 UOP851997:UOQ851997 UET851997:UEU851997 TUX851997:TUY851997 TLB851997:TLC851997 TBF851997:TBG851997 SRJ851997:SRK851997 SHN851997:SHO851997 RXR851997:RXS851997 RNV851997:RNW851997 RDZ851997:REA851997 QUD851997:QUE851997 QKH851997:QKI851997 QAL851997:QAM851997 PQP851997:PQQ851997 PGT851997:PGU851997 OWX851997:OWY851997 ONB851997:ONC851997 ODF851997:ODG851997 NTJ851997:NTK851997 NJN851997:NJO851997 MZR851997:MZS851997 MPV851997:MPW851997 MFZ851997:MGA851997 LWD851997:LWE851997 LMH851997:LMI851997 LCL851997:LCM851997 KSP851997:KSQ851997 KIT851997:KIU851997 JYX851997:JYY851997 JPB851997:JPC851997 JFF851997:JFG851997 IVJ851997:IVK851997 ILN851997:ILO851997 IBR851997:IBS851997 HRV851997:HRW851997 HHZ851997:HIA851997 GYD851997:GYE851997 GOH851997:GOI851997 GEL851997:GEM851997 FUP851997:FUQ851997 FKT851997:FKU851997 FAX851997:FAY851997 ERB851997:ERC851997 EHF851997:EHG851997 DXJ851997:DXK851997 DNN851997:DNO851997 DDR851997:DDS851997 CTV851997:CTW851997 CJZ851997:CKA851997 CAD851997:CAE851997 BQH851997:BQI851997 BGL851997:BGM851997 AWP851997:AWQ851997 AMT851997:AMU851997 ACX851997:ACY851997 TB851997:TC851997 JF851997:JG851997 J851997:K851997 WVR786461:WVS786461 WLV786461:WLW786461 WBZ786461:WCA786461 VSD786461:VSE786461 VIH786461:VII786461 UYL786461:UYM786461 UOP786461:UOQ786461 UET786461:UEU786461 TUX786461:TUY786461 TLB786461:TLC786461 TBF786461:TBG786461 SRJ786461:SRK786461 SHN786461:SHO786461 RXR786461:RXS786461 RNV786461:RNW786461 RDZ786461:REA786461 QUD786461:QUE786461 QKH786461:QKI786461 QAL786461:QAM786461 PQP786461:PQQ786461 PGT786461:PGU786461 OWX786461:OWY786461 ONB786461:ONC786461 ODF786461:ODG786461 NTJ786461:NTK786461 NJN786461:NJO786461 MZR786461:MZS786461 MPV786461:MPW786461 MFZ786461:MGA786461 LWD786461:LWE786461 LMH786461:LMI786461 LCL786461:LCM786461 KSP786461:KSQ786461 KIT786461:KIU786461 JYX786461:JYY786461 JPB786461:JPC786461 JFF786461:JFG786461 IVJ786461:IVK786461 ILN786461:ILO786461 IBR786461:IBS786461 HRV786461:HRW786461 HHZ786461:HIA786461 GYD786461:GYE786461 GOH786461:GOI786461 GEL786461:GEM786461 FUP786461:FUQ786461 FKT786461:FKU786461 FAX786461:FAY786461 ERB786461:ERC786461 EHF786461:EHG786461 DXJ786461:DXK786461 DNN786461:DNO786461 DDR786461:DDS786461 CTV786461:CTW786461 CJZ786461:CKA786461 CAD786461:CAE786461 BQH786461:BQI786461 BGL786461:BGM786461 AWP786461:AWQ786461 AMT786461:AMU786461 ACX786461:ACY786461 TB786461:TC786461 JF786461:JG786461 J786461:K786461 WVR720925:WVS720925 WLV720925:WLW720925 WBZ720925:WCA720925 VSD720925:VSE720925 VIH720925:VII720925 UYL720925:UYM720925 UOP720925:UOQ720925 UET720925:UEU720925 TUX720925:TUY720925 TLB720925:TLC720925 TBF720925:TBG720925 SRJ720925:SRK720925 SHN720925:SHO720925 RXR720925:RXS720925 RNV720925:RNW720925 RDZ720925:REA720925 QUD720925:QUE720925 QKH720925:QKI720925 QAL720925:QAM720925 PQP720925:PQQ720925 PGT720925:PGU720925 OWX720925:OWY720925 ONB720925:ONC720925 ODF720925:ODG720925 NTJ720925:NTK720925 NJN720925:NJO720925 MZR720925:MZS720925 MPV720925:MPW720925 MFZ720925:MGA720925 LWD720925:LWE720925 LMH720925:LMI720925 LCL720925:LCM720925 KSP720925:KSQ720925 KIT720925:KIU720925 JYX720925:JYY720925 JPB720925:JPC720925 JFF720925:JFG720925 IVJ720925:IVK720925 ILN720925:ILO720925 IBR720925:IBS720925 HRV720925:HRW720925 HHZ720925:HIA720925 GYD720925:GYE720925 GOH720925:GOI720925 GEL720925:GEM720925 FUP720925:FUQ720925 FKT720925:FKU720925 FAX720925:FAY720925 ERB720925:ERC720925 EHF720925:EHG720925 DXJ720925:DXK720925 DNN720925:DNO720925 DDR720925:DDS720925 CTV720925:CTW720925 CJZ720925:CKA720925 CAD720925:CAE720925 BQH720925:BQI720925 BGL720925:BGM720925 AWP720925:AWQ720925 AMT720925:AMU720925 ACX720925:ACY720925 TB720925:TC720925 JF720925:JG720925 J720925:K720925 WVR655389:WVS655389 WLV655389:WLW655389 WBZ655389:WCA655389 VSD655389:VSE655389 VIH655389:VII655389 UYL655389:UYM655389 UOP655389:UOQ655389 UET655389:UEU655389 TUX655389:TUY655389 TLB655389:TLC655389 TBF655389:TBG655389 SRJ655389:SRK655389 SHN655389:SHO655389 RXR655389:RXS655389 RNV655389:RNW655389 RDZ655389:REA655389 QUD655389:QUE655389 QKH655389:QKI655389 QAL655389:QAM655389 PQP655389:PQQ655389 PGT655389:PGU655389 OWX655389:OWY655389 ONB655389:ONC655389 ODF655389:ODG655389 NTJ655389:NTK655389 NJN655389:NJO655389 MZR655389:MZS655389 MPV655389:MPW655389 MFZ655389:MGA655389 LWD655389:LWE655389 LMH655389:LMI655389 LCL655389:LCM655389 KSP655389:KSQ655389 KIT655389:KIU655389 JYX655389:JYY655389 JPB655389:JPC655389 JFF655389:JFG655389 IVJ655389:IVK655389 ILN655389:ILO655389 IBR655389:IBS655389 HRV655389:HRW655389 HHZ655389:HIA655389 GYD655389:GYE655389 GOH655389:GOI655389 GEL655389:GEM655389 FUP655389:FUQ655389 FKT655389:FKU655389 FAX655389:FAY655389 ERB655389:ERC655389 EHF655389:EHG655389 DXJ655389:DXK655389 DNN655389:DNO655389 DDR655389:DDS655389 CTV655389:CTW655389 CJZ655389:CKA655389 CAD655389:CAE655389 BQH655389:BQI655389 BGL655389:BGM655389 AWP655389:AWQ655389 AMT655389:AMU655389 ACX655389:ACY655389 TB655389:TC655389 JF655389:JG655389 J655389:K655389 WVR589853:WVS589853 WLV589853:WLW589853 WBZ589853:WCA589853 VSD589853:VSE589853 VIH589853:VII589853 UYL589853:UYM589853 UOP589853:UOQ589853 UET589853:UEU589853 TUX589853:TUY589853 TLB589853:TLC589853 TBF589853:TBG589853 SRJ589853:SRK589853 SHN589853:SHO589853 RXR589853:RXS589853 RNV589853:RNW589853 RDZ589853:REA589853 QUD589853:QUE589853 QKH589853:QKI589853 QAL589853:QAM589853 PQP589853:PQQ589853 PGT589853:PGU589853 OWX589853:OWY589853 ONB589853:ONC589853 ODF589853:ODG589853 NTJ589853:NTK589853 NJN589853:NJO589853 MZR589853:MZS589853 MPV589853:MPW589853 MFZ589853:MGA589853 LWD589853:LWE589853 LMH589853:LMI589853 LCL589853:LCM589853 KSP589853:KSQ589853 KIT589853:KIU589853 JYX589853:JYY589853 JPB589853:JPC589853 JFF589853:JFG589853 IVJ589853:IVK589853 ILN589853:ILO589853 IBR589853:IBS589853 HRV589853:HRW589853 HHZ589853:HIA589853 GYD589853:GYE589853 GOH589853:GOI589853 GEL589853:GEM589853 FUP589853:FUQ589853 FKT589853:FKU589853 FAX589853:FAY589853 ERB589853:ERC589853 EHF589853:EHG589853 DXJ589853:DXK589853 DNN589853:DNO589853 DDR589853:DDS589853 CTV589853:CTW589853 CJZ589853:CKA589853 CAD589853:CAE589853 BQH589853:BQI589853 BGL589853:BGM589853 AWP589853:AWQ589853 AMT589853:AMU589853 ACX589853:ACY589853 TB589853:TC589853 JF589853:JG589853 J589853:K589853 WVR524317:WVS524317 WLV524317:WLW524317 WBZ524317:WCA524317 VSD524317:VSE524317 VIH524317:VII524317 UYL524317:UYM524317 UOP524317:UOQ524317 UET524317:UEU524317 TUX524317:TUY524317 TLB524317:TLC524317 TBF524317:TBG524317 SRJ524317:SRK524317 SHN524317:SHO524317 RXR524317:RXS524317 RNV524317:RNW524317 RDZ524317:REA524317 QUD524317:QUE524317 QKH524317:QKI524317 QAL524317:QAM524317 PQP524317:PQQ524317 PGT524317:PGU524317 OWX524317:OWY524317 ONB524317:ONC524317 ODF524317:ODG524317 NTJ524317:NTK524317 NJN524317:NJO524317 MZR524317:MZS524317 MPV524317:MPW524317 MFZ524317:MGA524317 LWD524317:LWE524317 LMH524317:LMI524317 LCL524317:LCM524317 KSP524317:KSQ524317 KIT524317:KIU524317 JYX524317:JYY524317 JPB524317:JPC524317 JFF524317:JFG524317 IVJ524317:IVK524317 ILN524317:ILO524317 IBR524317:IBS524317 HRV524317:HRW524317 HHZ524317:HIA524317 GYD524317:GYE524317 GOH524317:GOI524317 GEL524317:GEM524317 FUP524317:FUQ524317 FKT524317:FKU524317 FAX524317:FAY524317 ERB524317:ERC524317 EHF524317:EHG524317 DXJ524317:DXK524317 DNN524317:DNO524317 DDR524317:DDS524317 CTV524317:CTW524317 CJZ524317:CKA524317 CAD524317:CAE524317 BQH524317:BQI524317 BGL524317:BGM524317 AWP524317:AWQ524317 AMT524317:AMU524317 ACX524317:ACY524317 TB524317:TC524317 JF524317:JG524317 J524317:K524317 WVR458781:WVS458781 WLV458781:WLW458781 WBZ458781:WCA458781 VSD458781:VSE458781 VIH458781:VII458781 UYL458781:UYM458781 UOP458781:UOQ458781 UET458781:UEU458781 TUX458781:TUY458781 TLB458781:TLC458781 TBF458781:TBG458781 SRJ458781:SRK458781 SHN458781:SHO458781 RXR458781:RXS458781 RNV458781:RNW458781 RDZ458781:REA458781 QUD458781:QUE458781 QKH458781:QKI458781 QAL458781:QAM458781 PQP458781:PQQ458781 PGT458781:PGU458781 OWX458781:OWY458781 ONB458781:ONC458781 ODF458781:ODG458781 NTJ458781:NTK458781 NJN458781:NJO458781 MZR458781:MZS458781 MPV458781:MPW458781 MFZ458781:MGA458781 LWD458781:LWE458781 LMH458781:LMI458781 LCL458781:LCM458781 KSP458781:KSQ458781 KIT458781:KIU458781 JYX458781:JYY458781 JPB458781:JPC458781 JFF458781:JFG458781 IVJ458781:IVK458781 ILN458781:ILO458781 IBR458781:IBS458781 HRV458781:HRW458781 HHZ458781:HIA458781 GYD458781:GYE458781 GOH458781:GOI458781 GEL458781:GEM458781 FUP458781:FUQ458781 FKT458781:FKU458781 FAX458781:FAY458781 ERB458781:ERC458781 EHF458781:EHG458781 DXJ458781:DXK458781 DNN458781:DNO458781 DDR458781:DDS458781 CTV458781:CTW458781 CJZ458781:CKA458781 CAD458781:CAE458781 BQH458781:BQI458781 BGL458781:BGM458781 AWP458781:AWQ458781 AMT458781:AMU458781 ACX458781:ACY458781 TB458781:TC458781 JF458781:JG458781 J458781:K458781 WVR393245:WVS393245 WLV393245:WLW393245 WBZ393245:WCA393245 VSD393245:VSE393245 VIH393245:VII393245 UYL393245:UYM393245 UOP393245:UOQ393245 UET393245:UEU393245 TUX393245:TUY393245 TLB393245:TLC393245 TBF393245:TBG393245 SRJ393245:SRK393245 SHN393245:SHO393245 RXR393245:RXS393245 RNV393245:RNW393245 RDZ393245:REA393245 QUD393245:QUE393245 QKH393245:QKI393245 QAL393245:QAM393245 PQP393245:PQQ393245 PGT393245:PGU393245 OWX393245:OWY393245 ONB393245:ONC393245 ODF393245:ODG393245 NTJ393245:NTK393245 NJN393245:NJO393245 MZR393245:MZS393245 MPV393245:MPW393245 MFZ393245:MGA393245 LWD393245:LWE393245 LMH393245:LMI393245 LCL393245:LCM393245 KSP393245:KSQ393245 KIT393245:KIU393245 JYX393245:JYY393245 JPB393245:JPC393245 JFF393245:JFG393245 IVJ393245:IVK393245 ILN393245:ILO393245 IBR393245:IBS393245 HRV393245:HRW393245 HHZ393245:HIA393245 GYD393245:GYE393245 GOH393245:GOI393245 GEL393245:GEM393245 FUP393245:FUQ393245 FKT393245:FKU393245 FAX393245:FAY393245 ERB393245:ERC393245 EHF393245:EHG393245 DXJ393245:DXK393245 DNN393245:DNO393245 DDR393245:DDS393245 CTV393245:CTW393245 CJZ393245:CKA393245 CAD393245:CAE393245 BQH393245:BQI393245 BGL393245:BGM393245 AWP393245:AWQ393245 AMT393245:AMU393245 ACX393245:ACY393245 TB393245:TC393245 JF393245:JG393245 J393245:K393245 WVR327709:WVS327709 WLV327709:WLW327709 WBZ327709:WCA327709 VSD327709:VSE327709 VIH327709:VII327709 UYL327709:UYM327709 UOP327709:UOQ327709 UET327709:UEU327709 TUX327709:TUY327709 TLB327709:TLC327709 TBF327709:TBG327709 SRJ327709:SRK327709 SHN327709:SHO327709 RXR327709:RXS327709 RNV327709:RNW327709 RDZ327709:REA327709 QUD327709:QUE327709 QKH327709:QKI327709 QAL327709:QAM327709 PQP327709:PQQ327709 PGT327709:PGU327709 OWX327709:OWY327709 ONB327709:ONC327709 ODF327709:ODG327709 NTJ327709:NTK327709 NJN327709:NJO327709 MZR327709:MZS327709 MPV327709:MPW327709 MFZ327709:MGA327709 LWD327709:LWE327709 LMH327709:LMI327709 LCL327709:LCM327709 KSP327709:KSQ327709 KIT327709:KIU327709 JYX327709:JYY327709 JPB327709:JPC327709 JFF327709:JFG327709 IVJ327709:IVK327709 ILN327709:ILO327709 IBR327709:IBS327709 HRV327709:HRW327709 HHZ327709:HIA327709 GYD327709:GYE327709 GOH327709:GOI327709 GEL327709:GEM327709 FUP327709:FUQ327709 FKT327709:FKU327709 FAX327709:FAY327709 ERB327709:ERC327709 EHF327709:EHG327709 DXJ327709:DXK327709 DNN327709:DNO327709 DDR327709:DDS327709 CTV327709:CTW327709 CJZ327709:CKA327709 CAD327709:CAE327709 BQH327709:BQI327709 BGL327709:BGM327709 AWP327709:AWQ327709 AMT327709:AMU327709 ACX327709:ACY327709 TB327709:TC327709 JF327709:JG327709 J327709:K327709 WVR262173:WVS262173 WLV262173:WLW262173 WBZ262173:WCA262173 VSD262173:VSE262173 VIH262173:VII262173 UYL262173:UYM262173 UOP262173:UOQ262173 UET262173:UEU262173 TUX262173:TUY262173 TLB262173:TLC262173 TBF262173:TBG262173 SRJ262173:SRK262173 SHN262173:SHO262173 RXR262173:RXS262173 RNV262173:RNW262173 RDZ262173:REA262173 QUD262173:QUE262173 QKH262173:QKI262173 QAL262173:QAM262173 PQP262173:PQQ262173 PGT262173:PGU262173 OWX262173:OWY262173 ONB262173:ONC262173 ODF262173:ODG262173 NTJ262173:NTK262173 NJN262173:NJO262173 MZR262173:MZS262173 MPV262173:MPW262173 MFZ262173:MGA262173 LWD262173:LWE262173 LMH262173:LMI262173 LCL262173:LCM262173 KSP262173:KSQ262173 KIT262173:KIU262173 JYX262173:JYY262173 JPB262173:JPC262173 JFF262173:JFG262173 IVJ262173:IVK262173 ILN262173:ILO262173 IBR262173:IBS262173 HRV262173:HRW262173 HHZ262173:HIA262173 GYD262173:GYE262173 GOH262173:GOI262173 GEL262173:GEM262173 FUP262173:FUQ262173 FKT262173:FKU262173 FAX262173:FAY262173 ERB262173:ERC262173 EHF262173:EHG262173 DXJ262173:DXK262173 DNN262173:DNO262173 DDR262173:DDS262173 CTV262173:CTW262173 CJZ262173:CKA262173 CAD262173:CAE262173 BQH262173:BQI262173 BGL262173:BGM262173 AWP262173:AWQ262173 AMT262173:AMU262173 ACX262173:ACY262173 TB262173:TC262173 JF262173:JG262173 J262173:K262173 WVR196637:WVS196637 WLV196637:WLW196637 WBZ196637:WCA196637 VSD196637:VSE196637 VIH196637:VII196637 UYL196637:UYM196637 UOP196637:UOQ196637 UET196637:UEU196637 TUX196637:TUY196637 TLB196637:TLC196637 TBF196637:TBG196637 SRJ196637:SRK196637 SHN196637:SHO196637 RXR196637:RXS196637 RNV196637:RNW196637 RDZ196637:REA196637 QUD196637:QUE196637 QKH196637:QKI196637 QAL196637:QAM196637 PQP196637:PQQ196637 PGT196637:PGU196637 OWX196637:OWY196637 ONB196637:ONC196637 ODF196637:ODG196637 NTJ196637:NTK196637 NJN196637:NJO196637 MZR196637:MZS196637 MPV196637:MPW196637 MFZ196637:MGA196637 LWD196637:LWE196637 LMH196637:LMI196637 LCL196637:LCM196637 KSP196637:KSQ196637 KIT196637:KIU196637 JYX196637:JYY196637 JPB196637:JPC196637 JFF196637:JFG196637 IVJ196637:IVK196637 ILN196637:ILO196637 IBR196637:IBS196637 HRV196637:HRW196637 HHZ196637:HIA196637 GYD196637:GYE196637 GOH196637:GOI196637 GEL196637:GEM196637 FUP196637:FUQ196637 FKT196637:FKU196637 FAX196637:FAY196637 ERB196637:ERC196637 EHF196637:EHG196637 DXJ196637:DXK196637 DNN196637:DNO196637 DDR196637:DDS196637 CTV196637:CTW196637 CJZ196637:CKA196637 CAD196637:CAE196637 BQH196637:BQI196637 BGL196637:BGM196637 AWP196637:AWQ196637 AMT196637:AMU196637 ACX196637:ACY196637 TB196637:TC196637 JF196637:JG196637 J196637:K196637 WVR131101:WVS131101 WLV131101:WLW131101 WBZ131101:WCA131101 VSD131101:VSE131101 VIH131101:VII131101 UYL131101:UYM131101 UOP131101:UOQ131101 UET131101:UEU131101 TUX131101:TUY131101 TLB131101:TLC131101 TBF131101:TBG131101 SRJ131101:SRK131101 SHN131101:SHO131101 RXR131101:RXS131101 RNV131101:RNW131101 RDZ131101:REA131101 QUD131101:QUE131101 QKH131101:QKI131101 QAL131101:QAM131101 PQP131101:PQQ131101 PGT131101:PGU131101 OWX131101:OWY131101 ONB131101:ONC131101 ODF131101:ODG131101 NTJ131101:NTK131101 NJN131101:NJO131101 MZR131101:MZS131101 MPV131101:MPW131101 MFZ131101:MGA131101 LWD131101:LWE131101 LMH131101:LMI131101 LCL131101:LCM131101 KSP131101:KSQ131101 KIT131101:KIU131101 JYX131101:JYY131101 JPB131101:JPC131101 JFF131101:JFG131101 IVJ131101:IVK131101 ILN131101:ILO131101 IBR131101:IBS131101 HRV131101:HRW131101 HHZ131101:HIA131101 GYD131101:GYE131101 GOH131101:GOI131101 GEL131101:GEM131101 FUP131101:FUQ131101 FKT131101:FKU131101 FAX131101:FAY131101 ERB131101:ERC131101 EHF131101:EHG131101 DXJ131101:DXK131101 DNN131101:DNO131101 DDR131101:DDS131101 CTV131101:CTW131101 CJZ131101:CKA131101 CAD131101:CAE131101 BQH131101:BQI131101 BGL131101:BGM131101 AWP131101:AWQ131101 AMT131101:AMU131101 ACX131101:ACY131101 TB131101:TC131101 JF131101:JG131101 J131101:K131101 WVR65565:WVS65565 WLV65565:WLW65565 WBZ65565:WCA65565 VSD65565:VSE65565 VIH65565:VII65565 UYL65565:UYM65565 UOP65565:UOQ65565 UET65565:UEU65565 TUX65565:TUY65565 TLB65565:TLC65565 TBF65565:TBG65565 SRJ65565:SRK65565 SHN65565:SHO65565 RXR65565:RXS65565 RNV65565:RNW65565 RDZ65565:REA65565 QUD65565:QUE65565 QKH65565:QKI65565 QAL65565:QAM65565 PQP65565:PQQ65565 PGT65565:PGU65565 OWX65565:OWY65565 ONB65565:ONC65565 ODF65565:ODG65565 NTJ65565:NTK65565 NJN65565:NJO65565 MZR65565:MZS65565 MPV65565:MPW65565 MFZ65565:MGA65565 LWD65565:LWE65565 LMH65565:LMI65565 LCL65565:LCM65565 KSP65565:KSQ65565 KIT65565:KIU65565 JYX65565:JYY65565 JPB65565:JPC65565 JFF65565:JFG65565 IVJ65565:IVK65565 ILN65565:ILO65565 IBR65565:IBS65565 HRV65565:HRW65565 HHZ65565:HIA65565 GYD65565:GYE65565 GOH65565:GOI65565 GEL65565:GEM65565 FUP65565:FUQ65565 FKT65565:FKU65565 FAX65565:FAY65565 ERB65565:ERC65565 EHF65565:EHG65565 DXJ65565:DXK65565 DNN65565:DNO65565 DDR65565:DDS65565 CTV65565:CTW65565 CJZ65565:CKA65565 CAD65565:CAE65565 BQH65565:BQI65565 BGL65565:BGM65565 AWP65565:AWQ65565 AMT65565:AMU65565 ACX65565:ACY65565 TB65565:TC65565 JF65565:JG65565 J65565:K65565 WVR29:WVS29 WLV29:WLW29 WBZ29:WCA29 VSD29:VSE29 VIH29:VII29 UYL29:UYM29 UOP29:UOQ29 UET29:UEU29 TUX29:TUY29 TLB29:TLC29 TBF29:TBG29 SRJ29:SRK29 SHN29:SHO29 RXR29:RXS29 RNV29:RNW29 RDZ29:REA29 QUD29:QUE29 QKH29:QKI29 QAL29:QAM29 PQP29:PQQ29 PGT29:PGU29 OWX29:OWY29 ONB29:ONC29 ODF29:ODG29 NTJ29:NTK29 NJN29:NJO29 MZR29:MZS29 MPV29:MPW29 MFZ29:MGA29 LWD29:LWE29 LMH29:LMI29 LCL29:LCM29 KSP29:KSQ29 KIT29:KIU29 JYX29:JYY29 JPB29:JPC29 JFF29:JFG29 IVJ29:IVK29 ILN29:ILO29 IBR29:IBS29 HRV29:HRW29 HHZ29:HIA29 GYD29:GYE29 GOH29:GOI29 GEL29:GEM29 FUP29:FUQ29 FKT29:FKU29 FAX29:FAY29 ERB29:ERC29 EHF29:EHG29 DXJ29:DXK29 DNN29:DNO29 DDR29:DDS29 CTV29:CTW29 CJZ29:CKA29 CAD29:CAE29 BQH29:BQI29 BGL29:BGM29 AWP29:AWQ29 AMT29:AMU29 ACX29:ACY29 TB29:TC29 JF29:JG29 J29:K29 WVV983069:WVW983069 WLZ983069:WMA983069 WCD983069:WCE983069 VSH983069:VSI983069 VIL983069:VIM983069 UYP983069:UYQ983069 UOT983069:UOU983069 UEX983069:UEY983069 TVB983069:TVC983069 TLF983069:TLG983069 TBJ983069:TBK983069 SRN983069:SRO983069 SHR983069:SHS983069 RXV983069:RXW983069 RNZ983069:ROA983069 RED983069:REE983069 QUH983069:QUI983069 QKL983069:QKM983069 QAP983069:QAQ983069 PQT983069:PQU983069 PGX983069:PGY983069 OXB983069:OXC983069 ONF983069:ONG983069 ODJ983069:ODK983069 NTN983069:NTO983069 NJR983069:NJS983069 MZV983069:MZW983069 MPZ983069:MQA983069 MGD983069:MGE983069 LWH983069:LWI983069 LML983069:LMM983069 LCP983069:LCQ983069 KST983069:KSU983069 KIX983069:KIY983069 JZB983069:JZC983069 JPF983069:JPG983069 JFJ983069:JFK983069 IVN983069:IVO983069 ILR983069:ILS983069 IBV983069:IBW983069 HRZ983069:HSA983069 HID983069:HIE983069 GYH983069:GYI983069 GOL983069:GOM983069 GEP983069:GEQ983069 FUT983069:FUU983069 FKX983069:FKY983069 FBB983069:FBC983069 ERF983069:ERG983069 EHJ983069:EHK983069 DXN983069:DXO983069 DNR983069:DNS983069 DDV983069:DDW983069 CTZ983069:CUA983069 CKD983069:CKE983069 CAH983069:CAI983069 BQL983069:BQM983069 BGP983069:BGQ983069 AWT983069:AWU983069 AMX983069:AMY983069 ADB983069:ADC983069 TF983069:TG983069 JJ983069:JK983069 N983069:O983069 WVV917533:WVW917533 WLZ917533:WMA917533 WCD917533:WCE917533 VSH917533:VSI917533 VIL917533:VIM917533 UYP917533:UYQ917533 UOT917533:UOU917533 UEX917533:UEY917533 TVB917533:TVC917533 TLF917533:TLG917533 TBJ917533:TBK917533 SRN917533:SRO917533 SHR917533:SHS917533 RXV917533:RXW917533 RNZ917533:ROA917533 RED917533:REE917533 QUH917533:QUI917533 QKL917533:QKM917533 QAP917533:QAQ917533 PQT917533:PQU917533 PGX917533:PGY917533 OXB917533:OXC917533 ONF917533:ONG917533 ODJ917533:ODK917533 NTN917533:NTO917533 NJR917533:NJS917533 MZV917533:MZW917533 MPZ917533:MQA917533 MGD917533:MGE917533 LWH917533:LWI917533 LML917533:LMM917533 LCP917533:LCQ917533 KST917533:KSU917533 KIX917533:KIY917533 JZB917533:JZC917533 JPF917533:JPG917533 JFJ917533:JFK917533 IVN917533:IVO917533 ILR917533:ILS917533 IBV917533:IBW917533 HRZ917533:HSA917533 HID917533:HIE917533 GYH917533:GYI917533 GOL917533:GOM917533 GEP917533:GEQ917533 FUT917533:FUU917533 FKX917533:FKY917533 FBB917533:FBC917533 ERF917533:ERG917533 EHJ917533:EHK917533 DXN917533:DXO917533 DNR917533:DNS917533 DDV917533:DDW917533 CTZ917533:CUA917533 CKD917533:CKE917533 CAH917533:CAI917533 BQL917533:BQM917533 BGP917533:BGQ917533 AWT917533:AWU917533 AMX917533:AMY917533 ADB917533:ADC917533 TF917533:TG917533 JJ917533:JK917533 N917533:O917533 WVV851997:WVW851997 WLZ851997:WMA851997 WCD851997:WCE851997 VSH851997:VSI851997 VIL851997:VIM851997 UYP851997:UYQ851997 UOT851997:UOU851997 UEX851997:UEY851997 TVB851997:TVC851997 TLF851997:TLG851997 TBJ851997:TBK851997 SRN851997:SRO851997 SHR851997:SHS851997 RXV851997:RXW851997 RNZ851997:ROA851997 RED851997:REE851997 QUH851997:QUI851997 QKL851997:QKM851997 QAP851997:QAQ851997 PQT851997:PQU851997 PGX851997:PGY851997 OXB851997:OXC851997 ONF851997:ONG851997 ODJ851997:ODK851997 NTN851997:NTO851997 NJR851997:NJS851997 MZV851997:MZW851997 MPZ851997:MQA851997 MGD851997:MGE851997 LWH851997:LWI851997 LML851997:LMM851997 LCP851997:LCQ851997 KST851997:KSU851997 KIX851997:KIY851997 JZB851997:JZC851997 JPF851997:JPG851997 JFJ851997:JFK851997 IVN851997:IVO851997 ILR851997:ILS851997 IBV851997:IBW851997 HRZ851997:HSA851997 HID851997:HIE851997 GYH851997:GYI851997 GOL851997:GOM851997 GEP851997:GEQ851997 FUT851997:FUU851997 FKX851997:FKY851997 FBB851997:FBC851997 ERF851997:ERG851997 EHJ851997:EHK851997 DXN851997:DXO851997 DNR851997:DNS851997 DDV851997:DDW851997 CTZ851997:CUA851997 CKD851997:CKE851997 CAH851997:CAI851997 BQL851997:BQM851997 BGP851997:BGQ851997 AWT851997:AWU851997 AMX851997:AMY851997 ADB851997:ADC851997 TF851997:TG851997 JJ851997:JK851997 N851997:O851997 WVV786461:WVW786461 WLZ786461:WMA786461 WCD786461:WCE786461 VSH786461:VSI786461 VIL786461:VIM786461 UYP786461:UYQ786461 UOT786461:UOU786461 UEX786461:UEY786461 TVB786461:TVC786461 TLF786461:TLG786461 TBJ786461:TBK786461 SRN786461:SRO786461 SHR786461:SHS786461 RXV786461:RXW786461 RNZ786461:ROA786461 RED786461:REE786461 QUH786461:QUI786461 QKL786461:QKM786461 QAP786461:QAQ786461 PQT786461:PQU786461 PGX786461:PGY786461 OXB786461:OXC786461 ONF786461:ONG786461 ODJ786461:ODK786461 NTN786461:NTO786461 NJR786461:NJS786461 MZV786461:MZW786461 MPZ786461:MQA786461 MGD786461:MGE786461 LWH786461:LWI786461 LML786461:LMM786461 LCP786461:LCQ786461 KST786461:KSU786461 KIX786461:KIY786461 JZB786461:JZC786461 JPF786461:JPG786461 JFJ786461:JFK786461 IVN786461:IVO786461 ILR786461:ILS786461 IBV786461:IBW786461 HRZ786461:HSA786461 HID786461:HIE786461 GYH786461:GYI786461 GOL786461:GOM786461 GEP786461:GEQ786461 FUT786461:FUU786461 FKX786461:FKY786461 FBB786461:FBC786461 ERF786461:ERG786461 EHJ786461:EHK786461 DXN786461:DXO786461 DNR786461:DNS786461 DDV786461:DDW786461 CTZ786461:CUA786461 CKD786461:CKE786461 CAH786461:CAI786461 BQL786461:BQM786461 BGP786461:BGQ786461 AWT786461:AWU786461 AMX786461:AMY786461 ADB786461:ADC786461 TF786461:TG786461 JJ786461:JK786461 N786461:O786461 WVV720925:WVW720925 WLZ720925:WMA720925 WCD720925:WCE720925 VSH720925:VSI720925 VIL720925:VIM720925 UYP720925:UYQ720925 UOT720925:UOU720925 UEX720925:UEY720925 TVB720925:TVC720925 TLF720925:TLG720925 TBJ720925:TBK720925 SRN720925:SRO720925 SHR720925:SHS720925 RXV720925:RXW720925 RNZ720925:ROA720925 RED720925:REE720925 QUH720925:QUI720925 QKL720925:QKM720925 QAP720925:QAQ720925 PQT720925:PQU720925 PGX720925:PGY720925 OXB720925:OXC720925 ONF720925:ONG720925 ODJ720925:ODK720925 NTN720925:NTO720925 NJR720925:NJS720925 MZV720925:MZW720925 MPZ720925:MQA720925 MGD720925:MGE720925 LWH720925:LWI720925 LML720925:LMM720925 LCP720925:LCQ720925 KST720925:KSU720925 KIX720925:KIY720925 JZB720925:JZC720925 JPF720925:JPG720925 JFJ720925:JFK720925 IVN720925:IVO720925 ILR720925:ILS720925 IBV720925:IBW720925 HRZ720925:HSA720925 HID720925:HIE720925 GYH720925:GYI720925 GOL720925:GOM720925 GEP720925:GEQ720925 FUT720925:FUU720925 FKX720925:FKY720925 FBB720925:FBC720925 ERF720925:ERG720925 EHJ720925:EHK720925 DXN720925:DXO720925 DNR720925:DNS720925 DDV720925:DDW720925 CTZ720925:CUA720925 CKD720925:CKE720925 CAH720925:CAI720925 BQL720925:BQM720925 BGP720925:BGQ720925 AWT720925:AWU720925 AMX720925:AMY720925 ADB720925:ADC720925 TF720925:TG720925 JJ720925:JK720925 N720925:O720925 WVV655389:WVW655389 WLZ655389:WMA655389 WCD655389:WCE655389 VSH655389:VSI655389 VIL655389:VIM655389 UYP655389:UYQ655389 UOT655389:UOU655389 UEX655389:UEY655389 TVB655389:TVC655389 TLF655389:TLG655389 TBJ655389:TBK655389 SRN655389:SRO655389 SHR655389:SHS655389 RXV655389:RXW655389 RNZ655389:ROA655389 RED655389:REE655389 QUH655389:QUI655389 QKL655389:QKM655389 QAP655389:QAQ655389 PQT655389:PQU655389 PGX655389:PGY655389 OXB655389:OXC655389 ONF655389:ONG655389 ODJ655389:ODK655389 NTN655389:NTO655389 NJR655389:NJS655389 MZV655389:MZW655389 MPZ655389:MQA655389 MGD655389:MGE655389 LWH655389:LWI655389 LML655389:LMM655389 LCP655389:LCQ655389 KST655389:KSU655389 KIX655389:KIY655389 JZB655389:JZC655389 JPF655389:JPG655389 JFJ655389:JFK655389 IVN655389:IVO655389 ILR655389:ILS655389 IBV655389:IBW655389 HRZ655389:HSA655389 HID655389:HIE655389 GYH655389:GYI655389 GOL655389:GOM655389 GEP655389:GEQ655389 FUT655389:FUU655389 FKX655389:FKY655389 FBB655389:FBC655389 ERF655389:ERG655389 EHJ655389:EHK655389 DXN655389:DXO655389 DNR655389:DNS655389 DDV655389:DDW655389 CTZ655389:CUA655389 CKD655389:CKE655389 CAH655389:CAI655389 BQL655389:BQM655389 BGP655389:BGQ655389 AWT655389:AWU655389 AMX655389:AMY655389 ADB655389:ADC655389 TF655389:TG655389 JJ655389:JK655389 N655389:O655389 WVV589853:WVW589853 WLZ589853:WMA589853 WCD589853:WCE589853 VSH589853:VSI589853 VIL589853:VIM589853 UYP589853:UYQ589853 UOT589853:UOU589853 UEX589853:UEY589853 TVB589853:TVC589853 TLF589853:TLG589853 TBJ589853:TBK589853 SRN589853:SRO589853 SHR589853:SHS589853 RXV589853:RXW589853 RNZ589853:ROA589853 RED589853:REE589853 QUH589853:QUI589853 QKL589853:QKM589853 QAP589853:QAQ589853 PQT589853:PQU589853 PGX589853:PGY589853 OXB589853:OXC589853 ONF589853:ONG589853 ODJ589853:ODK589853 NTN589853:NTO589853 NJR589853:NJS589853 MZV589853:MZW589853 MPZ589853:MQA589853 MGD589853:MGE589853 LWH589853:LWI589853 LML589853:LMM589853 LCP589853:LCQ589853 KST589853:KSU589853 KIX589853:KIY589853 JZB589853:JZC589853 JPF589853:JPG589853 JFJ589853:JFK589853 IVN589853:IVO589853 ILR589853:ILS589853 IBV589853:IBW589853 HRZ589853:HSA589853 HID589853:HIE589853 GYH589853:GYI589853 GOL589853:GOM589853 GEP589853:GEQ589853 FUT589853:FUU589853 FKX589853:FKY589853 FBB589853:FBC589853 ERF589853:ERG589853 EHJ589853:EHK589853 DXN589853:DXO589853 DNR589853:DNS589853 DDV589853:DDW589853 CTZ589853:CUA589853 CKD589853:CKE589853 CAH589853:CAI589853 BQL589853:BQM589853 BGP589853:BGQ589853 AWT589853:AWU589853 AMX589853:AMY589853 ADB589853:ADC589853 TF589853:TG589853 JJ589853:JK589853 N589853:O589853 WVV524317:WVW524317 WLZ524317:WMA524317 WCD524317:WCE524317 VSH524317:VSI524317 VIL524317:VIM524317 UYP524317:UYQ524317 UOT524317:UOU524317 UEX524317:UEY524317 TVB524317:TVC524317 TLF524317:TLG524317 TBJ524317:TBK524317 SRN524317:SRO524317 SHR524317:SHS524317 RXV524317:RXW524317 RNZ524317:ROA524317 RED524317:REE524317 QUH524317:QUI524317 QKL524317:QKM524317 QAP524317:QAQ524317 PQT524317:PQU524317 PGX524317:PGY524317 OXB524317:OXC524317 ONF524317:ONG524317 ODJ524317:ODK524317 NTN524317:NTO524317 NJR524317:NJS524317 MZV524317:MZW524317 MPZ524317:MQA524317 MGD524317:MGE524317 LWH524317:LWI524317 LML524317:LMM524317 LCP524317:LCQ524317 KST524317:KSU524317 KIX524317:KIY524317 JZB524317:JZC524317 JPF524317:JPG524317 JFJ524317:JFK524317 IVN524317:IVO524317 ILR524317:ILS524317 IBV524317:IBW524317 HRZ524317:HSA524317 HID524317:HIE524317 GYH524317:GYI524317 GOL524317:GOM524317 GEP524317:GEQ524317 FUT524317:FUU524317 FKX524317:FKY524317 FBB524317:FBC524317 ERF524317:ERG524317 EHJ524317:EHK524317 DXN524317:DXO524317 DNR524317:DNS524317 DDV524317:DDW524317 CTZ524317:CUA524317 CKD524317:CKE524317 CAH524317:CAI524317 BQL524317:BQM524317 BGP524317:BGQ524317 AWT524317:AWU524317 AMX524317:AMY524317 ADB524317:ADC524317 TF524317:TG524317 JJ524317:JK524317 N524317:O524317 WVV458781:WVW458781 WLZ458781:WMA458781 WCD458781:WCE458781 VSH458781:VSI458781 VIL458781:VIM458781 UYP458781:UYQ458781 UOT458781:UOU458781 UEX458781:UEY458781 TVB458781:TVC458781 TLF458781:TLG458781 TBJ458781:TBK458781 SRN458781:SRO458781 SHR458781:SHS458781 RXV458781:RXW458781 RNZ458781:ROA458781 RED458781:REE458781 QUH458781:QUI458781 QKL458781:QKM458781 QAP458781:QAQ458781 PQT458781:PQU458781 PGX458781:PGY458781 OXB458781:OXC458781 ONF458781:ONG458781 ODJ458781:ODK458781 NTN458781:NTO458781 NJR458781:NJS458781 MZV458781:MZW458781 MPZ458781:MQA458781 MGD458781:MGE458781 LWH458781:LWI458781 LML458781:LMM458781 LCP458781:LCQ458781 KST458781:KSU458781 KIX458781:KIY458781 JZB458781:JZC458781 JPF458781:JPG458781 JFJ458781:JFK458781 IVN458781:IVO458781 ILR458781:ILS458781 IBV458781:IBW458781 HRZ458781:HSA458781 HID458781:HIE458781 GYH458781:GYI458781 GOL458781:GOM458781 GEP458781:GEQ458781 FUT458781:FUU458781 FKX458781:FKY458781 FBB458781:FBC458781 ERF458781:ERG458781 EHJ458781:EHK458781 DXN458781:DXO458781 DNR458781:DNS458781 DDV458781:DDW458781 CTZ458781:CUA458781 CKD458781:CKE458781 CAH458781:CAI458781 BQL458781:BQM458781 BGP458781:BGQ458781 AWT458781:AWU458781 AMX458781:AMY458781 ADB458781:ADC458781 TF458781:TG458781 JJ458781:JK458781 N458781:O458781 WVV393245:WVW393245 WLZ393245:WMA393245 WCD393245:WCE393245 VSH393245:VSI393245 VIL393245:VIM393245 UYP393245:UYQ393245 UOT393245:UOU393245 UEX393245:UEY393245 TVB393245:TVC393245 TLF393245:TLG393245 TBJ393245:TBK393245 SRN393245:SRO393245 SHR393245:SHS393245 RXV393245:RXW393245 RNZ393245:ROA393245 RED393245:REE393245 QUH393245:QUI393245 QKL393245:QKM393245 QAP393245:QAQ393245 PQT393245:PQU393245 PGX393245:PGY393245 OXB393245:OXC393245 ONF393245:ONG393245 ODJ393245:ODK393245 NTN393245:NTO393245 NJR393245:NJS393245 MZV393245:MZW393245 MPZ393245:MQA393245 MGD393245:MGE393245 LWH393245:LWI393245 LML393245:LMM393245 LCP393245:LCQ393245 KST393245:KSU393245 KIX393245:KIY393245 JZB393245:JZC393245 JPF393245:JPG393245 JFJ393245:JFK393245 IVN393245:IVO393245 ILR393245:ILS393245 IBV393245:IBW393245 HRZ393245:HSA393245 HID393245:HIE393245 GYH393245:GYI393245 GOL393245:GOM393245 GEP393245:GEQ393245 FUT393245:FUU393245 FKX393245:FKY393245 FBB393245:FBC393245 ERF393245:ERG393245 EHJ393245:EHK393245 DXN393245:DXO393245 DNR393245:DNS393245 DDV393245:DDW393245 CTZ393245:CUA393245 CKD393245:CKE393245 CAH393245:CAI393245 BQL393245:BQM393245 BGP393245:BGQ393245 AWT393245:AWU393245 AMX393245:AMY393245 ADB393245:ADC393245 TF393245:TG393245 JJ393245:JK393245 N393245:O393245 WVV327709:WVW327709 WLZ327709:WMA327709 WCD327709:WCE327709 VSH327709:VSI327709 VIL327709:VIM327709 UYP327709:UYQ327709 UOT327709:UOU327709 UEX327709:UEY327709 TVB327709:TVC327709 TLF327709:TLG327709 TBJ327709:TBK327709 SRN327709:SRO327709 SHR327709:SHS327709 RXV327709:RXW327709 RNZ327709:ROA327709 RED327709:REE327709 QUH327709:QUI327709 QKL327709:QKM327709 QAP327709:QAQ327709 PQT327709:PQU327709 PGX327709:PGY327709 OXB327709:OXC327709 ONF327709:ONG327709 ODJ327709:ODK327709 NTN327709:NTO327709 NJR327709:NJS327709 MZV327709:MZW327709 MPZ327709:MQA327709 MGD327709:MGE327709 LWH327709:LWI327709 LML327709:LMM327709 LCP327709:LCQ327709 KST327709:KSU327709 KIX327709:KIY327709 JZB327709:JZC327709 JPF327709:JPG327709 JFJ327709:JFK327709 IVN327709:IVO327709 ILR327709:ILS327709 IBV327709:IBW327709 HRZ327709:HSA327709 HID327709:HIE327709 GYH327709:GYI327709 GOL327709:GOM327709 GEP327709:GEQ327709 FUT327709:FUU327709 FKX327709:FKY327709 FBB327709:FBC327709 ERF327709:ERG327709 EHJ327709:EHK327709 DXN327709:DXO327709 DNR327709:DNS327709 DDV327709:DDW327709 CTZ327709:CUA327709 CKD327709:CKE327709 CAH327709:CAI327709 BQL327709:BQM327709 BGP327709:BGQ327709 AWT327709:AWU327709 AMX327709:AMY327709 ADB327709:ADC327709 TF327709:TG327709 JJ327709:JK327709 N327709:O327709 WVV262173:WVW262173 WLZ262173:WMA262173 WCD262173:WCE262173 VSH262173:VSI262173 VIL262173:VIM262173 UYP262173:UYQ262173 UOT262173:UOU262173 UEX262173:UEY262173 TVB262173:TVC262173 TLF262173:TLG262173 TBJ262173:TBK262173 SRN262173:SRO262173 SHR262173:SHS262173 RXV262173:RXW262173 RNZ262173:ROA262173 RED262173:REE262173 QUH262173:QUI262173 QKL262173:QKM262173 QAP262173:QAQ262173 PQT262173:PQU262173 PGX262173:PGY262173 OXB262173:OXC262173 ONF262173:ONG262173 ODJ262173:ODK262173 NTN262173:NTO262173 NJR262173:NJS262173 MZV262173:MZW262173 MPZ262173:MQA262173 MGD262173:MGE262173 LWH262173:LWI262173 LML262173:LMM262173 LCP262173:LCQ262173 KST262173:KSU262173 KIX262173:KIY262173 JZB262173:JZC262173 JPF262173:JPG262173 JFJ262173:JFK262173 IVN262173:IVO262173 ILR262173:ILS262173 IBV262173:IBW262173 HRZ262173:HSA262173 HID262173:HIE262173 GYH262173:GYI262173 GOL262173:GOM262173 GEP262173:GEQ262173 FUT262173:FUU262173 FKX262173:FKY262173 FBB262173:FBC262173 ERF262173:ERG262173 EHJ262173:EHK262173 DXN262173:DXO262173 DNR262173:DNS262173 DDV262173:DDW262173 CTZ262173:CUA262173 CKD262173:CKE262173 CAH262173:CAI262173 BQL262173:BQM262173 BGP262173:BGQ262173 AWT262173:AWU262173 AMX262173:AMY262173 ADB262173:ADC262173 TF262173:TG262173 JJ262173:JK262173 N262173:O262173 WVV196637:WVW196637 WLZ196637:WMA196637 WCD196637:WCE196637 VSH196637:VSI196637 VIL196637:VIM196637 UYP196637:UYQ196637 UOT196637:UOU196637 UEX196637:UEY196637 TVB196637:TVC196637 TLF196637:TLG196637 TBJ196637:TBK196637 SRN196637:SRO196637 SHR196637:SHS196637 RXV196637:RXW196637 RNZ196637:ROA196637 RED196637:REE196637 QUH196637:QUI196637 QKL196637:QKM196637 QAP196637:QAQ196637 PQT196637:PQU196637 PGX196637:PGY196637 OXB196637:OXC196637 ONF196637:ONG196637 ODJ196637:ODK196637 NTN196637:NTO196637 NJR196637:NJS196637 MZV196637:MZW196637 MPZ196637:MQA196637 MGD196637:MGE196637 LWH196637:LWI196637 LML196637:LMM196637 LCP196637:LCQ196637 KST196637:KSU196637 KIX196637:KIY196637 JZB196637:JZC196637 JPF196637:JPG196637 JFJ196637:JFK196637 IVN196637:IVO196637 ILR196637:ILS196637 IBV196637:IBW196637 HRZ196637:HSA196637 HID196637:HIE196637 GYH196637:GYI196637 GOL196637:GOM196637 GEP196637:GEQ196637 FUT196637:FUU196637 FKX196637:FKY196637 FBB196637:FBC196637 ERF196637:ERG196637 EHJ196637:EHK196637 DXN196637:DXO196637 DNR196637:DNS196637 DDV196637:DDW196637 CTZ196637:CUA196637 CKD196637:CKE196637 CAH196637:CAI196637 BQL196637:BQM196637 BGP196637:BGQ196637 AWT196637:AWU196637 AMX196637:AMY196637 ADB196637:ADC196637 TF196637:TG196637 JJ196637:JK196637 N196637:O196637 WVV131101:WVW131101 WLZ131101:WMA131101 WCD131101:WCE131101 VSH131101:VSI131101 VIL131101:VIM131101 UYP131101:UYQ131101 UOT131101:UOU131101 UEX131101:UEY131101 TVB131101:TVC131101 TLF131101:TLG131101 TBJ131101:TBK131101 SRN131101:SRO131101 SHR131101:SHS131101 RXV131101:RXW131101 RNZ131101:ROA131101 RED131101:REE131101 QUH131101:QUI131101 QKL131101:QKM131101 QAP131101:QAQ131101 PQT131101:PQU131101 PGX131101:PGY131101 OXB131101:OXC131101 ONF131101:ONG131101 ODJ131101:ODK131101 NTN131101:NTO131101 NJR131101:NJS131101 MZV131101:MZW131101 MPZ131101:MQA131101 MGD131101:MGE131101 LWH131101:LWI131101 LML131101:LMM131101 LCP131101:LCQ131101 KST131101:KSU131101 KIX131101:KIY131101 JZB131101:JZC131101 JPF131101:JPG131101 JFJ131101:JFK131101 IVN131101:IVO131101 ILR131101:ILS131101 IBV131101:IBW131101 HRZ131101:HSA131101 HID131101:HIE131101 GYH131101:GYI131101 GOL131101:GOM131101 GEP131101:GEQ131101 FUT131101:FUU131101 FKX131101:FKY131101 FBB131101:FBC131101 ERF131101:ERG131101 EHJ131101:EHK131101 DXN131101:DXO131101 DNR131101:DNS131101 DDV131101:DDW131101 CTZ131101:CUA131101 CKD131101:CKE131101 CAH131101:CAI131101 BQL131101:BQM131101 BGP131101:BGQ131101 AWT131101:AWU131101 AMX131101:AMY131101 ADB131101:ADC131101 TF131101:TG131101 JJ131101:JK131101 N131101:O131101 WVV65565:WVW65565 WLZ65565:WMA65565 WCD65565:WCE65565 VSH65565:VSI65565 VIL65565:VIM65565 UYP65565:UYQ65565 UOT65565:UOU65565 UEX65565:UEY65565 TVB65565:TVC65565 TLF65565:TLG65565 TBJ65565:TBK65565 SRN65565:SRO65565 SHR65565:SHS65565 RXV65565:RXW65565 RNZ65565:ROA65565 RED65565:REE65565 QUH65565:QUI65565 QKL65565:QKM65565 QAP65565:QAQ65565 PQT65565:PQU65565 PGX65565:PGY65565 OXB65565:OXC65565 ONF65565:ONG65565 ODJ65565:ODK65565 NTN65565:NTO65565 NJR65565:NJS65565 MZV65565:MZW65565 MPZ65565:MQA65565 MGD65565:MGE65565 LWH65565:LWI65565 LML65565:LMM65565 LCP65565:LCQ65565 KST65565:KSU65565 KIX65565:KIY65565 JZB65565:JZC65565 JPF65565:JPG65565 JFJ65565:JFK65565 IVN65565:IVO65565 ILR65565:ILS65565 IBV65565:IBW65565 HRZ65565:HSA65565 HID65565:HIE65565 GYH65565:GYI65565 GOL65565:GOM65565 GEP65565:GEQ65565 FUT65565:FUU65565 FKX65565:FKY65565 FBB65565:FBC65565 ERF65565:ERG65565 EHJ65565:EHK65565 DXN65565:DXO65565 DNR65565:DNS65565 DDV65565:DDW65565 CTZ65565:CUA65565 CKD65565:CKE65565 CAH65565:CAI65565 BQL65565:BQM65565 BGP65565:BGQ65565 AWT65565:AWU65565 AMX65565:AMY65565 ADB65565:ADC65565 TF65565:TG65565 JJ65565:JK65565 N65565:O65565 WVV29:WVW29 WLZ29:WMA29 WCD29:WCE29 VSH29:VSI29 VIL29:VIM29 UYP29:UYQ29 UOT29:UOU29 UEX29:UEY29 TVB29:TVC29 TLF29:TLG29 TBJ29:TBK29 SRN29:SRO29 SHR29:SHS29 RXV29:RXW29 RNZ29:ROA29 RED29:REE29 QUH29:QUI29 QKL29:QKM29 QAP29:QAQ29 PQT29:PQU29 PGX29:PGY29 OXB29:OXC29 ONF29:ONG29 ODJ29:ODK29 NTN29:NTO29 NJR29:NJS29 MZV29:MZW29 MPZ29:MQA29 MGD29:MGE29 LWH29:LWI29 LML29:LMM29 LCP29:LCQ29 KST29:KSU29 KIX29:KIY29 JZB29:JZC29 JPF29:JPG29 JFJ29:JFK29 IVN29:IVO29 ILR29:ILS29 IBV29:IBW29 HRZ29:HSA29 HID29:HIE29 GYH29:GYI29 GOL29:GOM29 GEP29:GEQ29 FUT29:FUU29 FKX29:FKY29 FBB29:FBC29 ERF29:ERG29 EHJ29:EHK29 DXN29:DXO29 DNR29:DNS29 DDV29:DDW29 CTZ29:CUA29 CKD29:CKE29 CAH29:CAI29 BQL29:BQM29 BGP29:BGQ29 AWT29:AWU29 AMX29:AMY29 ADB29:ADC29 TF29:TG29 JJ29:JK29 N29:O29 WVZ983069:WWA983069 WMD983069:WME983069 WCH983069:WCI983069 VSL983069:VSM983069 VIP983069:VIQ983069 UYT983069:UYU983069 UOX983069:UOY983069 UFB983069:UFC983069 TVF983069:TVG983069 TLJ983069:TLK983069 TBN983069:TBO983069 SRR983069:SRS983069 SHV983069:SHW983069 RXZ983069:RYA983069 ROD983069:ROE983069 REH983069:REI983069 QUL983069:QUM983069 QKP983069:QKQ983069 QAT983069:QAU983069 PQX983069:PQY983069 PHB983069:PHC983069 OXF983069:OXG983069 ONJ983069:ONK983069 ODN983069:ODO983069 NTR983069:NTS983069 NJV983069:NJW983069 MZZ983069:NAA983069 MQD983069:MQE983069 MGH983069:MGI983069 LWL983069:LWM983069 LMP983069:LMQ983069 LCT983069:LCU983069 KSX983069:KSY983069 KJB983069:KJC983069 JZF983069:JZG983069 JPJ983069:JPK983069 JFN983069:JFO983069 IVR983069:IVS983069 ILV983069:ILW983069 IBZ983069:ICA983069 HSD983069:HSE983069 HIH983069:HII983069 GYL983069:GYM983069 GOP983069:GOQ983069 GET983069:GEU983069 FUX983069:FUY983069 FLB983069:FLC983069 FBF983069:FBG983069 ERJ983069:ERK983069 EHN983069:EHO983069 DXR983069:DXS983069 DNV983069:DNW983069 DDZ983069:DEA983069 CUD983069:CUE983069 CKH983069:CKI983069 CAL983069:CAM983069 BQP983069:BQQ983069 BGT983069:BGU983069 AWX983069:AWY983069 ANB983069:ANC983069 ADF983069:ADG983069 TJ983069:TK983069 JN983069:JO983069 R983069:S983069 WVZ917533:WWA917533 WMD917533:WME917533 WCH917533:WCI917533 VSL917533:VSM917533 VIP917533:VIQ917533 UYT917533:UYU917533 UOX917533:UOY917533 UFB917533:UFC917533 TVF917533:TVG917533 TLJ917533:TLK917533 TBN917533:TBO917533 SRR917533:SRS917533 SHV917533:SHW917533 RXZ917533:RYA917533 ROD917533:ROE917533 REH917533:REI917533 QUL917533:QUM917533 QKP917533:QKQ917533 QAT917533:QAU917533 PQX917533:PQY917533 PHB917533:PHC917533 OXF917533:OXG917533 ONJ917533:ONK917533 ODN917533:ODO917533 NTR917533:NTS917533 NJV917533:NJW917533 MZZ917533:NAA917533 MQD917533:MQE917533 MGH917533:MGI917533 LWL917533:LWM917533 LMP917533:LMQ917533 LCT917533:LCU917533 KSX917533:KSY917533 KJB917533:KJC917533 JZF917533:JZG917533 JPJ917533:JPK917533 JFN917533:JFO917533 IVR917533:IVS917533 ILV917533:ILW917533 IBZ917533:ICA917533 HSD917533:HSE917533 HIH917533:HII917533 GYL917533:GYM917533 GOP917533:GOQ917533 GET917533:GEU917533 FUX917533:FUY917533 FLB917533:FLC917533 FBF917533:FBG917533 ERJ917533:ERK917533 EHN917533:EHO917533 DXR917533:DXS917533 DNV917533:DNW917533 DDZ917533:DEA917533 CUD917533:CUE917533 CKH917533:CKI917533 CAL917533:CAM917533 BQP917533:BQQ917533 BGT917533:BGU917533 AWX917533:AWY917533 ANB917533:ANC917533 ADF917533:ADG917533 TJ917533:TK917533 JN917533:JO917533 R917533:S917533 WVZ851997:WWA851997 WMD851997:WME851997 WCH851997:WCI851997 VSL851997:VSM851997 VIP851997:VIQ851997 UYT851997:UYU851997 UOX851997:UOY851997 UFB851997:UFC851997 TVF851997:TVG851997 TLJ851997:TLK851997 TBN851997:TBO851997 SRR851997:SRS851997 SHV851997:SHW851997 RXZ851997:RYA851997 ROD851997:ROE851997 REH851997:REI851997 QUL851997:QUM851997 QKP851997:QKQ851997 QAT851997:QAU851997 PQX851997:PQY851997 PHB851997:PHC851997 OXF851997:OXG851997 ONJ851997:ONK851997 ODN851997:ODO851997 NTR851997:NTS851997 NJV851997:NJW851997 MZZ851997:NAA851997 MQD851997:MQE851997 MGH851997:MGI851997 LWL851997:LWM851997 LMP851997:LMQ851997 LCT851997:LCU851997 KSX851997:KSY851997 KJB851997:KJC851997 JZF851997:JZG851997 JPJ851997:JPK851997 JFN851997:JFO851997 IVR851997:IVS851997 ILV851997:ILW851997 IBZ851997:ICA851997 HSD851997:HSE851997 HIH851997:HII851997 GYL851997:GYM851997 GOP851997:GOQ851997 GET851997:GEU851997 FUX851997:FUY851997 FLB851997:FLC851997 FBF851997:FBG851997 ERJ851997:ERK851997 EHN851997:EHO851997 DXR851997:DXS851997 DNV851997:DNW851997 DDZ851997:DEA851997 CUD851997:CUE851997 CKH851997:CKI851997 CAL851997:CAM851997 BQP851997:BQQ851997 BGT851997:BGU851997 AWX851997:AWY851997 ANB851997:ANC851997 ADF851997:ADG851997 TJ851997:TK851997 JN851997:JO851997 R851997:S851997 WVZ786461:WWA786461 WMD786461:WME786461 WCH786461:WCI786461 VSL786461:VSM786461 VIP786461:VIQ786461 UYT786461:UYU786461 UOX786461:UOY786461 UFB786461:UFC786461 TVF786461:TVG786461 TLJ786461:TLK786461 TBN786461:TBO786461 SRR786461:SRS786461 SHV786461:SHW786461 RXZ786461:RYA786461 ROD786461:ROE786461 REH786461:REI786461 QUL786461:QUM786461 QKP786461:QKQ786461 QAT786461:QAU786461 PQX786461:PQY786461 PHB786461:PHC786461 OXF786461:OXG786461 ONJ786461:ONK786461 ODN786461:ODO786461 NTR786461:NTS786461 NJV786461:NJW786461 MZZ786461:NAA786461 MQD786461:MQE786461 MGH786461:MGI786461 LWL786461:LWM786461 LMP786461:LMQ786461 LCT786461:LCU786461 KSX786461:KSY786461 KJB786461:KJC786461 JZF786461:JZG786461 JPJ786461:JPK786461 JFN786461:JFO786461 IVR786461:IVS786461 ILV786461:ILW786461 IBZ786461:ICA786461 HSD786461:HSE786461 HIH786461:HII786461 GYL786461:GYM786461 GOP786461:GOQ786461 GET786461:GEU786461 FUX786461:FUY786461 FLB786461:FLC786461 FBF786461:FBG786461 ERJ786461:ERK786461 EHN786461:EHO786461 DXR786461:DXS786461 DNV786461:DNW786461 DDZ786461:DEA786461 CUD786461:CUE786461 CKH786461:CKI786461 CAL786461:CAM786461 BQP786461:BQQ786461 BGT786461:BGU786461 AWX786461:AWY786461 ANB786461:ANC786461 ADF786461:ADG786461 TJ786461:TK786461 JN786461:JO786461 R786461:S786461 WVZ720925:WWA720925 WMD720925:WME720925 WCH720925:WCI720925 VSL720925:VSM720925 VIP720925:VIQ720925 UYT720925:UYU720925 UOX720925:UOY720925 UFB720925:UFC720925 TVF720925:TVG720925 TLJ720925:TLK720925 TBN720925:TBO720925 SRR720925:SRS720925 SHV720925:SHW720925 RXZ720925:RYA720925 ROD720925:ROE720925 REH720925:REI720925 QUL720925:QUM720925 QKP720925:QKQ720925 QAT720925:QAU720925 PQX720925:PQY720925 PHB720925:PHC720925 OXF720925:OXG720925 ONJ720925:ONK720925 ODN720925:ODO720925 NTR720925:NTS720925 NJV720925:NJW720925 MZZ720925:NAA720925 MQD720925:MQE720925 MGH720925:MGI720925 LWL720925:LWM720925 LMP720925:LMQ720925 LCT720925:LCU720925 KSX720925:KSY720925 KJB720925:KJC720925 JZF720925:JZG720925 JPJ720925:JPK720925 JFN720925:JFO720925 IVR720925:IVS720925 ILV720925:ILW720925 IBZ720925:ICA720925 HSD720925:HSE720925 HIH720925:HII720925 GYL720925:GYM720925 GOP720925:GOQ720925 GET720925:GEU720925 FUX720925:FUY720925 FLB720925:FLC720925 FBF720925:FBG720925 ERJ720925:ERK720925 EHN720925:EHO720925 DXR720925:DXS720925 DNV720925:DNW720925 DDZ720925:DEA720925 CUD720925:CUE720925 CKH720925:CKI720925 CAL720925:CAM720925 BQP720925:BQQ720925 BGT720925:BGU720925 AWX720925:AWY720925 ANB720925:ANC720925 ADF720925:ADG720925 TJ720925:TK720925 JN720925:JO720925 R720925:S720925 WVZ655389:WWA655389 WMD655389:WME655389 WCH655389:WCI655389 VSL655389:VSM655389 VIP655389:VIQ655389 UYT655389:UYU655389 UOX655389:UOY655389 UFB655389:UFC655389 TVF655389:TVG655389 TLJ655389:TLK655389 TBN655389:TBO655389 SRR655389:SRS655389 SHV655389:SHW655389 RXZ655389:RYA655389 ROD655389:ROE655389 REH655389:REI655389 QUL655389:QUM655389 QKP655389:QKQ655389 QAT655389:QAU655389 PQX655389:PQY655389 PHB655389:PHC655389 OXF655389:OXG655389 ONJ655389:ONK655389 ODN655389:ODO655389 NTR655389:NTS655389 NJV655389:NJW655389 MZZ655389:NAA655389 MQD655389:MQE655389 MGH655389:MGI655389 LWL655389:LWM655389 LMP655389:LMQ655389 LCT655389:LCU655389 KSX655389:KSY655389 KJB655389:KJC655389 JZF655389:JZG655389 JPJ655389:JPK655389 JFN655389:JFO655389 IVR655389:IVS655389 ILV655389:ILW655389 IBZ655389:ICA655389 HSD655389:HSE655389 HIH655389:HII655389 GYL655389:GYM655389 GOP655389:GOQ655389 GET655389:GEU655389 FUX655389:FUY655389 FLB655389:FLC655389 FBF655389:FBG655389 ERJ655389:ERK655389 EHN655389:EHO655389 DXR655389:DXS655389 DNV655389:DNW655389 DDZ655389:DEA655389 CUD655389:CUE655389 CKH655389:CKI655389 CAL655389:CAM655389 BQP655389:BQQ655389 BGT655389:BGU655389 AWX655389:AWY655389 ANB655389:ANC655389 ADF655389:ADG655389 TJ655389:TK655389 JN655389:JO655389 R655389:S655389 WVZ589853:WWA589853 WMD589853:WME589853 WCH589853:WCI589853 VSL589853:VSM589853 VIP589853:VIQ589853 UYT589853:UYU589853 UOX589853:UOY589853 UFB589853:UFC589853 TVF589853:TVG589853 TLJ589853:TLK589853 TBN589853:TBO589853 SRR589853:SRS589853 SHV589853:SHW589853 RXZ589853:RYA589853 ROD589853:ROE589853 REH589853:REI589853 QUL589853:QUM589853 QKP589853:QKQ589853 QAT589853:QAU589853 PQX589853:PQY589853 PHB589853:PHC589853 OXF589853:OXG589853 ONJ589853:ONK589853 ODN589853:ODO589853 NTR589853:NTS589853 NJV589853:NJW589853 MZZ589853:NAA589853 MQD589853:MQE589853 MGH589853:MGI589853 LWL589853:LWM589853 LMP589853:LMQ589853 LCT589853:LCU589853 KSX589853:KSY589853 KJB589853:KJC589853 JZF589853:JZG589853 JPJ589853:JPK589853 JFN589853:JFO589853 IVR589853:IVS589853 ILV589853:ILW589853 IBZ589853:ICA589853 HSD589853:HSE589853 HIH589853:HII589853 GYL589853:GYM589853 GOP589853:GOQ589853 GET589853:GEU589853 FUX589853:FUY589853 FLB589853:FLC589853 FBF589853:FBG589853 ERJ589853:ERK589853 EHN589853:EHO589853 DXR589853:DXS589853 DNV589853:DNW589853 DDZ589853:DEA589853 CUD589853:CUE589853 CKH589853:CKI589853 CAL589853:CAM589853 BQP589853:BQQ589853 BGT589853:BGU589853 AWX589853:AWY589853 ANB589853:ANC589853 ADF589853:ADG589853 TJ589853:TK589853 JN589853:JO589853 R589853:S589853 WVZ524317:WWA524317 WMD524317:WME524317 WCH524317:WCI524317 VSL524317:VSM524317 VIP524317:VIQ524317 UYT524317:UYU524317 UOX524317:UOY524317 UFB524317:UFC524317 TVF524317:TVG524317 TLJ524317:TLK524317 TBN524317:TBO524317 SRR524317:SRS524317 SHV524317:SHW524317 RXZ524317:RYA524317 ROD524317:ROE524317 REH524317:REI524317 QUL524317:QUM524317 QKP524317:QKQ524317 QAT524317:QAU524317 PQX524317:PQY524317 PHB524317:PHC524317 OXF524317:OXG524317 ONJ524317:ONK524317 ODN524317:ODO524317 NTR524317:NTS524317 NJV524317:NJW524317 MZZ524317:NAA524317 MQD524317:MQE524317 MGH524317:MGI524317 LWL524317:LWM524317 LMP524317:LMQ524317 LCT524317:LCU524317 KSX524317:KSY524317 KJB524317:KJC524317 JZF524317:JZG524317 JPJ524317:JPK524317 JFN524317:JFO524317 IVR524317:IVS524317 ILV524317:ILW524317 IBZ524317:ICA524317 HSD524317:HSE524317 HIH524317:HII524317 GYL524317:GYM524317 GOP524317:GOQ524317 GET524317:GEU524317 FUX524317:FUY524317 FLB524317:FLC524317 FBF524317:FBG524317 ERJ524317:ERK524317 EHN524317:EHO524317 DXR524317:DXS524317 DNV524317:DNW524317 DDZ524317:DEA524317 CUD524317:CUE524317 CKH524317:CKI524317 CAL524317:CAM524317 BQP524317:BQQ524317 BGT524317:BGU524317 AWX524317:AWY524317 ANB524317:ANC524317 ADF524317:ADG524317 TJ524317:TK524317 JN524317:JO524317 R524317:S524317 WVZ458781:WWA458781 WMD458781:WME458781 WCH458781:WCI458781 VSL458781:VSM458781 VIP458781:VIQ458781 UYT458781:UYU458781 UOX458781:UOY458781 UFB458781:UFC458781 TVF458781:TVG458781 TLJ458781:TLK458781 TBN458781:TBO458781 SRR458781:SRS458781 SHV458781:SHW458781 RXZ458781:RYA458781 ROD458781:ROE458781 REH458781:REI458781 QUL458781:QUM458781 QKP458781:QKQ458781 QAT458781:QAU458781 PQX458781:PQY458781 PHB458781:PHC458781 OXF458781:OXG458781 ONJ458781:ONK458781 ODN458781:ODO458781 NTR458781:NTS458781 NJV458781:NJW458781 MZZ458781:NAA458781 MQD458781:MQE458781 MGH458781:MGI458781 LWL458781:LWM458781 LMP458781:LMQ458781 LCT458781:LCU458781 KSX458781:KSY458781 KJB458781:KJC458781 JZF458781:JZG458781 JPJ458781:JPK458781 JFN458781:JFO458781 IVR458781:IVS458781 ILV458781:ILW458781 IBZ458781:ICA458781 HSD458781:HSE458781 HIH458781:HII458781 GYL458781:GYM458781 GOP458781:GOQ458781 GET458781:GEU458781 FUX458781:FUY458781 FLB458781:FLC458781 FBF458781:FBG458781 ERJ458781:ERK458781 EHN458781:EHO458781 DXR458781:DXS458781 DNV458781:DNW458781 DDZ458781:DEA458781 CUD458781:CUE458781 CKH458781:CKI458781 CAL458781:CAM458781 BQP458781:BQQ458781 BGT458781:BGU458781 AWX458781:AWY458781 ANB458781:ANC458781 ADF458781:ADG458781 TJ458781:TK458781 JN458781:JO458781 R458781:S458781 WVZ393245:WWA393245 WMD393245:WME393245 WCH393245:WCI393245 VSL393245:VSM393245 VIP393245:VIQ393245 UYT393245:UYU393245 UOX393245:UOY393245 UFB393245:UFC393245 TVF393245:TVG393245 TLJ393245:TLK393245 TBN393245:TBO393245 SRR393245:SRS393245 SHV393245:SHW393245 RXZ393245:RYA393245 ROD393245:ROE393245 REH393245:REI393245 QUL393245:QUM393245 QKP393245:QKQ393245 QAT393245:QAU393245 PQX393245:PQY393245 PHB393245:PHC393245 OXF393245:OXG393245 ONJ393245:ONK393245 ODN393245:ODO393245 NTR393245:NTS393245 NJV393245:NJW393245 MZZ393245:NAA393245 MQD393245:MQE393245 MGH393245:MGI393245 LWL393245:LWM393245 LMP393245:LMQ393245 LCT393245:LCU393245 KSX393245:KSY393245 KJB393245:KJC393245 JZF393245:JZG393245 JPJ393245:JPK393245 JFN393245:JFO393245 IVR393245:IVS393245 ILV393245:ILW393245 IBZ393245:ICA393245 HSD393245:HSE393245 HIH393245:HII393245 GYL393245:GYM393245 GOP393245:GOQ393245 GET393245:GEU393245 FUX393245:FUY393245 FLB393245:FLC393245 FBF393245:FBG393245 ERJ393245:ERK393245 EHN393245:EHO393245 DXR393245:DXS393245 DNV393245:DNW393245 DDZ393245:DEA393245 CUD393245:CUE393245 CKH393245:CKI393245 CAL393245:CAM393245 BQP393245:BQQ393245 BGT393245:BGU393245 AWX393245:AWY393245 ANB393245:ANC393245 ADF393245:ADG393245 TJ393245:TK393245 JN393245:JO393245 R393245:S393245 WVZ327709:WWA327709 WMD327709:WME327709 WCH327709:WCI327709 VSL327709:VSM327709 VIP327709:VIQ327709 UYT327709:UYU327709 UOX327709:UOY327709 UFB327709:UFC327709 TVF327709:TVG327709 TLJ327709:TLK327709 TBN327709:TBO327709 SRR327709:SRS327709 SHV327709:SHW327709 RXZ327709:RYA327709 ROD327709:ROE327709 REH327709:REI327709 QUL327709:QUM327709 QKP327709:QKQ327709 QAT327709:QAU327709 PQX327709:PQY327709 PHB327709:PHC327709 OXF327709:OXG327709 ONJ327709:ONK327709 ODN327709:ODO327709 NTR327709:NTS327709 NJV327709:NJW327709 MZZ327709:NAA327709 MQD327709:MQE327709 MGH327709:MGI327709 LWL327709:LWM327709 LMP327709:LMQ327709 LCT327709:LCU327709 KSX327709:KSY327709 KJB327709:KJC327709 JZF327709:JZG327709 JPJ327709:JPK327709 JFN327709:JFO327709 IVR327709:IVS327709 ILV327709:ILW327709 IBZ327709:ICA327709 HSD327709:HSE327709 HIH327709:HII327709 GYL327709:GYM327709 GOP327709:GOQ327709 GET327709:GEU327709 FUX327709:FUY327709 FLB327709:FLC327709 FBF327709:FBG327709 ERJ327709:ERK327709 EHN327709:EHO327709 DXR327709:DXS327709 DNV327709:DNW327709 DDZ327709:DEA327709 CUD327709:CUE327709 CKH327709:CKI327709 CAL327709:CAM327709 BQP327709:BQQ327709 BGT327709:BGU327709 AWX327709:AWY327709 ANB327709:ANC327709 ADF327709:ADG327709 TJ327709:TK327709 JN327709:JO327709 R327709:S327709 WVZ262173:WWA262173 WMD262173:WME262173 WCH262173:WCI262173 VSL262173:VSM262173 VIP262173:VIQ262173 UYT262173:UYU262173 UOX262173:UOY262173 UFB262173:UFC262173 TVF262173:TVG262173 TLJ262173:TLK262173 TBN262173:TBO262173 SRR262173:SRS262173 SHV262173:SHW262173 RXZ262173:RYA262173 ROD262173:ROE262173 REH262173:REI262173 QUL262173:QUM262173 QKP262173:QKQ262173 QAT262173:QAU262173 PQX262173:PQY262173 PHB262173:PHC262173 OXF262173:OXG262173 ONJ262173:ONK262173 ODN262173:ODO262173 NTR262173:NTS262173 NJV262173:NJW262173 MZZ262173:NAA262173 MQD262173:MQE262173 MGH262173:MGI262173 LWL262173:LWM262173 LMP262173:LMQ262173 LCT262173:LCU262173 KSX262173:KSY262173 KJB262173:KJC262173 JZF262173:JZG262173 JPJ262173:JPK262173 JFN262173:JFO262173 IVR262173:IVS262173 ILV262173:ILW262173 IBZ262173:ICA262173 HSD262173:HSE262173 HIH262173:HII262173 GYL262173:GYM262173 GOP262173:GOQ262173 GET262173:GEU262173 FUX262173:FUY262173 FLB262173:FLC262173 FBF262173:FBG262173 ERJ262173:ERK262173 EHN262173:EHO262173 DXR262173:DXS262173 DNV262173:DNW262173 DDZ262173:DEA262173 CUD262173:CUE262173 CKH262173:CKI262173 CAL262173:CAM262173 BQP262173:BQQ262173 BGT262173:BGU262173 AWX262173:AWY262173 ANB262173:ANC262173 ADF262173:ADG262173 TJ262173:TK262173 JN262173:JO262173 R262173:S262173 WVZ196637:WWA196637 WMD196637:WME196637 WCH196637:WCI196637 VSL196637:VSM196637 VIP196637:VIQ196637 UYT196637:UYU196637 UOX196637:UOY196637 UFB196637:UFC196637 TVF196637:TVG196637 TLJ196637:TLK196637 TBN196637:TBO196637 SRR196637:SRS196637 SHV196637:SHW196637 RXZ196637:RYA196637 ROD196637:ROE196637 REH196637:REI196637 QUL196637:QUM196637 QKP196637:QKQ196637 QAT196637:QAU196637 PQX196637:PQY196637 PHB196637:PHC196637 OXF196637:OXG196637 ONJ196637:ONK196637 ODN196637:ODO196637 NTR196637:NTS196637 NJV196637:NJW196637 MZZ196637:NAA196637 MQD196637:MQE196637 MGH196637:MGI196637 LWL196637:LWM196637 LMP196637:LMQ196637 LCT196637:LCU196637 KSX196637:KSY196637 KJB196637:KJC196637 JZF196637:JZG196637 JPJ196637:JPK196637 JFN196637:JFO196637 IVR196637:IVS196637 ILV196637:ILW196637 IBZ196637:ICA196637 HSD196637:HSE196637 HIH196637:HII196637 GYL196637:GYM196637 GOP196637:GOQ196637 GET196637:GEU196637 FUX196637:FUY196637 FLB196637:FLC196637 FBF196637:FBG196637 ERJ196637:ERK196637 EHN196637:EHO196637 DXR196637:DXS196637 DNV196637:DNW196637 DDZ196637:DEA196637 CUD196637:CUE196637 CKH196637:CKI196637 CAL196637:CAM196637 BQP196637:BQQ196637 BGT196637:BGU196637 AWX196637:AWY196637 ANB196637:ANC196637 ADF196637:ADG196637 TJ196637:TK196637 JN196637:JO196637 R196637:S196637 WVZ131101:WWA131101 WMD131101:WME131101 WCH131101:WCI131101 VSL131101:VSM131101 VIP131101:VIQ131101 UYT131101:UYU131101 UOX131101:UOY131101 UFB131101:UFC131101 TVF131101:TVG131101 TLJ131101:TLK131101 TBN131101:TBO131101 SRR131101:SRS131101 SHV131101:SHW131101 RXZ131101:RYA131101 ROD131101:ROE131101 REH131101:REI131101 QUL131101:QUM131101 QKP131101:QKQ131101 QAT131101:QAU131101 PQX131101:PQY131101 PHB131101:PHC131101 OXF131101:OXG131101 ONJ131101:ONK131101 ODN131101:ODO131101 NTR131101:NTS131101 NJV131101:NJW131101 MZZ131101:NAA131101 MQD131101:MQE131101 MGH131101:MGI131101 LWL131101:LWM131101 LMP131101:LMQ131101 LCT131101:LCU131101 KSX131101:KSY131101 KJB131101:KJC131101 JZF131101:JZG131101 JPJ131101:JPK131101 JFN131101:JFO131101 IVR131101:IVS131101 ILV131101:ILW131101 IBZ131101:ICA131101 HSD131101:HSE131101 HIH131101:HII131101 GYL131101:GYM131101 GOP131101:GOQ131101 GET131101:GEU131101 FUX131101:FUY131101 FLB131101:FLC131101 FBF131101:FBG131101 ERJ131101:ERK131101 EHN131101:EHO131101 DXR131101:DXS131101 DNV131101:DNW131101 DDZ131101:DEA131101 CUD131101:CUE131101 CKH131101:CKI131101 CAL131101:CAM131101 BQP131101:BQQ131101 BGT131101:BGU131101 AWX131101:AWY131101 ANB131101:ANC131101 ADF131101:ADG131101 TJ131101:TK131101 JN131101:JO131101 R131101:S131101 WVZ65565:WWA65565 WMD65565:WME65565 WCH65565:WCI65565 VSL65565:VSM65565 VIP65565:VIQ65565 UYT65565:UYU65565 UOX65565:UOY65565 UFB65565:UFC65565 TVF65565:TVG65565 TLJ65565:TLK65565 TBN65565:TBO65565 SRR65565:SRS65565 SHV65565:SHW65565 RXZ65565:RYA65565 ROD65565:ROE65565 REH65565:REI65565 QUL65565:QUM65565 QKP65565:QKQ65565 QAT65565:QAU65565 PQX65565:PQY65565 PHB65565:PHC65565 OXF65565:OXG65565 ONJ65565:ONK65565 ODN65565:ODO65565 NTR65565:NTS65565 NJV65565:NJW65565 MZZ65565:NAA65565 MQD65565:MQE65565 MGH65565:MGI65565 LWL65565:LWM65565 LMP65565:LMQ65565 LCT65565:LCU65565 KSX65565:KSY65565 KJB65565:KJC65565 JZF65565:JZG65565 JPJ65565:JPK65565 JFN65565:JFO65565 IVR65565:IVS65565 ILV65565:ILW65565 IBZ65565:ICA65565 HSD65565:HSE65565 HIH65565:HII65565 GYL65565:GYM65565 GOP65565:GOQ65565 GET65565:GEU65565 FUX65565:FUY65565 FLB65565:FLC65565 FBF65565:FBG65565 ERJ65565:ERK65565 EHN65565:EHO65565 DXR65565:DXS65565 DNV65565:DNW65565 DDZ65565:DEA65565 CUD65565:CUE65565 CKH65565:CKI65565 CAL65565:CAM65565 BQP65565:BQQ65565 BGT65565:BGU65565 AWX65565:AWY65565 ANB65565:ANC65565 ADF65565:ADG65565 TJ65565:TK65565 JN65565:JO65565 R65565:S65565 WVZ29:WWA29 WMD29:WME29 WCH29:WCI29 VSL29:VSM29 VIP29:VIQ29 UYT29:UYU29 UOX29:UOY29 UFB29:UFC29 TVF29:TVG29 TLJ29:TLK29 TBN29:TBO29 SRR29:SRS29 SHV29:SHW29 RXZ29:RYA29 ROD29:ROE29 REH29:REI29 QUL29:QUM29 QKP29:QKQ29 QAT29:QAU29 PQX29:PQY29 PHB29:PHC29 OXF29:OXG29 ONJ29:ONK29 ODN29:ODO29 NTR29:NTS29 NJV29:NJW29 MZZ29:NAA29 MQD29:MQE29 MGH29:MGI29 LWL29:LWM29 LMP29:LMQ29 LCT29:LCU29 KSX29:KSY29 KJB29:KJC29 JZF29:JZG29 JPJ29:JPK29 JFN29:JFO29 IVR29:IVS29 ILV29:ILW29 IBZ29:ICA29 HSD29:HSE29 HIH29:HII29 GYL29:GYM29 GOP29:GOQ29 GET29:GEU29 FUX29:FUY29 FLB29:FLC29 FBF29:FBG29 ERJ29:ERK29 EHN29:EHO29 DXR29:DXS29 DNV29:DNW29 DDZ29:DEA29 CUD29:CUE29 CKH29:CKI29 CAL29:CAM29 BQP29:BQQ29 BGT29:BGU29 AWX29:AWY29 ANB29:ANC29 ADF29:ADG29 TJ29:TK29</xm:sqref>
        </x14:dataValidation>
        <x14:dataValidation type="list" allowBlank="1" showInputMessage="1" showErrorMessage="1" xr:uid="{00000000-0002-0000-0300-000002000000}">
          <x14:formula1>
            <xm:f>項目!C$17:$C65537</xm:f>
          </x14:formula1>
          <xm:sqref>G131077:G131100 G196613:G196636 G262149:G262172 G327685:G327708 G393221:G393244 G458757:G458780 G524293:G524316 G589829:G589852 G655365:G655388 G720901:G720924 G786437:G786460 G851973:G851996 G917509:G917532 G983045:G983068 G65541:G65564</xm:sqref>
        </x14:dataValidation>
        <x14:dataValidation type="list" allowBlank="1" showInputMessage="1" showErrorMessage="1" xr:uid="{00000000-0002-0000-0300-000003000000}">
          <x14:formula1>
            <xm:f>項目!C1:$AMI$17</xm:f>
          </x14:formula1>
          <xm:sqref>AMQ5:AMQ28</xm:sqref>
        </x14:dataValidation>
        <x14:dataValidation type="list" allowBlank="1" showInputMessage="1" showErrorMessage="1" xr:uid="{00000000-0002-0000-0300-000004000000}">
          <x14:formula1>
            <xm:f>項目!C1:$AWE$17</xm:f>
          </x14:formula1>
          <xm:sqref>AWM5:AWM28</xm:sqref>
        </x14:dataValidation>
        <x14:dataValidation type="list" allowBlank="1" showInputMessage="1" showErrorMessage="1" xr:uid="{00000000-0002-0000-0300-000005000000}">
          <x14:formula1>
            <xm:f>項目!C1:$BGA$17</xm:f>
          </x14:formula1>
          <xm:sqref>BGI5:BGI28</xm:sqref>
        </x14:dataValidation>
        <x14:dataValidation type="list" allowBlank="1" showInputMessage="1" showErrorMessage="1" xr:uid="{00000000-0002-0000-0300-000006000000}">
          <x14:formula1>
            <xm:f>項目!C1:$BPW$17</xm:f>
          </x14:formula1>
          <xm:sqref>BQE5:BQE28</xm:sqref>
        </x14:dataValidation>
        <x14:dataValidation type="list" allowBlank="1" showInputMessage="1" showErrorMessage="1" xr:uid="{00000000-0002-0000-0300-000007000000}">
          <x14:formula1>
            <xm:f>項目!C1:$BZS$17</xm:f>
          </x14:formula1>
          <xm:sqref>CAA5:CAA28</xm:sqref>
        </x14:dataValidation>
        <x14:dataValidation type="list" allowBlank="1" showInputMessage="1" showErrorMessage="1" xr:uid="{00000000-0002-0000-0300-000008000000}">
          <x14:formula1>
            <xm:f>項目!C1:$CJO$17</xm:f>
          </x14:formula1>
          <xm:sqref>CJW5:CJW28</xm:sqref>
        </x14:dataValidation>
        <x14:dataValidation type="list" allowBlank="1" showInputMessage="1" showErrorMessage="1" xr:uid="{00000000-0002-0000-0300-000009000000}">
          <x14:formula1>
            <xm:f>項目!C1:$CTK$17</xm:f>
          </x14:formula1>
          <xm:sqref>CTS5:CTS28</xm:sqref>
        </x14:dataValidation>
        <x14:dataValidation type="list" allowBlank="1" showInputMessage="1" showErrorMessage="1" xr:uid="{00000000-0002-0000-0300-00000A000000}">
          <x14:formula1>
            <xm:f>項目!C1:$DDG$17</xm:f>
          </x14:formula1>
          <xm:sqref>DDO5:DDO28</xm:sqref>
        </x14:dataValidation>
        <x14:dataValidation type="list" allowBlank="1" showInputMessage="1" showErrorMessage="1" xr:uid="{00000000-0002-0000-0300-00000B000000}">
          <x14:formula1>
            <xm:f>項目!C1:$DNC$17</xm:f>
          </x14:formula1>
          <xm:sqref>DNK5:DNK28</xm:sqref>
        </x14:dataValidation>
        <x14:dataValidation type="list" allowBlank="1" showInputMessage="1" showErrorMessage="1" xr:uid="{00000000-0002-0000-0300-00000C000000}">
          <x14:formula1>
            <xm:f>項目!C1:$DWY$17</xm:f>
          </x14:formula1>
          <xm:sqref>DXG5:DXG28</xm:sqref>
        </x14:dataValidation>
        <x14:dataValidation type="list" allowBlank="1" showInputMessage="1" showErrorMessage="1" xr:uid="{00000000-0002-0000-0300-00000D000000}">
          <x14:formula1>
            <xm:f>項目!C1:$EGU$17</xm:f>
          </x14:formula1>
          <xm:sqref>EHC5:EHC28</xm:sqref>
        </x14:dataValidation>
        <x14:dataValidation type="list" allowBlank="1" showInputMessage="1" showErrorMessage="1" xr:uid="{00000000-0002-0000-0300-00000E000000}">
          <x14:formula1>
            <xm:f>項目!C1:$EQQ$17</xm:f>
          </x14:formula1>
          <xm:sqref>EQY5:EQY28</xm:sqref>
        </x14:dataValidation>
        <x14:dataValidation type="list" allowBlank="1" showInputMessage="1" showErrorMessage="1" xr:uid="{00000000-0002-0000-0300-00000F000000}">
          <x14:formula1>
            <xm:f>項目!C1:$FAM$17</xm:f>
          </x14:formula1>
          <xm:sqref>FAU5:FAU28</xm:sqref>
        </x14:dataValidation>
        <x14:dataValidation type="list" allowBlank="1" showInputMessage="1" showErrorMessage="1" xr:uid="{00000000-0002-0000-0300-000010000000}">
          <x14:formula1>
            <xm:f>項目!C1:$FKI$17</xm:f>
          </x14:formula1>
          <xm:sqref>FKQ5:FKQ28</xm:sqref>
        </x14:dataValidation>
        <x14:dataValidation type="list" allowBlank="1" showInputMessage="1" showErrorMessage="1" xr:uid="{00000000-0002-0000-0300-000011000000}">
          <x14:formula1>
            <xm:f>項目!C1:$FUE$17</xm:f>
          </x14:formula1>
          <xm:sqref>FUM5:FUM28</xm:sqref>
        </x14:dataValidation>
        <x14:dataValidation type="list" allowBlank="1" showInputMessage="1" showErrorMessage="1" xr:uid="{00000000-0002-0000-0300-000012000000}">
          <x14:formula1>
            <xm:f>項目!C1:$GEA$17</xm:f>
          </x14:formula1>
          <xm:sqref>GEI5:GEI28</xm:sqref>
        </x14:dataValidation>
        <x14:dataValidation type="list" allowBlank="1" showInputMessage="1" showErrorMessage="1" xr:uid="{00000000-0002-0000-0300-000013000000}">
          <x14:formula1>
            <xm:f>項目!C1:$GNW$17</xm:f>
          </x14:formula1>
          <xm:sqref>GOE5:GOE28</xm:sqref>
        </x14:dataValidation>
        <x14:dataValidation type="list" allowBlank="1" showInputMessage="1" showErrorMessage="1" xr:uid="{00000000-0002-0000-0300-000014000000}">
          <x14:formula1>
            <xm:f>項目!C1:$GXS$17</xm:f>
          </x14:formula1>
          <xm:sqref>GYA5:GYA28</xm:sqref>
        </x14:dataValidation>
        <x14:dataValidation type="list" allowBlank="1" showInputMessage="1" showErrorMessage="1" xr:uid="{00000000-0002-0000-0300-000015000000}">
          <x14:formula1>
            <xm:f>項目!C1:$HHO$17</xm:f>
          </x14:formula1>
          <xm:sqref>HHW5:HHW28</xm:sqref>
        </x14:dataValidation>
        <x14:dataValidation type="list" allowBlank="1" showInputMessage="1" showErrorMessage="1" xr:uid="{00000000-0002-0000-0300-000016000000}">
          <x14:formula1>
            <xm:f>項目!C1:$HRK$17</xm:f>
          </x14:formula1>
          <xm:sqref>HRS5:HRS28</xm:sqref>
        </x14:dataValidation>
        <x14:dataValidation type="list" allowBlank="1" showInputMessage="1" showErrorMessage="1" xr:uid="{00000000-0002-0000-0300-000017000000}">
          <x14:formula1>
            <xm:f>項目!C1:$IBG$17</xm:f>
          </x14:formula1>
          <xm:sqref>IBO5:IBO28</xm:sqref>
        </x14:dataValidation>
        <x14:dataValidation type="list" allowBlank="1" showInputMessage="1" showErrorMessage="1" xr:uid="{00000000-0002-0000-0300-000018000000}">
          <x14:formula1>
            <xm:f>項目!C1:$ILC$17</xm:f>
          </x14:formula1>
          <xm:sqref>ILK5:ILK28</xm:sqref>
        </x14:dataValidation>
        <x14:dataValidation type="list" allowBlank="1" showInputMessage="1" showErrorMessage="1" xr:uid="{00000000-0002-0000-0300-000019000000}">
          <x14:formula1>
            <xm:f>項目!C1:$IUY$17</xm:f>
          </x14:formula1>
          <xm:sqref>IVG5:IVG28</xm:sqref>
        </x14:dataValidation>
        <x14:dataValidation type="list" allowBlank="1" showInputMessage="1" showErrorMessage="1" xr:uid="{00000000-0002-0000-0300-00001A000000}">
          <x14:formula1>
            <xm:f>項目!C1:$JEU$17</xm:f>
          </x14:formula1>
          <xm:sqref>JFC5:JFC28</xm:sqref>
        </x14:dataValidation>
        <x14:dataValidation type="list" allowBlank="1" showInputMessage="1" showErrorMessage="1" xr:uid="{00000000-0002-0000-0300-00001B000000}">
          <x14:formula1>
            <xm:f>項目!C1:$JOQ$17</xm:f>
          </x14:formula1>
          <xm:sqref>JOY5:JOY28</xm:sqref>
        </x14:dataValidation>
        <x14:dataValidation type="list" allowBlank="1" showInputMessage="1" showErrorMessage="1" xr:uid="{00000000-0002-0000-0300-00001C000000}">
          <x14:formula1>
            <xm:f>項目!C1:$JYM$17</xm:f>
          </x14:formula1>
          <xm:sqref>JYU5:JYU28</xm:sqref>
        </x14:dataValidation>
        <x14:dataValidation type="list" allowBlank="1" showInputMessage="1" showErrorMessage="1" xr:uid="{00000000-0002-0000-0300-00001D000000}">
          <x14:formula1>
            <xm:f>項目!C1:$KII$17</xm:f>
          </x14:formula1>
          <xm:sqref>KIQ5:KIQ28</xm:sqref>
        </x14:dataValidation>
        <x14:dataValidation type="list" allowBlank="1" showInputMessage="1" showErrorMessage="1" xr:uid="{00000000-0002-0000-0300-00001E000000}">
          <x14:formula1>
            <xm:f>項目!C1:$KSE$17</xm:f>
          </x14:formula1>
          <xm:sqref>KSM5:KSM28</xm:sqref>
        </x14:dataValidation>
        <x14:dataValidation type="list" allowBlank="1" showInputMessage="1" showErrorMessage="1" xr:uid="{00000000-0002-0000-0300-00001F000000}">
          <x14:formula1>
            <xm:f>項目!C1:$LCA$17</xm:f>
          </x14:formula1>
          <xm:sqref>LCI5:LCI28</xm:sqref>
        </x14:dataValidation>
        <x14:dataValidation type="list" allowBlank="1" showInputMessage="1" showErrorMessage="1" xr:uid="{00000000-0002-0000-0300-000020000000}">
          <x14:formula1>
            <xm:f>項目!C1:$LLW$17</xm:f>
          </x14:formula1>
          <xm:sqref>LME5:LME28</xm:sqref>
        </x14:dataValidation>
        <x14:dataValidation type="list" allowBlank="1" showInputMessage="1" showErrorMessage="1" xr:uid="{00000000-0002-0000-0300-000021000000}">
          <x14:formula1>
            <xm:f>項目!C1:$LVS$17</xm:f>
          </x14:formula1>
          <xm:sqref>LWA5:LWA28</xm:sqref>
        </x14:dataValidation>
        <x14:dataValidation type="list" allowBlank="1" showInputMessage="1" showErrorMessage="1" xr:uid="{00000000-0002-0000-0300-000022000000}">
          <x14:formula1>
            <xm:f>項目!C1:$MFO$17</xm:f>
          </x14:formula1>
          <xm:sqref>MFW5:MFW28</xm:sqref>
        </x14:dataValidation>
        <x14:dataValidation type="list" allowBlank="1" showInputMessage="1" showErrorMessage="1" xr:uid="{00000000-0002-0000-0300-000023000000}">
          <x14:formula1>
            <xm:f>項目!C1:$MPK$17</xm:f>
          </x14:formula1>
          <xm:sqref>MPS5:MPS28</xm:sqref>
        </x14:dataValidation>
        <x14:dataValidation type="list" allowBlank="1" showInputMessage="1" showErrorMessage="1" xr:uid="{00000000-0002-0000-0300-000024000000}">
          <x14:formula1>
            <xm:f>項目!C1:$MZG$17</xm:f>
          </x14:formula1>
          <xm:sqref>MZO5:MZO28</xm:sqref>
        </x14:dataValidation>
        <x14:dataValidation type="list" allowBlank="1" showInputMessage="1" showErrorMessage="1" xr:uid="{00000000-0002-0000-0300-000025000000}">
          <x14:formula1>
            <xm:f>項目!C1:$NJC$17</xm:f>
          </x14:formula1>
          <xm:sqref>NJK5:NJK28</xm:sqref>
        </x14:dataValidation>
        <x14:dataValidation type="list" allowBlank="1" showInputMessage="1" showErrorMessage="1" xr:uid="{00000000-0002-0000-0300-000026000000}">
          <x14:formula1>
            <xm:f>項目!C1:$NSY$17</xm:f>
          </x14:formula1>
          <xm:sqref>NTG5:NTG28</xm:sqref>
        </x14:dataValidation>
        <x14:dataValidation type="list" allowBlank="1" showInputMessage="1" showErrorMessage="1" xr:uid="{00000000-0002-0000-0300-000027000000}">
          <x14:formula1>
            <xm:f>項目!C1:$OCU$17</xm:f>
          </x14:formula1>
          <xm:sqref>ODC5:ODC28</xm:sqref>
        </x14:dataValidation>
        <x14:dataValidation type="list" allowBlank="1" showInputMessage="1" showErrorMessage="1" xr:uid="{00000000-0002-0000-0300-000028000000}">
          <x14:formula1>
            <xm:f>項目!C1:$OMQ$17</xm:f>
          </x14:formula1>
          <xm:sqref>OMY5:OMY28</xm:sqref>
        </x14:dataValidation>
        <x14:dataValidation type="list" allowBlank="1" showInputMessage="1" showErrorMessage="1" xr:uid="{00000000-0002-0000-0300-000029000000}">
          <x14:formula1>
            <xm:f>項目!C1:$OWM$17</xm:f>
          </x14:formula1>
          <xm:sqref>OWU5:OWU28</xm:sqref>
        </x14:dataValidation>
        <x14:dataValidation type="list" allowBlank="1" showInputMessage="1" showErrorMessage="1" xr:uid="{00000000-0002-0000-0300-00002A000000}">
          <x14:formula1>
            <xm:f>項目!C1:$PGI$17</xm:f>
          </x14:formula1>
          <xm:sqref>PGQ5:PGQ28</xm:sqref>
        </x14:dataValidation>
        <x14:dataValidation type="list" allowBlank="1" showInputMessage="1" showErrorMessage="1" xr:uid="{00000000-0002-0000-0300-00002B000000}">
          <x14:formula1>
            <xm:f>項目!C1:$PQE$17</xm:f>
          </x14:formula1>
          <xm:sqref>PQM5:PQM28</xm:sqref>
        </x14:dataValidation>
        <x14:dataValidation type="list" allowBlank="1" showInputMessage="1" showErrorMessage="1" xr:uid="{00000000-0002-0000-0300-00002C000000}">
          <x14:formula1>
            <xm:f>項目!C1:$QAA$17</xm:f>
          </x14:formula1>
          <xm:sqref>QAI5:QAI28</xm:sqref>
        </x14:dataValidation>
        <x14:dataValidation type="list" allowBlank="1" showInputMessage="1" showErrorMessage="1" xr:uid="{00000000-0002-0000-0300-00002D000000}">
          <x14:formula1>
            <xm:f>項目!C1:$QJW$17</xm:f>
          </x14:formula1>
          <xm:sqref>QKE5:QKE28</xm:sqref>
        </x14:dataValidation>
        <x14:dataValidation type="list" allowBlank="1" showInputMessage="1" showErrorMessage="1" xr:uid="{00000000-0002-0000-0300-00002E000000}">
          <x14:formula1>
            <xm:f>項目!C1:$QTS$17</xm:f>
          </x14:formula1>
          <xm:sqref>QUA5:QUA28</xm:sqref>
        </x14:dataValidation>
        <x14:dataValidation type="list" allowBlank="1" showInputMessage="1" showErrorMessage="1" xr:uid="{00000000-0002-0000-0300-00002F000000}">
          <x14:formula1>
            <xm:f>項目!C1:$RDO$17</xm:f>
          </x14:formula1>
          <xm:sqref>RDW5:RDW28</xm:sqref>
        </x14:dataValidation>
        <x14:dataValidation type="list" allowBlank="1" showInputMessage="1" showErrorMessage="1" xr:uid="{00000000-0002-0000-0300-000030000000}">
          <x14:formula1>
            <xm:f>項目!C1:$RNK$17</xm:f>
          </x14:formula1>
          <xm:sqref>RNS5:RNS28</xm:sqref>
        </x14:dataValidation>
        <x14:dataValidation type="list" allowBlank="1" showInputMessage="1" showErrorMessage="1" xr:uid="{00000000-0002-0000-0300-000031000000}">
          <x14:formula1>
            <xm:f>項目!C1:$RXG$17</xm:f>
          </x14:formula1>
          <xm:sqref>RXO5:RXO28</xm:sqref>
        </x14:dataValidation>
        <x14:dataValidation type="list" allowBlank="1" showInputMessage="1" showErrorMessage="1" xr:uid="{00000000-0002-0000-0300-000032000000}">
          <x14:formula1>
            <xm:f>項目!C1:$SHC$17</xm:f>
          </x14:formula1>
          <xm:sqref>SHK5:SHK28</xm:sqref>
        </x14:dataValidation>
        <x14:dataValidation type="list" allowBlank="1" showInputMessage="1" showErrorMessage="1" xr:uid="{00000000-0002-0000-0300-000033000000}">
          <x14:formula1>
            <xm:f>項目!C1:$SQY$17</xm:f>
          </x14:formula1>
          <xm:sqref>SRG5:SRG28</xm:sqref>
        </x14:dataValidation>
        <x14:dataValidation type="list" allowBlank="1" showInputMessage="1" showErrorMessage="1" xr:uid="{00000000-0002-0000-0300-000034000000}">
          <x14:formula1>
            <xm:f>項目!C1:$TAU$17</xm:f>
          </x14:formula1>
          <xm:sqref>TBC5:TBC28</xm:sqref>
        </x14:dataValidation>
        <x14:dataValidation type="list" allowBlank="1" showInputMessage="1" showErrorMessage="1" xr:uid="{00000000-0002-0000-0300-000035000000}">
          <x14:formula1>
            <xm:f>項目!C1:$TKQ$17</xm:f>
          </x14:formula1>
          <xm:sqref>TKY5:TKY28</xm:sqref>
        </x14:dataValidation>
        <x14:dataValidation type="list" allowBlank="1" showInputMessage="1" showErrorMessage="1" xr:uid="{00000000-0002-0000-0300-000036000000}">
          <x14:formula1>
            <xm:f>項目!C1:$TUM$17</xm:f>
          </x14:formula1>
          <xm:sqref>TUU5:TUU28</xm:sqref>
        </x14:dataValidation>
        <x14:dataValidation type="list" allowBlank="1" showInputMessage="1" showErrorMessage="1" xr:uid="{00000000-0002-0000-0300-000037000000}">
          <x14:formula1>
            <xm:f>項目!C1:$UEI$17</xm:f>
          </x14:formula1>
          <xm:sqref>UEQ5:UEQ28</xm:sqref>
        </x14:dataValidation>
        <x14:dataValidation type="list" allowBlank="1" showInputMessage="1" showErrorMessage="1" xr:uid="{00000000-0002-0000-0300-000038000000}">
          <x14:formula1>
            <xm:f>項目!C1:$UOE$17</xm:f>
          </x14:formula1>
          <xm:sqref>UOM5:UOM28</xm:sqref>
        </x14:dataValidation>
        <x14:dataValidation type="list" allowBlank="1" showInputMessage="1" showErrorMessage="1" xr:uid="{00000000-0002-0000-0300-000039000000}">
          <x14:formula1>
            <xm:f>項目!C1:$UYA$17</xm:f>
          </x14:formula1>
          <xm:sqref>UYI5:UYI28</xm:sqref>
        </x14:dataValidation>
        <x14:dataValidation type="list" allowBlank="1" showInputMessage="1" showErrorMessage="1" xr:uid="{00000000-0002-0000-0300-00003A000000}">
          <x14:formula1>
            <xm:f>項目!C1:$VHW$17</xm:f>
          </x14:formula1>
          <xm:sqref>VIE5:VIE28</xm:sqref>
        </x14:dataValidation>
        <x14:dataValidation type="list" allowBlank="1" showInputMessage="1" showErrorMessage="1" xr:uid="{00000000-0002-0000-0300-00003B000000}">
          <x14:formula1>
            <xm:f>項目!C1:$VRS$17</xm:f>
          </x14:formula1>
          <xm:sqref>VSA5:VSA28</xm:sqref>
        </x14:dataValidation>
        <x14:dataValidation type="list" allowBlank="1" showInputMessage="1" showErrorMessage="1" xr:uid="{00000000-0002-0000-0300-00003C000000}">
          <x14:formula1>
            <xm:f>項目!C1:$WBO$17</xm:f>
          </x14:formula1>
          <xm:sqref>WBW5:WBW28</xm:sqref>
        </x14:dataValidation>
        <x14:dataValidation type="list" allowBlank="1" showInputMessage="1" showErrorMessage="1" xr:uid="{00000000-0002-0000-0300-00003D000000}">
          <x14:formula1>
            <xm:f>項目!C1:$WLK$17</xm:f>
          </x14:formula1>
          <xm:sqref>WLS5:WLS28</xm:sqref>
        </x14:dataValidation>
        <x14:dataValidation type="list" allowBlank="1" showInputMessage="1" showErrorMessage="1" xr:uid="{00000000-0002-0000-0300-00003E000000}">
          <x14:formula1>
            <xm:f>項目!C1:$WVG$17</xm:f>
          </x14:formula1>
          <xm:sqref>WVO5:WVO28</xm:sqref>
        </x14:dataValidation>
        <x14:dataValidation type="list" allowBlank="1" showInputMessage="1" showErrorMessage="1" xr:uid="{00000000-0002-0000-0300-00003F000000}">
          <x14:formula1>
            <xm:f>項目!C17:$IU$65537</xm:f>
          </x14:formula1>
          <xm:sqref>JC65541:JC65564</xm:sqref>
        </x14:dataValidation>
        <x14:dataValidation type="list" allowBlank="1" showInputMessage="1" showErrorMessage="1" xr:uid="{00000000-0002-0000-0300-000040000000}">
          <x14:formula1>
            <xm:f>項目!C17:$SQ$65537</xm:f>
          </x14:formula1>
          <xm:sqref>SY65541:SY65564</xm:sqref>
        </x14:dataValidation>
        <x14:dataValidation type="list" allowBlank="1" showInputMessage="1" showErrorMessage="1" xr:uid="{00000000-0002-0000-0300-000041000000}">
          <x14:formula1>
            <xm:f>項目!C17:$ACM$65537</xm:f>
          </x14:formula1>
          <xm:sqref>ACU65541:ACU65564</xm:sqref>
        </x14:dataValidation>
        <x14:dataValidation type="list" allowBlank="1" showInputMessage="1" showErrorMessage="1" xr:uid="{00000000-0002-0000-0300-000042000000}">
          <x14:formula1>
            <xm:f>項目!C17:$AMI$65537</xm:f>
          </x14:formula1>
          <xm:sqref>AMQ65541:AMQ65564</xm:sqref>
        </x14:dataValidation>
        <x14:dataValidation type="list" allowBlank="1" showInputMessage="1" showErrorMessage="1" xr:uid="{00000000-0002-0000-0300-000043000000}">
          <x14:formula1>
            <xm:f>項目!C17:$AWE$65537</xm:f>
          </x14:formula1>
          <xm:sqref>AWM65541:AWM65564</xm:sqref>
        </x14:dataValidation>
        <x14:dataValidation type="list" allowBlank="1" showInputMessage="1" showErrorMessage="1" xr:uid="{00000000-0002-0000-0300-000044000000}">
          <x14:formula1>
            <xm:f>項目!C17:$BGA$65537</xm:f>
          </x14:formula1>
          <xm:sqref>BGI65541:BGI65564</xm:sqref>
        </x14:dataValidation>
        <x14:dataValidation type="list" allowBlank="1" showInputMessage="1" showErrorMessage="1" xr:uid="{00000000-0002-0000-0300-000045000000}">
          <x14:formula1>
            <xm:f>項目!C17:$BPW$65537</xm:f>
          </x14:formula1>
          <xm:sqref>BQE65541:BQE65564</xm:sqref>
        </x14:dataValidation>
        <x14:dataValidation type="list" allowBlank="1" showInputMessage="1" showErrorMessage="1" xr:uid="{00000000-0002-0000-0300-000046000000}">
          <x14:formula1>
            <xm:f>項目!C17:$BZS$65537</xm:f>
          </x14:formula1>
          <xm:sqref>CAA65541:CAA65564</xm:sqref>
        </x14:dataValidation>
        <x14:dataValidation type="list" allowBlank="1" showInputMessage="1" showErrorMessage="1" xr:uid="{00000000-0002-0000-0300-000047000000}">
          <x14:formula1>
            <xm:f>項目!C17:$CJO$65537</xm:f>
          </x14:formula1>
          <xm:sqref>CJW65541:CJW65564</xm:sqref>
        </x14:dataValidation>
        <x14:dataValidation type="list" allowBlank="1" showInputMessage="1" showErrorMessage="1" xr:uid="{00000000-0002-0000-0300-000048000000}">
          <x14:formula1>
            <xm:f>項目!C17:$CTK$65537</xm:f>
          </x14:formula1>
          <xm:sqref>CTS65541:CTS65564</xm:sqref>
        </x14:dataValidation>
        <x14:dataValidation type="list" allowBlank="1" showInputMessage="1" showErrorMessage="1" xr:uid="{00000000-0002-0000-0300-000049000000}">
          <x14:formula1>
            <xm:f>項目!C17:$DDG$65537</xm:f>
          </x14:formula1>
          <xm:sqref>DDO65541:DDO65564</xm:sqref>
        </x14:dataValidation>
        <x14:dataValidation type="list" allowBlank="1" showInputMessage="1" showErrorMessage="1" xr:uid="{00000000-0002-0000-0300-00004A000000}">
          <x14:formula1>
            <xm:f>項目!C17:$DNC$65537</xm:f>
          </x14:formula1>
          <xm:sqref>DNK65541:DNK65564</xm:sqref>
        </x14:dataValidation>
        <x14:dataValidation type="list" allowBlank="1" showInputMessage="1" showErrorMessage="1" xr:uid="{00000000-0002-0000-0300-00004B000000}">
          <x14:formula1>
            <xm:f>項目!C17:$DWY$65537</xm:f>
          </x14:formula1>
          <xm:sqref>DXG65541:DXG65564</xm:sqref>
        </x14:dataValidation>
        <x14:dataValidation type="list" allowBlank="1" showInputMessage="1" showErrorMessage="1" xr:uid="{00000000-0002-0000-0300-00004C000000}">
          <x14:formula1>
            <xm:f>項目!C17:$EGU$65537</xm:f>
          </x14:formula1>
          <xm:sqref>EHC65541:EHC65564</xm:sqref>
        </x14:dataValidation>
        <x14:dataValidation type="list" allowBlank="1" showInputMessage="1" showErrorMessage="1" xr:uid="{00000000-0002-0000-0300-00004D000000}">
          <x14:formula1>
            <xm:f>項目!C17:$EQQ$65537</xm:f>
          </x14:formula1>
          <xm:sqref>EQY65541:EQY65564</xm:sqref>
        </x14:dataValidation>
        <x14:dataValidation type="list" allowBlank="1" showInputMessage="1" showErrorMessage="1" xr:uid="{00000000-0002-0000-0300-00004E000000}">
          <x14:formula1>
            <xm:f>項目!C17:$FAM$65537</xm:f>
          </x14:formula1>
          <xm:sqref>FAU65541:FAU65564</xm:sqref>
        </x14:dataValidation>
        <x14:dataValidation type="list" allowBlank="1" showInputMessage="1" showErrorMessage="1" xr:uid="{00000000-0002-0000-0300-00004F000000}">
          <x14:formula1>
            <xm:f>項目!C17:$FKI$65537</xm:f>
          </x14:formula1>
          <xm:sqref>FKQ65541:FKQ65564</xm:sqref>
        </x14:dataValidation>
        <x14:dataValidation type="list" allowBlank="1" showInputMessage="1" showErrorMessage="1" xr:uid="{00000000-0002-0000-0300-000050000000}">
          <x14:formula1>
            <xm:f>項目!C17:$FUE$65537</xm:f>
          </x14:formula1>
          <xm:sqref>FUM65541:FUM65564</xm:sqref>
        </x14:dataValidation>
        <x14:dataValidation type="list" allowBlank="1" showInputMessage="1" showErrorMessage="1" xr:uid="{00000000-0002-0000-0300-000051000000}">
          <x14:formula1>
            <xm:f>項目!C17:$GEA$65537</xm:f>
          </x14:formula1>
          <xm:sqref>GEI65541:GEI65564</xm:sqref>
        </x14:dataValidation>
        <x14:dataValidation type="list" allowBlank="1" showInputMessage="1" showErrorMessage="1" xr:uid="{00000000-0002-0000-0300-000052000000}">
          <x14:formula1>
            <xm:f>項目!C17:$GNW$65537</xm:f>
          </x14:formula1>
          <xm:sqref>GOE65541:GOE65564</xm:sqref>
        </x14:dataValidation>
        <x14:dataValidation type="list" allowBlank="1" showInputMessage="1" showErrorMessage="1" xr:uid="{00000000-0002-0000-0300-000053000000}">
          <x14:formula1>
            <xm:f>項目!C17:$GXS$65537</xm:f>
          </x14:formula1>
          <xm:sqref>GYA65541:GYA65564</xm:sqref>
        </x14:dataValidation>
        <x14:dataValidation type="list" allowBlank="1" showInputMessage="1" showErrorMessage="1" xr:uid="{00000000-0002-0000-0300-000054000000}">
          <x14:formula1>
            <xm:f>項目!C17:$HHO$65537</xm:f>
          </x14:formula1>
          <xm:sqref>HHW65541:HHW65564</xm:sqref>
        </x14:dataValidation>
        <x14:dataValidation type="list" allowBlank="1" showInputMessage="1" showErrorMessage="1" xr:uid="{00000000-0002-0000-0300-000055000000}">
          <x14:formula1>
            <xm:f>項目!C17:$HRK$65537</xm:f>
          </x14:formula1>
          <xm:sqref>HRS65541:HRS65564</xm:sqref>
        </x14:dataValidation>
        <x14:dataValidation type="list" allowBlank="1" showInputMessage="1" showErrorMessage="1" xr:uid="{00000000-0002-0000-0300-000056000000}">
          <x14:formula1>
            <xm:f>項目!C17:$IBG$65537</xm:f>
          </x14:formula1>
          <xm:sqref>IBO65541:IBO65564</xm:sqref>
        </x14:dataValidation>
        <x14:dataValidation type="list" allowBlank="1" showInputMessage="1" showErrorMessage="1" xr:uid="{00000000-0002-0000-0300-000057000000}">
          <x14:formula1>
            <xm:f>項目!C17:$ILC$65537</xm:f>
          </x14:formula1>
          <xm:sqref>ILK65541:ILK65564</xm:sqref>
        </x14:dataValidation>
        <x14:dataValidation type="list" allowBlank="1" showInputMessage="1" showErrorMessage="1" xr:uid="{00000000-0002-0000-0300-000058000000}">
          <x14:formula1>
            <xm:f>項目!C17:$IUY$65537</xm:f>
          </x14:formula1>
          <xm:sqref>IVG65541:IVG65564</xm:sqref>
        </x14:dataValidation>
        <x14:dataValidation type="list" allowBlank="1" showInputMessage="1" showErrorMessage="1" xr:uid="{00000000-0002-0000-0300-000059000000}">
          <x14:formula1>
            <xm:f>項目!C17:$JEU$65537</xm:f>
          </x14:formula1>
          <xm:sqref>JFC65541:JFC65564</xm:sqref>
        </x14:dataValidation>
        <x14:dataValidation type="list" allowBlank="1" showInputMessage="1" showErrorMessage="1" xr:uid="{00000000-0002-0000-0300-00005A000000}">
          <x14:formula1>
            <xm:f>項目!C17:$JOQ$65537</xm:f>
          </x14:formula1>
          <xm:sqref>JOY65541:JOY65564</xm:sqref>
        </x14:dataValidation>
        <x14:dataValidation type="list" allowBlank="1" showInputMessage="1" showErrorMessage="1" xr:uid="{00000000-0002-0000-0300-00005B000000}">
          <x14:formula1>
            <xm:f>項目!C17:$JYM$65537</xm:f>
          </x14:formula1>
          <xm:sqref>JYU65541:JYU65564</xm:sqref>
        </x14:dataValidation>
        <x14:dataValidation type="list" allowBlank="1" showInputMessage="1" showErrorMessage="1" xr:uid="{00000000-0002-0000-0300-00005C000000}">
          <x14:formula1>
            <xm:f>項目!C17:$KII$65537</xm:f>
          </x14:formula1>
          <xm:sqref>KIQ65541:KIQ65564</xm:sqref>
        </x14:dataValidation>
        <x14:dataValidation type="list" allowBlank="1" showInputMessage="1" showErrorMessage="1" xr:uid="{00000000-0002-0000-0300-00005D000000}">
          <x14:formula1>
            <xm:f>項目!C17:$KSE$65537</xm:f>
          </x14:formula1>
          <xm:sqref>KSM65541:KSM65564</xm:sqref>
        </x14:dataValidation>
        <x14:dataValidation type="list" allowBlank="1" showInputMessage="1" showErrorMessage="1" xr:uid="{00000000-0002-0000-0300-00005E000000}">
          <x14:formula1>
            <xm:f>項目!C17:$LCA$65537</xm:f>
          </x14:formula1>
          <xm:sqref>LCI65541:LCI65564</xm:sqref>
        </x14:dataValidation>
        <x14:dataValidation type="list" allowBlank="1" showInputMessage="1" showErrorMessage="1" xr:uid="{00000000-0002-0000-0300-00005F000000}">
          <x14:formula1>
            <xm:f>項目!C17:$LLW$65537</xm:f>
          </x14:formula1>
          <xm:sqref>LME65541:LME65564</xm:sqref>
        </x14:dataValidation>
        <x14:dataValidation type="list" allowBlank="1" showInputMessage="1" showErrorMessage="1" xr:uid="{00000000-0002-0000-0300-000060000000}">
          <x14:formula1>
            <xm:f>項目!C17:$LVS$65537</xm:f>
          </x14:formula1>
          <xm:sqref>LWA65541:LWA65564</xm:sqref>
        </x14:dataValidation>
        <x14:dataValidation type="list" allowBlank="1" showInputMessage="1" showErrorMessage="1" xr:uid="{00000000-0002-0000-0300-000061000000}">
          <x14:formula1>
            <xm:f>項目!C17:$MFO$65537</xm:f>
          </x14:formula1>
          <xm:sqref>MFW65541:MFW65564</xm:sqref>
        </x14:dataValidation>
        <x14:dataValidation type="list" allowBlank="1" showInputMessage="1" showErrorMessage="1" xr:uid="{00000000-0002-0000-0300-000062000000}">
          <x14:formula1>
            <xm:f>項目!C17:$MPK$65537</xm:f>
          </x14:formula1>
          <xm:sqref>MPS65541:MPS65564</xm:sqref>
        </x14:dataValidation>
        <x14:dataValidation type="list" allowBlank="1" showInputMessage="1" showErrorMessage="1" xr:uid="{00000000-0002-0000-0300-000063000000}">
          <x14:formula1>
            <xm:f>項目!C17:$MZG$65537</xm:f>
          </x14:formula1>
          <xm:sqref>MZO65541:MZO65564</xm:sqref>
        </x14:dataValidation>
        <x14:dataValidation type="list" allowBlank="1" showInputMessage="1" showErrorMessage="1" xr:uid="{00000000-0002-0000-0300-000064000000}">
          <x14:formula1>
            <xm:f>項目!C17:$NJC$65537</xm:f>
          </x14:formula1>
          <xm:sqref>NJK65541:NJK65564</xm:sqref>
        </x14:dataValidation>
        <x14:dataValidation type="list" allowBlank="1" showInputMessage="1" showErrorMessage="1" xr:uid="{00000000-0002-0000-0300-000065000000}">
          <x14:formula1>
            <xm:f>項目!C17:$NSY$65537</xm:f>
          </x14:formula1>
          <xm:sqref>NTG65541:NTG65564</xm:sqref>
        </x14:dataValidation>
        <x14:dataValidation type="list" allowBlank="1" showInputMessage="1" showErrorMessage="1" xr:uid="{00000000-0002-0000-0300-000066000000}">
          <x14:formula1>
            <xm:f>項目!C17:$OCU$65537</xm:f>
          </x14:formula1>
          <xm:sqref>ODC65541:ODC65564</xm:sqref>
        </x14:dataValidation>
        <x14:dataValidation type="list" allowBlank="1" showInputMessage="1" showErrorMessage="1" xr:uid="{00000000-0002-0000-0300-000067000000}">
          <x14:formula1>
            <xm:f>項目!C17:$OMQ$65537</xm:f>
          </x14:formula1>
          <xm:sqref>OMY65541:OMY65564</xm:sqref>
        </x14:dataValidation>
        <x14:dataValidation type="list" allowBlank="1" showInputMessage="1" showErrorMessage="1" xr:uid="{00000000-0002-0000-0300-000068000000}">
          <x14:formula1>
            <xm:f>項目!C17:$OWM$65537</xm:f>
          </x14:formula1>
          <xm:sqref>OWU65541:OWU65564</xm:sqref>
        </x14:dataValidation>
        <x14:dataValidation type="list" allowBlank="1" showInputMessage="1" showErrorMessage="1" xr:uid="{00000000-0002-0000-0300-000069000000}">
          <x14:formula1>
            <xm:f>項目!C17:$PGI$65537</xm:f>
          </x14:formula1>
          <xm:sqref>PGQ65541:PGQ65564</xm:sqref>
        </x14:dataValidation>
        <x14:dataValidation type="list" allowBlank="1" showInputMessage="1" showErrorMessage="1" xr:uid="{00000000-0002-0000-0300-00006A000000}">
          <x14:formula1>
            <xm:f>項目!C17:$PQE$65537</xm:f>
          </x14:formula1>
          <xm:sqref>PQM65541:PQM65564</xm:sqref>
        </x14:dataValidation>
        <x14:dataValidation type="list" allowBlank="1" showInputMessage="1" showErrorMessage="1" xr:uid="{00000000-0002-0000-0300-00006B000000}">
          <x14:formula1>
            <xm:f>項目!C17:$QAA$65537</xm:f>
          </x14:formula1>
          <xm:sqref>QAI65541:QAI65564</xm:sqref>
        </x14:dataValidation>
        <x14:dataValidation type="list" allowBlank="1" showInputMessage="1" showErrorMessage="1" xr:uid="{00000000-0002-0000-0300-00006C000000}">
          <x14:formula1>
            <xm:f>項目!C17:$QJW$65537</xm:f>
          </x14:formula1>
          <xm:sqref>QKE65541:QKE65564</xm:sqref>
        </x14:dataValidation>
        <x14:dataValidation type="list" allowBlank="1" showInputMessage="1" showErrorMessage="1" xr:uid="{00000000-0002-0000-0300-00006D000000}">
          <x14:formula1>
            <xm:f>項目!C17:$QTS$65537</xm:f>
          </x14:formula1>
          <xm:sqref>QUA65541:QUA65564</xm:sqref>
        </x14:dataValidation>
        <x14:dataValidation type="list" allowBlank="1" showInputMessage="1" showErrorMessage="1" xr:uid="{00000000-0002-0000-0300-00006E000000}">
          <x14:formula1>
            <xm:f>項目!C17:$RDO$65537</xm:f>
          </x14:formula1>
          <xm:sqref>RDW65541:RDW65564</xm:sqref>
        </x14:dataValidation>
        <x14:dataValidation type="list" allowBlank="1" showInputMessage="1" showErrorMessage="1" xr:uid="{00000000-0002-0000-0300-00006F000000}">
          <x14:formula1>
            <xm:f>項目!C17:$RNK$65537</xm:f>
          </x14:formula1>
          <xm:sqref>RNS65541:RNS65564</xm:sqref>
        </x14:dataValidation>
        <x14:dataValidation type="list" allowBlank="1" showInputMessage="1" showErrorMessage="1" xr:uid="{00000000-0002-0000-0300-000070000000}">
          <x14:formula1>
            <xm:f>項目!C17:$RXG$65537</xm:f>
          </x14:formula1>
          <xm:sqref>RXO65541:RXO65564</xm:sqref>
        </x14:dataValidation>
        <x14:dataValidation type="list" allowBlank="1" showInputMessage="1" showErrorMessage="1" xr:uid="{00000000-0002-0000-0300-000071000000}">
          <x14:formula1>
            <xm:f>項目!C17:$SHC$65537</xm:f>
          </x14:formula1>
          <xm:sqref>SHK65541:SHK65564</xm:sqref>
        </x14:dataValidation>
        <x14:dataValidation type="list" allowBlank="1" showInputMessage="1" showErrorMessage="1" xr:uid="{00000000-0002-0000-0300-000072000000}">
          <x14:formula1>
            <xm:f>項目!C17:$SQY$65537</xm:f>
          </x14:formula1>
          <xm:sqref>SRG65541:SRG65564</xm:sqref>
        </x14:dataValidation>
        <x14:dataValidation type="list" allowBlank="1" showInputMessage="1" showErrorMessage="1" xr:uid="{00000000-0002-0000-0300-000073000000}">
          <x14:formula1>
            <xm:f>項目!C17:$TAU$65537</xm:f>
          </x14:formula1>
          <xm:sqref>TBC65541:TBC65564</xm:sqref>
        </x14:dataValidation>
        <x14:dataValidation type="list" allowBlank="1" showInputMessage="1" showErrorMessage="1" xr:uid="{00000000-0002-0000-0300-000074000000}">
          <x14:formula1>
            <xm:f>項目!C17:$TKQ$65537</xm:f>
          </x14:formula1>
          <xm:sqref>TKY65541:TKY65564</xm:sqref>
        </x14:dataValidation>
        <x14:dataValidation type="list" allowBlank="1" showInputMessage="1" showErrorMessage="1" xr:uid="{00000000-0002-0000-0300-000075000000}">
          <x14:formula1>
            <xm:f>項目!C17:$TUM$65537</xm:f>
          </x14:formula1>
          <xm:sqref>TUU65541:TUU65564</xm:sqref>
        </x14:dataValidation>
        <x14:dataValidation type="list" allowBlank="1" showInputMessage="1" showErrorMessage="1" xr:uid="{00000000-0002-0000-0300-000076000000}">
          <x14:formula1>
            <xm:f>項目!C17:$UEI$65537</xm:f>
          </x14:formula1>
          <xm:sqref>UEQ65541:UEQ65564</xm:sqref>
        </x14:dataValidation>
        <x14:dataValidation type="list" allowBlank="1" showInputMessage="1" showErrorMessage="1" xr:uid="{00000000-0002-0000-0300-000077000000}">
          <x14:formula1>
            <xm:f>項目!C17:$UOE$65537</xm:f>
          </x14:formula1>
          <xm:sqref>UOM65541:UOM65564</xm:sqref>
        </x14:dataValidation>
        <x14:dataValidation type="list" allowBlank="1" showInputMessage="1" showErrorMessage="1" xr:uid="{00000000-0002-0000-0300-000078000000}">
          <x14:formula1>
            <xm:f>項目!C17:$UYA$65537</xm:f>
          </x14:formula1>
          <xm:sqref>UYI65541:UYI65564</xm:sqref>
        </x14:dataValidation>
        <x14:dataValidation type="list" allowBlank="1" showInputMessage="1" showErrorMessage="1" xr:uid="{00000000-0002-0000-0300-000079000000}">
          <x14:formula1>
            <xm:f>項目!C17:$VHW$65537</xm:f>
          </x14:formula1>
          <xm:sqref>VIE65541:VIE65564</xm:sqref>
        </x14:dataValidation>
        <x14:dataValidation type="list" allowBlank="1" showInputMessage="1" showErrorMessage="1" xr:uid="{00000000-0002-0000-0300-00007A000000}">
          <x14:formula1>
            <xm:f>項目!C17:$VRS$65537</xm:f>
          </x14:formula1>
          <xm:sqref>VSA65541:VSA65564</xm:sqref>
        </x14:dataValidation>
        <x14:dataValidation type="list" allowBlank="1" showInputMessage="1" showErrorMessage="1" xr:uid="{00000000-0002-0000-0300-00007B000000}">
          <x14:formula1>
            <xm:f>項目!C17:$WBO$65537</xm:f>
          </x14:formula1>
          <xm:sqref>WBW65541:WBW65564</xm:sqref>
        </x14:dataValidation>
        <x14:dataValidation type="list" allowBlank="1" showInputMessage="1" showErrorMessage="1" xr:uid="{00000000-0002-0000-0300-00007C000000}">
          <x14:formula1>
            <xm:f>項目!C17:$WLK$65537</xm:f>
          </x14:formula1>
          <xm:sqref>WLS65541:WLS65564</xm:sqref>
        </x14:dataValidation>
        <x14:dataValidation type="list" allowBlank="1" showInputMessage="1" showErrorMessage="1" xr:uid="{00000000-0002-0000-0300-00007D000000}">
          <x14:formula1>
            <xm:f>項目!C17:$WVG$65537</xm:f>
          </x14:formula1>
          <xm:sqref>WVO65541:WVO65564</xm:sqref>
        </x14:dataValidation>
        <x14:dataValidation type="list" allowBlank="1" showInputMessage="1" showErrorMessage="1" xr:uid="{00000000-0002-0000-0300-00007E000000}">
          <x14:formula1>
            <xm:f>項目!C17:$IU$131073</xm:f>
          </x14:formula1>
          <xm:sqref>JC131077:JC131100</xm:sqref>
        </x14:dataValidation>
        <x14:dataValidation type="list" allowBlank="1" showInputMessage="1" showErrorMessage="1" xr:uid="{00000000-0002-0000-0300-00007F000000}">
          <x14:formula1>
            <xm:f>項目!C17:$SQ$131073</xm:f>
          </x14:formula1>
          <xm:sqref>SY131077:SY131100</xm:sqref>
        </x14:dataValidation>
        <x14:dataValidation type="list" allowBlank="1" showInputMessage="1" showErrorMessage="1" xr:uid="{00000000-0002-0000-0300-000080000000}">
          <x14:formula1>
            <xm:f>項目!C17:$ACM$131073</xm:f>
          </x14:formula1>
          <xm:sqref>ACU131077:ACU131100</xm:sqref>
        </x14:dataValidation>
        <x14:dataValidation type="list" allowBlank="1" showInputMessage="1" showErrorMessage="1" xr:uid="{00000000-0002-0000-0300-000081000000}">
          <x14:formula1>
            <xm:f>項目!C17:$AMI$131073</xm:f>
          </x14:formula1>
          <xm:sqref>AMQ131077:AMQ131100</xm:sqref>
        </x14:dataValidation>
        <x14:dataValidation type="list" allowBlank="1" showInputMessage="1" showErrorMessage="1" xr:uid="{00000000-0002-0000-0300-000082000000}">
          <x14:formula1>
            <xm:f>項目!C17:$AWE$131073</xm:f>
          </x14:formula1>
          <xm:sqref>AWM131077:AWM131100</xm:sqref>
        </x14:dataValidation>
        <x14:dataValidation type="list" allowBlank="1" showInputMessage="1" showErrorMessage="1" xr:uid="{00000000-0002-0000-0300-000083000000}">
          <x14:formula1>
            <xm:f>項目!C17:$BGA$131073</xm:f>
          </x14:formula1>
          <xm:sqref>BGI131077:BGI131100</xm:sqref>
        </x14:dataValidation>
        <x14:dataValidation type="list" allowBlank="1" showInputMessage="1" showErrorMessage="1" xr:uid="{00000000-0002-0000-0300-000084000000}">
          <x14:formula1>
            <xm:f>項目!C17:$BPW$131073</xm:f>
          </x14:formula1>
          <xm:sqref>BQE131077:BQE131100</xm:sqref>
        </x14:dataValidation>
        <x14:dataValidation type="list" allowBlank="1" showInputMessage="1" showErrorMessage="1" xr:uid="{00000000-0002-0000-0300-000085000000}">
          <x14:formula1>
            <xm:f>項目!C17:$BZS$131073</xm:f>
          </x14:formula1>
          <xm:sqref>CAA131077:CAA131100</xm:sqref>
        </x14:dataValidation>
        <x14:dataValidation type="list" allowBlank="1" showInputMessage="1" showErrorMessage="1" xr:uid="{00000000-0002-0000-0300-000086000000}">
          <x14:formula1>
            <xm:f>項目!C17:$CJO$131073</xm:f>
          </x14:formula1>
          <xm:sqref>CJW131077:CJW131100</xm:sqref>
        </x14:dataValidation>
        <x14:dataValidation type="list" allowBlank="1" showInputMessage="1" showErrorMessage="1" xr:uid="{00000000-0002-0000-0300-000087000000}">
          <x14:formula1>
            <xm:f>項目!C17:$CTK$131073</xm:f>
          </x14:formula1>
          <xm:sqref>CTS131077:CTS131100</xm:sqref>
        </x14:dataValidation>
        <x14:dataValidation type="list" allowBlank="1" showInputMessage="1" showErrorMessage="1" xr:uid="{00000000-0002-0000-0300-000088000000}">
          <x14:formula1>
            <xm:f>項目!C17:$DDG$131073</xm:f>
          </x14:formula1>
          <xm:sqref>DDO131077:DDO131100</xm:sqref>
        </x14:dataValidation>
        <x14:dataValidation type="list" allowBlank="1" showInputMessage="1" showErrorMessage="1" xr:uid="{00000000-0002-0000-0300-000089000000}">
          <x14:formula1>
            <xm:f>項目!C17:$DNC$131073</xm:f>
          </x14:formula1>
          <xm:sqref>DNK131077:DNK131100</xm:sqref>
        </x14:dataValidation>
        <x14:dataValidation type="list" allowBlank="1" showInputMessage="1" showErrorMessage="1" xr:uid="{00000000-0002-0000-0300-00008A000000}">
          <x14:formula1>
            <xm:f>項目!C17:$DWY$131073</xm:f>
          </x14:formula1>
          <xm:sqref>DXG131077:DXG131100</xm:sqref>
        </x14:dataValidation>
        <x14:dataValidation type="list" allowBlank="1" showInputMessage="1" showErrorMessage="1" xr:uid="{00000000-0002-0000-0300-00008B000000}">
          <x14:formula1>
            <xm:f>項目!C17:$EGU$131073</xm:f>
          </x14:formula1>
          <xm:sqref>EHC131077:EHC131100</xm:sqref>
        </x14:dataValidation>
        <x14:dataValidation type="list" allowBlank="1" showInputMessage="1" showErrorMessage="1" xr:uid="{00000000-0002-0000-0300-00008C000000}">
          <x14:formula1>
            <xm:f>項目!C17:$EQQ$131073</xm:f>
          </x14:formula1>
          <xm:sqref>EQY131077:EQY131100</xm:sqref>
        </x14:dataValidation>
        <x14:dataValidation type="list" allowBlank="1" showInputMessage="1" showErrorMessage="1" xr:uid="{00000000-0002-0000-0300-00008D000000}">
          <x14:formula1>
            <xm:f>項目!C17:$FAM$131073</xm:f>
          </x14:formula1>
          <xm:sqref>FAU131077:FAU131100</xm:sqref>
        </x14:dataValidation>
        <x14:dataValidation type="list" allowBlank="1" showInputMessage="1" showErrorMessage="1" xr:uid="{00000000-0002-0000-0300-00008E000000}">
          <x14:formula1>
            <xm:f>項目!C17:$FKI$131073</xm:f>
          </x14:formula1>
          <xm:sqref>FKQ131077:FKQ131100</xm:sqref>
        </x14:dataValidation>
        <x14:dataValidation type="list" allowBlank="1" showInputMessage="1" showErrorMessage="1" xr:uid="{00000000-0002-0000-0300-00008F000000}">
          <x14:formula1>
            <xm:f>項目!C17:$FUE$131073</xm:f>
          </x14:formula1>
          <xm:sqref>FUM131077:FUM131100</xm:sqref>
        </x14:dataValidation>
        <x14:dataValidation type="list" allowBlank="1" showInputMessage="1" showErrorMessage="1" xr:uid="{00000000-0002-0000-0300-000090000000}">
          <x14:formula1>
            <xm:f>項目!C17:$GEA$131073</xm:f>
          </x14:formula1>
          <xm:sqref>GEI131077:GEI131100</xm:sqref>
        </x14:dataValidation>
        <x14:dataValidation type="list" allowBlank="1" showInputMessage="1" showErrorMessage="1" xr:uid="{00000000-0002-0000-0300-000091000000}">
          <x14:formula1>
            <xm:f>項目!C17:$GNW$131073</xm:f>
          </x14:formula1>
          <xm:sqref>GOE131077:GOE131100</xm:sqref>
        </x14:dataValidation>
        <x14:dataValidation type="list" allowBlank="1" showInputMessage="1" showErrorMessage="1" xr:uid="{00000000-0002-0000-0300-000092000000}">
          <x14:formula1>
            <xm:f>項目!C17:$GXS$131073</xm:f>
          </x14:formula1>
          <xm:sqref>GYA131077:GYA131100</xm:sqref>
        </x14:dataValidation>
        <x14:dataValidation type="list" allowBlank="1" showInputMessage="1" showErrorMessage="1" xr:uid="{00000000-0002-0000-0300-000093000000}">
          <x14:formula1>
            <xm:f>項目!C17:$HHO$131073</xm:f>
          </x14:formula1>
          <xm:sqref>HHW131077:HHW131100</xm:sqref>
        </x14:dataValidation>
        <x14:dataValidation type="list" allowBlank="1" showInputMessage="1" showErrorMessage="1" xr:uid="{00000000-0002-0000-0300-000094000000}">
          <x14:formula1>
            <xm:f>項目!C17:$HRK$131073</xm:f>
          </x14:formula1>
          <xm:sqref>HRS131077:HRS131100</xm:sqref>
        </x14:dataValidation>
        <x14:dataValidation type="list" allowBlank="1" showInputMessage="1" showErrorMessage="1" xr:uid="{00000000-0002-0000-0300-000095000000}">
          <x14:formula1>
            <xm:f>項目!C17:$IBG$131073</xm:f>
          </x14:formula1>
          <xm:sqref>IBO131077:IBO131100</xm:sqref>
        </x14:dataValidation>
        <x14:dataValidation type="list" allowBlank="1" showInputMessage="1" showErrorMessage="1" xr:uid="{00000000-0002-0000-0300-000096000000}">
          <x14:formula1>
            <xm:f>項目!C17:$ILC$131073</xm:f>
          </x14:formula1>
          <xm:sqref>ILK131077:ILK131100</xm:sqref>
        </x14:dataValidation>
        <x14:dataValidation type="list" allowBlank="1" showInputMessage="1" showErrorMessage="1" xr:uid="{00000000-0002-0000-0300-000097000000}">
          <x14:formula1>
            <xm:f>項目!C17:$IUY$131073</xm:f>
          </x14:formula1>
          <xm:sqref>IVG131077:IVG131100</xm:sqref>
        </x14:dataValidation>
        <x14:dataValidation type="list" allowBlank="1" showInputMessage="1" showErrorMessage="1" xr:uid="{00000000-0002-0000-0300-000098000000}">
          <x14:formula1>
            <xm:f>項目!C17:$JEU$131073</xm:f>
          </x14:formula1>
          <xm:sqref>JFC131077:JFC131100</xm:sqref>
        </x14:dataValidation>
        <x14:dataValidation type="list" allowBlank="1" showInputMessage="1" showErrorMessage="1" xr:uid="{00000000-0002-0000-0300-000099000000}">
          <x14:formula1>
            <xm:f>項目!C17:$JOQ$131073</xm:f>
          </x14:formula1>
          <xm:sqref>JOY131077:JOY131100</xm:sqref>
        </x14:dataValidation>
        <x14:dataValidation type="list" allowBlank="1" showInputMessage="1" showErrorMessage="1" xr:uid="{00000000-0002-0000-0300-00009A000000}">
          <x14:formula1>
            <xm:f>項目!C17:$JYM$131073</xm:f>
          </x14:formula1>
          <xm:sqref>JYU131077:JYU131100</xm:sqref>
        </x14:dataValidation>
        <x14:dataValidation type="list" allowBlank="1" showInputMessage="1" showErrorMessage="1" xr:uid="{00000000-0002-0000-0300-00009B000000}">
          <x14:formula1>
            <xm:f>項目!C17:$KII$131073</xm:f>
          </x14:formula1>
          <xm:sqref>KIQ131077:KIQ131100</xm:sqref>
        </x14:dataValidation>
        <x14:dataValidation type="list" allowBlank="1" showInputMessage="1" showErrorMessage="1" xr:uid="{00000000-0002-0000-0300-00009C000000}">
          <x14:formula1>
            <xm:f>項目!C17:$KSE$131073</xm:f>
          </x14:formula1>
          <xm:sqref>KSM131077:KSM131100</xm:sqref>
        </x14:dataValidation>
        <x14:dataValidation type="list" allowBlank="1" showInputMessage="1" showErrorMessage="1" xr:uid="{00000000-0002-0000-0300-00009D000000}">
          <x14:formula1>
            <xm:f>項目!C17:$LCA$131073</xm:f>
          </x14:formula1>
          <xm:sqref>LCI131077:LCI131100</xm:sqref>
        </x14:dataValidation>
        <x14:dataValidation type="list" allowBlank="1" showInputMessage="1" showErrorMessage="1" xr:uid="{00000000-0002-0000-0300-00009E000000}">
          <x14:formula1>
            <xm:f>項目!C17:$LLW$131073</xm:f>
          </x14:formula1>
          <xm:sqref>LME131077:LME131100</xm:sqref>
        </x14:dataValidation>
        <x14:dataValidation type="list" allowBlank="1" showInputMessage="1" showErrorMessage="1" xr:uid="{00000000-0002-0000-0300-00009F000000}">
          <x14:formula1>
            <xm:f>項目!C17:$LVS$131073</xm:f>
          </x14:formula1>
          <xm:sqref>LWA131077:LWA131100</xm:sqref>
        </x14:dataValidation>
        <x14:dataValidation type="list" allowBlank="1" showInputMessage="1" showErrorMessage="1" xr:uid="{00000000-0002-0000-0300-0000A0000000}">
          <x14:formula1>
            <xm:f>項目!C17:$MFO$131073</xm:f>
          </x14:formula1>
          <xm:sqref>MFW131077:MFW131100</xm:sqref>
        </x14:dataValidation>
        <x14:dataValidation type="list" allowBlank="1" showInputMessage="1" showErrorMessage="1" xr:uid="{00000000-0002-0000-0300-0000A1000000}">
          <x14:formula1>
            <xm:f>項目!C17:$MPK$131073</xm:f>
          </x14:formula1>
          <xm:sqref>MPS131077:MPS131100</xm:sqref>
        </x14:dataValidation>
        <x14:dataValidation type="list" allowBlank="1" showInputMessage="1" showErrorMessage="1" xr:uid="{00000000-0002-0000-0300-0000A2000000}">
          <x14:formula1>
            <xm:f>項目!C17:$MZG$131073</xm:f>
          </x14:formula1>
          <xm:sqref>MZO131077:MZO131100</xm:sqref>
        </x14:dataValidation>
        <x14:dataValidation type="list" allowBlank="1" showInputMessage="1" showErrorMessage="1" xr:uid="{00000000-0002-0000-0300-0000A3000000}">
          <x14:formula1>
            <xm:f>項目!C17:$NJC$131073</xm:f>
          </x14:formula1>
          <xm:sqref>NJK131077:NJK131100</xm:sqref>
        </x14:dataValidation>
        <x14:dataValidation type="list" allowBlank="1" showInputMessage="1" showErrorMessage="1" xr:uid="{00000000-0002-0000-0300-0000A4000000}">
          <x14:formula1>
            <xm:f>項目!C17:$NSY$131073</xm:f>
          </x14:formula1>
          <xm:sqref>NTG131077:NTG131100</xm:sqref>
        </x14:dataValidation>
        <x14:dataValidation type="list" allowBlank="1" showInputMessage="1" showErrorMessage="1" xr:uid="{00000000-0002-0000-0300-0000A5000000}">
          <x14:formula1>
            <xm:f>項目!C17:$OCU$131073</xm:f>
          </x14:formula1>
          <xm:sqref>ODC131077:ODC131100</xm:sqref>
        </x14:dataValidation>
        <x14:dataValidation type="list" allowBlank="1" showInputMessage="1" showErrorMessage="1" xr:uid="{00000000-0002-0000-0300-0000A6000000}">
          <x14:formula1>
            <xm:f>項目!C17:$OMQ$131073</xm:f>
          </x14:formula1>
          <xm:sqref>OMY131077:OMY131100</xm:sqref>
        </x14:dataValidation>
        <x14:dataValidation type="list" allowBlank="1" showInputMessage="1" showErrorMessage="1" xr:uid="{00000000-0002-0000-0300-0000A7000000}">
          <x14:formula1>
            <xm:f>項目!C17:$OWM$131073</xm:f>
          </x14:formula1>
          <xm:sqref>OWU131077:OWU131100</xm:sqref>
        </x14:dataValidation>
        <x14:dataValidation type="list" allowBlank="1" showInputMessage="1" showErrorMessage="1" xr:uid="{00000000-0002-0000-0300-0000A8000000}">
          <x14:formula1>
            <xm:f>項目!C17:$PGI$131073</xm:f>
          </x14:formula1>
          <xm:sqref>PGQ131077:PGQ131100</xm:sqref>
        </x14:dataValidation>
        <x14:dataValidation type="list" allowBlank="1" showInputMessage="1" showErrorMessage="1" xr:uid="{00000000-0002-0000-0300-0000A9000000}">
          <x14:formula1>
            <xm:f>項目!C17:$PQE$131073</xm:f>
          </x14:formula1>
          <xm:sqref>PQM131077:PQM131100</xm:sqref>
        </x14:dataValidation>
        <x14:dataValidation type="list" allowBlank="1" showInputMessage="1" showErrorMessage="1" xr:uid="{00000000-0002-0000-0300-0000AA000000}">
          <x14:formula1>
            <xm:f>項目!C17:$QAA$131073</xm:f>
          </x14:formula1>
          <xm:sqref>QAI131077:QAI131100</xm:sqref>
        </x14:dataValidation>
        <x14:dataValidation type="list" allowBlank="1" showInputMessage="1" showErrorMessage="1" xr:uid="{00000000-0002-0000-0300-0000AB000000}">
          <x14:formula1>
            <xm:f>項目!C17:$QJW$131073</xm:f>
          </x14:formula1>
          <xm:sqref>QKE131077:QKE131100</xm:sqref>
        </x14:dataValidation>
        <x14:dataValidation type="list" allowBlank="1" showInputMessage="1" showErrorMessage="1" xr:uid="{00000000-0002-0000-0300-0000AC000000}">
          <x14:formula1>
            <xm:f>項目!C17:$QTS$131073</xm:f>
          </x14:formula1>
          <xm:sqref>QUA131077:QUA131100</xm:sqref>
        </x14:dataValidation>
        <x14:dataValidation type="list" allowBlank="1" showInputMessage="1" showErrorMessage="1" xr:uid="{00000000-0002-0000-0300-0000AD000000}">
          <x14:formula1>
            <xm:f>項目!C17:$RDO$131073</xm:f>
          </x14:formula1>
          <xm:sqref>RDW131077:RDW131100</xm:sqref>
        </x14:dataValidation>
        <x14:dataValidation type="list" allowBlank="1" showInputMessage="1" showErrorMessage="1" xr:uid="{00000000-0002-0000-0300-0000AE000000}">
          <x14:formula1>
            <xm:f>項目!C17:$RNK$131073</xm:f>
          </x14:formula1>
          <xm:sqref>RNS131077:RNS131100</xm:sqref>
        </x14:dataValidation>
        <x14:dataValidation type="list" allowBlank="1" showInputMessage="1" showErrorMessage="1" xr:uid="{00000000-0002-0000-0300-0000AF000000}">
          <x14:formula1>
            <xm:f>項目!C17:$RXG$131073</xm:f>
          </x14:formula1>
          <xm:sqref>RXO131077:RXO131100</xm:sqref>
        </x14:dataValidation>
        <x14:dataValidation type="list" allowBlank="1" showInputMessage="1" showErrorMessage="1" xr:uid="{00000000-0002-0000-0300-0000B0000000}">
          <x14:formula1>
            <xm:f>項目!C17:$SHC$131073</xm:f>
          </x14:formula1>
          <xm:sqref>SHK131077:SHK131100</xm:sqref>
        </x14:dataValidation>
        <x14:dataValidation type="list" allowBlank="1" showInputMessage="1" showErrorMessage="1" xr:uid="{00000000-0002-0000-0300-0000B1000000}">
          <x14:formula1>
            <xm:f>項目!C17:$SQY$131073</xm:f>
          </x14:formula1>
          <xm:sqref>SRG131077:SRG131100</xm:sqref>
        </x14:dataValidation>
        <x14:dataValidation type="list" allowBlank="1" showInputMessage="1" showErrorMessage="1" xr:uid="{00000000-0002-0000-0300-0000B2000000}">
          <x14:formula1>
            <xm:f>項目!C17:$TAU$131073</xm:f>
          </x14:formula1>
          <xm:sqref>TBC131077:TBC131100</xm:sqref>
        </x14:dataValidation>
        <x14:dataValidation type="list" allowBlank="1" showInputMessage="1" showErrorMessage="1" xr:uid="{00000000-0002-0000-0300-0000B3000000}">
          <x14:formula1>
            <xm:f>項目!C17:$TKQ$131073</xm:f>
          </x14:formula1>
          <xm:sqref>TKY131077:TKY131100</xm:sqref>
        </x14:dataValidation>
        <x14:dataValidation type="list" allowBlank="1" showInputMessage="1" showErrorMessage="1" xr:uid="{00000000-0002-0000-0300-0000B4000000}">
          <x14:formula1>
            <xm:f>項目!C17:$TUM$131073</xm:f>
          </x14:formula1>
          <xm:sqref>TUU131077:TUU131100</xm:sqref>
        </x14:dataValidation>
        <x14:dataValidation type="list" allowBlank="1" showInputMessage="1" showErrorMessage="1" xr:uid="{00000000-0002-0000-0300-0000B5000000}">
          <x14:formula1>
            <xm:f>項目!C17:$UEI$131073</xm:f>
          </x14:formula1>
          <xm:sqref>UEQ131077:UEQ131100</xm:sqref>
        </x14:dataValidation>
        <x14:dataValidation type="list" allowBlank="1" showInputMessage="1" showErrorMessage="1" xr:uid="{00000000-0002-0000-0300-0000B6000000}">
          <x14:formula1>
            <xm:f>項目!C17:$UOE$131073</xm:f>
          </x14:formula1>
          <xm:sqref>UOM131077:UOM131100</xm:sqref>
        </x14:dataValidation>
        <x14:dataValidation type="list" allowBlank="1" showInputMessage="1" showErrorMessage="1" xr:uid="{00000000-0002-0000-0300-0000B7000000}">
          <x14:formula1>
            <xm:f>項目!C17:$UYA$131073</xm:f>
          </x14:formula1>
          <xm:sqref>UYI131077:UYI131100</xm:sqref>
        </x14:dataValidation>
        <x14:dataValidation type="list" allowBlank="1" showInputMessage="1" showErrorMessage="1" xr:uid="{00000000-0002-0000-0300-0000B8000000}">
          <x14:formula1>
            <xm:f>項目!C17:$VHW$131073</xm:f>
          </x14:formula1>
          <xm:sqref>VIE131077:VIE131100</xm:sqref>
        </x14:dataValidation>
        <x14:dataValidation type="list" allowBlank="1" showInputMessage="1" showErrorMessage="1" xr:uid="{00000000-0002-0000-0300-0000B9000000}">
          <x14:formula1>
            <xm:f>項目!C17:$VRS$131073</xm:f>
          </x14:formula1>
          <xm:sqref>VSA131077:VSA131100</xm:sqref>
        </x14:dataValidation>
        <x14:dataValidation type="list" allowBlank="1" showInputMessage="1" showErrorMessage="1" xr:uid="{00000000-0002-0000-0300-0000BA000000}">
          <x14:formula1>
            <xm:f>項目!C17:$WBO$131073</xm:f>
          </x14:formula1>
          <xm:sqref>WBW131077:WBW131100</xm:sqref>
        </x14:dataValidation>
        <x14:dataValidation type="list" allowBlank="1" showInputMessage="1" showErrorMessage="1" xr:uid="{00000000-0002-0000-0300-0000BB000000}">
          <x14:formula1>
            <xm:f>項目!C17:$WLK$131073</xm:f>
          </x14:formula1>
          <xm:sqref>WLS131077:WLS131100</xm:sqref>
        </x14:dataValidation>
        <x14:dataValidation type="list" allowBlank="1" showInputMessage="1" showErrorMessage="1" xr:uid="{00000000-0002-0000-0300-0000BC000000}">
          <x14:formula1>
            <xm:f>項目!C17:$WVG$131073</xm:f>
          </x14:formula1>
          <xm:sqref>WVO131077:WVO131100</xm:sqref>
        </x14:dataValidation>
        <x14:dataValidation type="list" allowBlank="1" showInputMessage="1" showErrorMessage="1" xr:uid="{00000000-0002-0000-0300-0000BD000000}">
          <x14:formula1>
            <xm:f>項目!C17:$IU$196609</xm:f>
          </x14:formula1>
          <xm:sqref>JC196613:JC196636</xm:sqref>
        </x14:dataValidation>
        <x14:dataValidation type="list" allowBlank="1" showInputMessage="1" showErrorMessage="1" xr:uid="{00000000-0002-0000-0300-0000BE000000}">
          <x14:formula1>
            <xm:f>項目!C17:$SQ$196609</xm:f>
          </x14:formula1>
          <xm:sqref>SY196613:SY196636</xm:sqref>
        </x14:dataValidation>
        <x14:dataValidation type="list" allowBlank="1" showInputMessage="1" showErrorMessage="1" xr:uid="{00000000-0002-0000-0300-0000BF000000}">
          <x14:formula1>
            <xm:f>項目!C17:$ACM$196609</xm:f>
          </x14:formula1>
          <xm:sqref>ACU196613:ACU196636</xm:sqref>
        </x14:dataValidation>
        <x14:dataValidation type="list" allowBlank="1" showInputMessage="1" showErrorMessage="1" xr:uid="{00000000-0002-0000-0300-0000C0000000}">
          <x14:formula1>
            <xm:f>項目!C17:$AMI$196609</xm:f>
          </x14:formula1>
          <xm:sqref>AMQ196613:AMQ196636</xm:sqref>
        </x14:dataValidation>
        <x14:dataValidation type="list" allowBlank="1" showInputMessage="1" showErrorMessage="1" xr:uid="{00000000-0002-0000-0300-0000C1000000}">
          <x14:formula1>
            <xm:f>項目!C17:$AWE$196609</xm:f>
          </x14:formula1>
          <xm:sqref>AWM196613:AWM196636</xm:sqref>
        </x14:dataValidation>
        <x14:dataValidation type="list" allowBlank="1" showInputMessage="1" showErrorMessage="1" xr:uid="{00000000-0002-0000-0300-0000C2000000}">
          <x14:formula1>
            <xm:f>項目!C17:$BGA$196609</xm:f>
          </x14:formula1>
          <xm:sqref>BGI196613:BGI196636</xm:sqref>
        </x14:dataValidation>
        <x14:dataValidation type="list" allowBlank="1" showInputMessage="1" showErrorMessage="1" xr:uid="{00000000-0002-0000-0300-0000C3000000}">
          <x14:formula1>
            <xm:f>項目!C17:$BPW$196609</xm:f>
          </x14:formula1>
          <xm:sqref>BQE196613:BQE196636</xm:sqref>
        </x14:dataValidation>
        <x14:dataValidation type="list" allowBlank="1" showInputMessage="1" showErrorMessage="1" xr:uid="{00000000-0002-0000-0300-0000C4000000}">
          <x14:formula1>
            <xm:f>項目!C17:$BZS$196609</xm:f>
          </x14:formula1>
          <xm:sqref>CAA196613:CAA196636</xm:sqref>
        </x14:dataValidation>
        <x14:dataValidation type="list" allowBlank="1" showInputMessage="1" showErrorMessage="1" xr:uid="{00000000-0002-0000-0300-0000C5000000}">
          <x14:formula1>
            <xm:f>項目!C17:$CJO$196609</xm:f>
          </x14:formula1>
          <xm:sqref>CJW196613:CJW196636</xm:sqref>
        </x14:dataValidation>
        <x14:dataValidation type="list" allowBlank="1" showInputMessage="1" showErrorMessage="1" xr:uid="{00000000-0002-0000-0300-0000C6000000}">
          <x14:formula1>
            <xm:f>項目!C17:$CTK$196609</xm:f>
          </x14:formula1>
          <xm:sqref>CTS196613:CTS196636</xm:sqref>
        </x14:dataValidation>
        <x14:dataValidation type="list" allowBlank="1" showInputMessage="1" showErrorMessage="1" xr:uid="{00000000-0002-0000-0300-0000C7000000}">
          <x14:formula1>
            <xm:f>項目!C17:$DDG$196609</xm:f>
          </x14:formula1>
          <xm:sqref>DDO196613:DDO196636</xm:sqref>
        </x14:dataValidation>
        <x14:dataValidation type="list" allowBlank="1" showInputMessage="1" showErrorMessage="1" xr:uid="{00000000-0002-0000-0300-0000C8000000}">
          <x14:formula1>
            <xm:f>項目!C17:$DNC$196609</xm:f>
          </x14:formula1>
          <xm:sqref>DNK196613:DNK196636</xm:sqref>
        </x14:dataValidation>
        <x14:dataValidation type="list" allowBlank="1" showInputMessage="1" showErrorMessage="1" xr:uid="{00000000-0002-0000-0300-0000C9000000}">
          <x14:formula1>
            <xm:f>項目!C17:$DWY$196609</xm:f>
          </x14:formula1>
          <xm:sqref>DXG196613:DXG196636</xm:sqref>
        </x14:dataValidation>
        <x14:dataValidation type="list" allowBlank="1" showInputMessage="1" showErrorMessage="1" xr:uid="{00000000-0002-0000-0300-0000CA000000}">
          <x14:formula1>
            <xm:f>項目!C17:$EGU$196609</xm:f>
          </x14:formula1>
          <xm:sqref>EHC196613:EHC196636</xm:sqref>
        </x14:dataValidation>
        <x14:dataValidation type="list" allowBlank="1" showInputMessage="1" showErrorMessage="1" xr:uid="{00000000-0002-0000-0300-0000CB000000}">
          <x14:formula1>
            <xm:f>項目!C17:$EQQ$196609</xm:f>
          </x14:formula1>
          <xm:sqref>EQY196613:EQY196636</xm:sqref>
        </x14:dataValidation>
        <x14:dataValidation type="list" allowBlank="1" showInputMessage="1" showErrorMessage="1" xr:uid="{00000000-0002-0000-0300-0000CC000000}">
          <x14:formula1>
            <xm:f>項目!C17:$FAM$196609</xm:f>
          </x14:formula1>
          <xm:sqref>FAU196613:FAU196636</xm:sqref>
        </x14:dataValidation>
        <x14:dataValidation type="list" allowBlank="1" showInputMessage="1" showErrorMessage="1" xr:uid="{00000000-0002-0000-0300-0000CD000000}">
          <x14:formula1>
            <xm:f>項目!C17:$FKI$196609</xm:f>
          </x14:formula1>
          <xm:sqref>FKQ196613:FKQ196636</xm:sqref>
        </x14:dataValidation>
        <x14:dataValidation type="list" allowBlank="1" showInputMessage="1" showErrorMessage="1" xr:uid="{00000000-0002-0000-0300-0000CE000000}">
          <x14:formula1>
            <xm:f>項目!C17:$FUE$196609</xm:f>
          </x14:formula1>
          <xm:sqref>FUM196613:FUM196636</xm:sqref>
        </x14:dataValidation>
        <x14:dataValidation type="list" allowBlank="1" showInputMessage="1" showErrorMessage="1" xr:uid="{00000000-0002-0000-0300-0000CF000000}">
          <x14:formula1>
            <xm:f>項目!C17:$GEA$196609</xm:f>
          </x14:formula1>
          <xm:sqref>GEI196613:GEI196636</xm:sqref>
        </x14:dataValidation>
        <x14:dataValidation type="list" allowBlank="1" showInputMessage="1" showErrorMessage="1" xr:uid="{00000000-0002-0000-0300-0000D0000000}">
          <x14:formula1>
            <xm:f>項目!C17:$GNW$196609</xm:f>
          </x14:formula1>
          <xm:sqref>GOE196613:GOE196636</xm:sqref>
        </x14:dataValidation>
        <x14:dataValidation type="list" allowBlank="1" showInputMessage="1" showErrorMessage="1" xr:uid="{00000000-0002-0000-0300-0000D1000000}">
          <x14:formula1>
            <xm:f>項目!C17:$GXS$196609</xm:f>
          </x14:formula1>
          <xm:sqref>GYA196613:GYA196636</xm:sqref>
        </x14:dataValidation>
        <x14:dataValidation type="list" allowBlank="1" showInputMessage="1" showErrorMessage="1" xr:uid="{00000000-0002-0000-0300-0000D2000000}">
          <x14:formula1>
            <xm:f>項目!C17:$HHO$196609</xm:f>
          </x14:formula1>
          <xm:sqref>HHW196613:HHW196636</xm:sqref>
        </x14:dataValidation>
        <x14:dataValidation type="list" allowBlank="1" showInputMessage="1" showErrorMessage="1" xr:uid="{00000000-0002-0000-0300-0000D3000000}">
          <x14:formula1>
            <xm:f>項目!C17:$HRK$196609</xm:f>
          </x14:formula1>
          <xm:sqref>HRS196613:HRS196636</xm:sqref>
        </x14:dataValidation>
        <x14:dataValidation type="list" allowBlank="1" showInputMessage="1" showErrorMessage="1" xr:uid="{00000000-0002-0000-0300-0000D4000000}">
          <x14:formula1>
            <xm:f>項目!C17:$IBG$196609</xm:f>
          </x14:formula1>
          <xm:sqref>IBO196613:IBO196636</xm:sqref>
        </x14:dataValidation>
        <x14:dataValidation type="list" allowBlank="1" showInputMessage="1" showErrorMessage="1" xr:uid="{00000000-0002-0000-0300-0000D5000000}">
          <x14:formula1>
            <xm:f>項目!C17:$ILC$196609</xm:f>
          </x14:formula1>
          <xm:sqref>ILK196613:ILK196636</xm:sqref>
        </x14:dataValidation>
        <x14:dataValidation type="list" allowBlank="1" showInputMessage="1" showErrorMessage="1" xr:uid="{00000000-0002-0000-0300-0000D6000000}">
          <x14:formula1>
            <xm:f>項目!C17:$IUY$196609</xm:f>
          </x14:formula1>
          <xm:sqref>IVG196613:IVG196636</xm:sqref>
        </x14:dataValidation>
        <x14:dataValidation type="list" allowBlank="1" showInputMessage="1" showErrorMessage="1" xr:uid="{00000000-0002-0000-0300-0000D7000000}">
          <x14:formula1>
            <xm:f>項目!C17:$JEU$196609</xm:f>
          </x14:formula1>
          <xm:sqref>JFC196613:JFC196636</xm:sqref>
        </x14:dataValidation>
        <x14:dataValidation type="list" allowBlank="1" showInputMessage="1" showErrorMessage="1" xr:uid="{00000000-0002-0000-0300-0000D8000000}">
          <x14:formula1>
            <xm:f>項目!C17:$JOQ$196609</xm:f>
          </x14:formula1>
          <xm:sqref>JOY196613:JOY196636</xm:sqref>
        </x14:dataValidation>
        <x14:dataValidation type="list" allowBlank="1" showInputMessage="1" showErrorMessage="1" xr:uid="{00000000-0002-0000-0300-0000D9000000}">
          <x14:formula1>
            <xm:f>項目!C17:$JYM$196609</xm:f>
          </x14:formula1>
          <xm:sqref>JYU196613:JYU196636</xm:sqref>
        </x14:dataValidation>
        <x14:dataValidation type="list" allowBlank="1" showInputMessage="1" showErrorMessage="1" xr:uid="{00000000-0002-0000-0300-0000DA000000}">
          <x14:formula1>
            <xm:f>項目!C17:$KII$196609</xm:f>
          </x14:formula1>
          <xm:sqref>KIQ196613:KIQ196636</xm:sqref>
        </x14:dataValidation>
        <x14:dataValidation type="list" allowBlank="1" showInputMessage="1" showErrorMessage="1" xr:uid="{00000000-0002-0000-0300-0000DB000000}">
          <x14:formula1>
            <xm:f>項目!C17:$KSE$196609</xm:f>
          </x14:formula1>
          <xm:sqref>KSM196613:KSM196636</xm:sqref>
        </x14:dataValidation>
        <x14:dataValidation type="list" allowBlank="1" showInputMessage="1" showErrorMessage="1" xr:uid="{00000000-0002-0000-0300-0000DC000000}">
          <x14:formula1>
            <xm:f>項目!C17:$LCA$196609</xm:f>
          </x14:formula1>
          <xm:sqref>LCI196613:LCI196636</xm:sqref>
        </x14:dataValidation>
        <x14:dataValidation type="list" allowBlank="1" showInputMessage="1" showErrorMessage="1" xr:uid="{00000000-0002-0000-0300-0000DD000000}">
          <x14:formula1>
            <xm:f>項目!C17:$LLW$196609</xm:f>
          </x14:formula1>
          <xm:sqref>LME196613:LME196636</xm:sqref>
        </x14:dataValidation>
        <x14:dataValidation type="list" allowBlank="1" showInputMessage="1" showErrorMessage="1" xr:uid="{00000000-0002-0000-0300-0000DE000000}">
          <x14:formula1>
            <xm:f>項目!C17:$LVS$196609</xm:f>
          </x14:formula1>
          <xm:sqref>LWA196613:LWA196636</xm:sqref>
        </x14:dataValidation>
        <x14:dataValidation type="list" allowBlank="1" showInputMessage="1" showErrorMessage="1" xr:uid="{00000000-0002-0000-0300-0000DF000000}">
          <x14:formula1>
            <xm:f>項目!C17:$MFO$196609</xm:f>
          </x14:formula1>
          <xm:sqref>MFW196613:MFW196636</xm:sqref>
        </x14:dataValidation>
        <x14:dataValidation type="list" allowBlank="1" showInputMessage="1" showErrorMessage="1" xr:uid="{00000000-0002-0000-0300-0000E0000000}">
          <x14:formula1>
            <xm:f>項目!C17:$MPK$196609</xm:f>
          </x14:formula1>
          <xm:sqref>MPS196613:MPS196636</xm:sqref>
        </x14:dataValidation>
        <x14:dataValidation type="list" allowBlank="1" showInputMessage="1" showErrorMessage="1" xr:uid="{00000000-0002-0000-0300-0000E1000000}">
          <x14:formula1>
            <xm:f>項目!C17:$MZG$196609</xm:f>
          </x14:formula1>
          <xm:sqref>MZO196613:MZO196636</xm:sqref>
        </x14:dataValidation>
        <x14:dataValidation type="list" allowBlank="1" showInputMessage="1" showErrorMessage="1" xr:uid="{00000000-0002-0000-0300-0000E2000000}">
          <x14:formula1>
            <xm:f>項目!C17:$NJC$196609</xm:f>
          </x14:formula1>
          <xm:sqref>NJK196613:NJK196636</xm:sqref>
        </x14:dataValidation>
        <x14:dataValidation type="list" allowBlank="1" showInputMessage="1" showErrorMessage="1" xr:uid="{00000000-0002-0000-0300-0000E3000000}">
          <x14:formula1>
            <xm:f>項目!C17:$NSY$196609</xm:f>
          </x14:formula1>
          <xm:sqref>NTG196613:NTG196636</xm:sqref>
        </x14:dataValidation>
        <x14:dataValidation type="list" allowBlank="1" showInputMessage="1" showErrorMessage="1" xr:uid="{00000000-0002-0000-0300-0000E4000000}">
          <x14:formula1>
            <xm:f>項目!C17:$OCU$196609</xm:f>
          </x14:formula1>
          <xm:sqref>ODC196613:ODC196636</xm:sqref>
        </x14:dataValidation>
        <x14:dataValidation type="list" allowBlank="1" showInputMessage="1" showErrorMessage="1" xr:uid="{00000000-0002-0000-0300-0000E5000000}">
          <x14:formula1>
            <xm:f>項目!C17:$OMQ$196609</xm:f>
          </x14:formula1>
          <xm:sqref>OMY196613:OMY196636</xm:sqref>
        </x14:dataValidation>
        <x14:dataValidation type="list" allowBlank="1" showInputMessage="1" showErrorMessage="1" xr:uid="{00000000-0002-0000-0300-0000E6000000}">
          <x14:formula1>
            <xm:f>項目!C17:$OWM$196609</xm:f>
          </x14:formula1>
          <xm:sqref>OWU196613:OWU196636</xm:sqref>
        </x14:dataValidation>
        <x14:dataValidation type="list" allowBlank="1" showInputMessage="1" showErrorMessage="1" xr:uid="{00000000-0002-0000-0300-0000E7000000}">
          <x14:formula1>
            <xm:f>項目!C17:$PGI$196609</xm:f>
          </x14:formula1>
          <xm:sqref>PGQ196613:PGQ196636</xm:sqref>
        </x14:dataValidation>
        <x14:dataValidation type="list" allowBlank="1" showInputMessage="1" showErrorMessage="1" xr:uid="{00000000-0002-0000-0300-0000E8000000}">
          <x14:formula1>
            <xm:f>項目!C17:$PQE$196609</xm:f>
          </x14:formula1>
          <xm:sqref>PQM196613:PQM196636</xm:sqref>
        </x14:dataValidation>
        <x14:dataValidation type="list" allowBlank="1" showInputMessage="1" showErrorMessage="1" xr:uid="{00000000-0002-0000-0300-0000E9000000}">
          <x14:formula1>
            <xm:f>項目!C17:$QAA$196609</xm:f>
          </x14:formula1>
          <xm:sqref>QAI196613:QAI196636</xm:sqref>
        </x14:dataValidation>
        <x14:dataValidation type="list" allowBlank="1" showInputMessage="1" showErrorMessage="1" xr:uid="{00000000-0002-0000-0300-0000EA000000}">
          <x14:formula1>
            <xm:f>項目!C17:$QJW$196609</xm:f>
          </x14:formula1>
          <xm:sqref>QKE196613:QKE196636</xm:sqref>
        </x14:dataValidation>
        <x14:dataValidation type="list" allowBlank="1" showInputMessage="1" showErrorMessage="1" xr:uid="{00000000-0002-0000-0300-0000EB000000}">
          <x14:formula1>
            <xm:f>項目!C17:$QTS$196609</xm:f>
          </x14:formula1>
          <xm:sqref>QUA196613:QUA196636</xm:sqref>
        </x14:dataValidation>
        <x14:dataValidation type="list" allowBlank="1" showInputMessage="1" showErrorMessage="1" xr:uid="{00000000-0002-0000-0300-0000EC000000}">
          <x14:formula1>
            <xm:f>項目!C17:$RDO$196609</xm:f>
          </x14:formula1>
          <xm:sqref>RDW196613:RDW196636</xm:sqref>
        </x14:dataValidation>
        <x14:dataValidation type="list" allowBlank="1" showInputMessage="1" showErrorMessage="1" xr:uid="{00000000-0002-0000-0300-0000ED000000}">
          <x14:formula1>
            <xm:f>項目!C17:$RNK$196609</xm:f>
          </x14:formula1>
          <xm:sqref>RNS196613:RNS196636</xm:sqref>
        </x14:dataValidation>
        <x14:dataValidation type="list" allowBlank="1" showInputMessage="1" showErrorMessage="1" xr:uid="{00000000-0002-0000-0300-0000EE000000}">
          <x14:formula1>
            <xm:f>項目!C17:$RXG$196609</xm:f>
          </x14:formula1>
          <xm:sqref>RXO196613:RXO196636</xm:sqref>
        </x14:dataValidation>
        <x14:dataValidation type="list" allowBlank="1" showInputMessage="1" showErrorMessage="1" xr:uid="{00000000-0002-0000-0300-0000EF000000}">
          <x14:formula1>
            <xm:f>項目!C17:$SHC$196609</xm:f>
          </x14:formula1>
          <xm:sqref>SHK196613:SHK196636</xm:sqref>
        </x14:dataValidation>
        <x14:dataValidation type="list" allowBlank="1" showInputMessage="1" showErrorMessage="1" xr:uid="{00000000-0002-0000-0300-0000F0000000}">
          <x14:formula1>
            <xm:f>項目!C17:$SQY$196609</xm:f>
          </x14:formula1>
          <xm:sqref>SRG196613:SRG196636</xm:sqref>
        </x14:dataValidation>
        <x14:dataValidation type="list" allowBlank="1" showInputMessage="1" showErrorMessage="1" xr:uid="{00000000-0002-0000-0300-0000F1000000}">
          <x14:formula1>
            <xm:f>項目!C17:$TAU$196609</xm:f>
          </x14:formula1>
          <xm:sqref>TBC196613:TBC196636</xm:sqref>
        </x14:dataValidation>
        <x14:dataValidation type="list" allowBlank="1" showInputMessage="1" showErrorMessage="1" xr:uid="{00000000-0002-0000-0300-0000F2000000}">
          <x14:formula1>
            <xm:f>項目!C17:$TKQ$196609</xm:f>
          </x14:formula1>
          <xm:sqref>TKY196613:TKY196636</xm:sqref>
        </x14:dataValidation>
        <x14:dataValidation type="list" allowBlank="1" showInputMessage="1" showErrorMessage="1" xr:uid="{00000000-0002-0000-0300-0000F3000000}">
          <x14:formula1>
            <xm:f>項目!C17:$TUM$196609</xm:f>
          </x14:formula1>
          <xm:sqref>TUU196613:TUU196636</xm:sqref>
        </x14:dataValidation>
        <x14:dataValidation type="list" allowBlank="1" showInputMessage="1" showErrorMessage="1" xr:uid="{00000000-0002-0000-0300-0000F4000000}">
          <x14:formula1>
            <xm:f>項目!C17:$UEI$196609</xm:f>
          </x14:formula1>
          <xm:sqref>UEQ196613:UEQ196636</xm:sqref>
        </x14:dataValidation>
        <x14:dataValidation type="list" allowBlank="1" showInputMessage="1" showErrorMessage="1" xr:uid="{00000000-0002-0000-0300-0000F5000000}">
          <x14:formula1>
            <xm:f>項目!C17:$UOE$196609</xm:f>
          </x14:formula1>
          <xm:sqref>UOM196613:UOM196636</xm:sqref>
        </x14:dataValidation>
        <x14:dataValidation type="list" allowBlank="1" showInputMessage="1" showErrorMessage="1" xr:uid="{00000000-0002-0000-0300-0000F6000000}">
          <x14:formula1>
            <xm:f>項目!C17:$UYA$196609</xm:f>
          </x14:formula1>
          <xm:sqref>UYI196613:UYI196636</xm:sqref>
        </x14:dataValidation>
        <x14:dataValidation type="list" allowBlank="1" showInputMessage="1" showErrorMessage="1" xr:uid="{00000000-0002-0000-0300-0000F7000000}">
          <x14:formula1>
            <xm:f>項目!C17:$VHW$196609</xm:f>
          </x14:formula1>
          <xm:sqref>VIE196613:VIE196636</xm:sqref>
        </x14:dataValidation>
        <x14:dataValidation type="list" allowBlank="1" showInputMessage="1" showErrorMessage="1" xr:uid="{00000000-0002-0000-0300-0000F8000000}">
          <x14:formula1>
            <xm:f>項目!C17:$VRS$196609</xm:f>
          </x14:formula1>
          <xm:sqref>VSA196613:VSA196636</xm:sqref>
        </x14:dataValidation>
        <x14:dataValidation type="list" allowBlank="1" showInputMessage="1" showErrorMessage="1" xr:uid="{00000000-0002-0000-0300-0000F9000000}">
          <x14:formula1>
            <xm:f>項目!C17:$WBO$196609</xm:f>
          </x14:formula1>
          <xm:sqref>WBW196613:WBW196636</xm:sqref>
        </x14:dataValidation>
        <x14:dataValidation type="list" allowBlank="1" showInputMessage="1" showErrorMessage="1" xr:uid="{00000000-0002-0000-0300-0000FA000000}">
          <x14:formula1>
            <xm:f>項目!C17:$WLK$196609</xm:f>
          </x14:formula1>
          <xm:sqref>WLS196613:WLS196636</xm:sqref>
        </x14:dataValidation>
        <x14:dataValidation type="list" allowBlank="1" showInputMessage="1" showErrorMessage="1" xr:uid="{00000000-0002-0000-0300-0000FB000000}">
          <x14:formula1>
            <xm:f>項目!C17:$WVG$196609</xm:f>
          </x14:formula1>
          <xm:sqref>WVO196613:WVO196636</xm:sqref>
        </x14:dataValidation>
        <x14:dataValidation type="list" allowBlank="1" showInputMessage="1" showErrorMessage="1" xr:uid="{00000000-0002-0000-0300-0000FC000000}">
          <x14:formula1>
            <xm:f>項目!C17:$IU$262145</xm:f>
          </x14:formula1>
          <xm:sqref>JC262149:JC262172</xm:sqref>
        </x14:dataValidation>
        <x14:dataValidation type="list" allowBlank="1" showInputMessage="1" showErrorMessage="1" xr:uid="{00000000-0002-0000-0300-0000FD000000}">
          <x14:formula1>
            <xm:f>項目!C17:$SQ$262145</xm:f>
          </x14:formula1>
          <xm:sqref>SY262149:SY262172</xm:sqref>
        </x14:dataValidation>
        <x14:dataValidation type="list" allowBlank="1" showInputMessage="1" showErrorMessage="1" xr:uid="{00000000-0002-0000-0300-0000FE000000}">
          <x14:formula1>
            <xm:f>項目!C17:$ACM$262145</xm:f>
          </x14:formula1>
          <xm:sqref>ACU262149:ACU262172</xm:sqref>
        </x14:dataValidation>
        <x14:dataValidation type="list" allowBlank="1" showInputMessage="1" showErrorMessage="1" xr:uid="{00000000-0002-0000-0300-0000FF000000}">
          <x14:formula1>
            <xm:f>項目!C17:$AMI$262145</xm:f>
          </x14:formula1>
          <xm:sqref>AMQ262149:AMQ262172</xm:sqref>
        </x14:dataValidation>
        <x14:dataValidation type="list" allowBlank="1" showInputMessage="1" showErrorMessage="1" xr:uid="{00000000-0002-0000-0300-000000010000}">
          <x14:formula1>
            <xm:f>項目!C17:$AWE$262145</xm:f>
          </x14:formula1>
          <xm:sqref>AWM262149:AWM262172</xm:sqref>
        </x14:dataValidation>
        <x14:dataValidation type="list" allowBlank="1" showInputMessage="1" showErrorMessage="1" xr:uid="{00000000-0002-0000-0300-000001010000}">
          <x14:formula1>
            <xm:f>項目!C17:$BGA$262145</xm:f>
          </x14:formula1>
          <xm:sqref>BGI262149:BGI262172</xm:sqref>
        </x14:dataValidation>
        <x14:dataValidation type="list" allowBlank="1" showInputMessage="1" showErrorMessage="1" xr:uid="{00000000-0002-0000-0300-000002010000}">
          <x14:formula1>
            <xm:f>項目!C17:$BPW$262145</xm:f>
          </x14:formula1>
          <xm:sqref>BQE262149:BQE262172</xm:sqref>
        </x14:dataValidation>
        <x14:dataValidation type="list" allowBlank="1" showInputMessage="1" showErrorMessage="1" xr:uid="{00000000-0002-0000-0300-000003010000}">
          <x14:formula1>
            <xm:f>項目!C17:$BZS$262145</xm:f>
          </x14:formula1>
          <xm:sqref>CAA262149:CAA262172</xm:sqref>
        </x14:dataValidation>
        <x14:dataValidation type="list" allowBlank="1" showInputMessage="1" showErrorMessage="1" xr:uid="{00000000-0002-0000-0300-000004010000}">
          <x14:formula1>
            <xm:f>項目!C17:$CJO$262145</xm:f>
          </x14:formula1>
          <xm:sqref>CJW262149:CJW262172</xm:sqref>
        </x14:dataValidation>
        <x14:dataValidation type="list" allowBlank="1" showInputMessage="1" showErrorMessage="1" xr:uid="{00000000-0002-0000-0300-000005010000}">
          <x14:formula1>
            <xm:f>項目!C17:$CTK$262145</xm:f>
          </x14:formula1>
          <xm:sqref>CTS262149:CTS262172</xm:sqref>
        </x14:dataValidation>
        <x14:dataValidation type="list" allowBlank="1" showInputMessage="1" showErrorMessage="1" xr:uid="{00000000-0002-0000-0300-000006010000}">
          <x14:formula1>
            <xm:f>項目!C17:$DDG$262145</xm:f>
          </x14:formula1>
          <xm:sqref>DDO262149:DDO262172</xm:sqref>
        </x14:dataValidation>
        <x14:dataValidation type="list" allowBlank="1" showInputMessage="1" showErrorMessage="1" xr:uid="{00000000-0002-0000-0300-000007010000}">
          <x14:formula1>
            <xm:f>項目!C17:$DNC$262145</xm:f>
          </x14:formula1>
          <xm:sqref>DNK262149:DNK262172</xm:sqref>
        </x14:dataValidation>
        <x14:dataValidation type="list" allowBlank="1" showInputMessage="1" showErrorMessage="1" xr:uid="{00000000-0002-0000-0300-000008010000}">
          <x14:formula1>
            <xm:f>項目!C17:$DWY$262145</xm:f>
          </x14:formula1>
          <xm:sqref>DXG262149:DXG262172</xm:sqref>
        </x14:dataValidation>
        <x14:dataValidation type="list" allowBlank="1" showInputMessage="1" showErrorMessage="1" xr:uid="{00000000-0002-0000-0300-000009010000}">
          <x14:formula1>
            <xm:f>項目!C17:$EGU$262145</xm:f>
          </x14:formula1>
          <xm:sqref>EHC262149:EHC262172</xm:sqref>
        </x14:dataValidation>
        <x14:dataValidation type="list" allowBlank="1" showInputMessage="1" showErrorMessage="1" xr:uid="{00000000-0002-0000-0300-00000A010000}">
          <x14:formula1>
            <xm:f>項目!C17:$EQQ$262145</xm:f>
          </x14:formula1>
          <xm:sqref>EQY262149:EQY262172</xm:sqref>
        </x14:dataValidation>
        <x14:dataValidation type="list" allowBlank="1" showInputMessage="1" showErrorMessage="1" xr:uid="{00000000-0002-0000-0300-00000B010000}">
          <x14:formula1>
            <xm:f>項目!C17:$FAM$262145</xm:f>
          </x14:formula1>
          <xm:sqref>FAU262149:FAU262172</xm:sqref>
        </x14:dataValidation>
        <x14:dataValidation type="list" allowBlank="1" showInputMessage="1" showErrorMessage="1" xr:uid="{00000000-0002-0000-0300-00000C010000}">
          <x14:formula1>
            <xm:f>項目!C17:$FKI$262145</xm:f>
          </x14:formula1>
          <xm:sqref>FKQ262149:FKQ262172</xm:sqref>
        </x14:dataValidation>
        <x14:dataValidation type="list" allowBlank="1" showInputMessage="1" showErrorMessage="1" xr:uid="{00000000-0002-0000-0300-00000D010000}">
          <x14:formula1>
            <xm:f>項目!C17:$FUE$262145</xm:f>
          </x14:formula1>
          <xm:sqref>FUM262149:FUM262172</xm:sqref>
        </x14:dataValidation>
        <x14:dataValidation type="list" allowBlank="1" showInputMessage="1" showErrorMessage="1" xr:uid="{00000000-0002-0000-0300-00000E010000}">
          <x14:formula1>
            <xm:f>項目!C17:$GEA$262145</xm:f>
          </x14:formula1>
          <xm:sqref>GEI262149:GEI262172</xm:sqref>
        </x14:dataValidation>
        <x14:dataValidation type="list" allowBlank="1" showInputMessage="1" showErrorMessage="1" xr:uid="{00000000-0002-0000-0300-00000F010000}">
          <x14:formula1>
            <xm:f>項目!C17:$GNW$262145</xm:f>
          </x14:formula1>
          <xm:sqref>GOE262149:GOE262172</xm:sqref>
        </x14:dataValidation>
        <x14:dataValidation type="list" allowBlank="1" showInputMessage="1" showErrorMessage="1" xr:uid="{00000000-0002-0000-0300-000010010000}">
          <x14:formula1>
            <xm:f>項目!C17:$GXS$262145</xm:f>
          </x14:formula1>
          <xm:sqref>GYA262149:GYA262172</xm:sqref>
        </x14:dataValidation>
        <x14:dataValidation type="list" allowBlank="1" showInputMessage="1" showErrorMessage="1" xr:uid="{00000000-0002-0000-0300-000011010000}">
          <x14:formula1>
            <xm:f>項目!C17:$HHO$262145</xm:f>
          </x14:formula1>
          <xm:sqref>HHW262149:HHW262172</xm:sqref>
        </x14:dataValidation>
        <x14:dataValidation type="list" allowBlank="1" showInputMessage="1" showErrorMessage="1" xr:uid="{00000000-0002-0000-0300-000012010000}">
          <x14:formula1>
            <xm:f>項目!C17:$HRK$262145</xm:f>
          </x14:formula1>
          <xm:sqref>HRS262149:HRS262172</xm:sqref>
        </x14:dataValidation>
        <x14:dataValidation type="list" allowBlank="1" showInputMessage="1" showErrorMessage="1" xr:uid="{00000000-0002-0000-0300-000013010000}">
          <x14:formula1>
            <xm:f>項目!C17:$IBG$262145</xm:f>
          </x14:formula1>
          <xm:sqref>IBO262149:IBO262172</xm:sqref>
        </x14:dataValidation>
        <x14:dataValidation type="list" allowBlank="1" showInputMessage="1" showErrorMessage="1" xr:uid="{00000000-0002-0000-0300-000014010000}">
          <x14:formula1>
            <xm:f>項目!C17:$ILC$262145</xm:f>
          </x14:formula1>
          <xm:sqref>ILK262149:ILK262172</xm:sqref>
        </x14:dataValidation>
        <x14:dataValidation type="list" allowBlank="1" showInputMessage="1" showErrorMessage="1" xr:uid="{00000000-0002-0000-0300-000015010000}">
          <x14:formula1>
            <xm:f>項目!C17:$IUY$262145</xm:f>
          </x14:formula1>
          <xm:sqref>IVG262149:IVG262172</xm:sqref>
        </x14:dataValidation>
        <x14:dataValidation type="list" allowBlank="1" showInputMessage="1" showErrorMessage="1" xr:uid="{00000000-0002-0000-0300-000016010000}">
          <x14:formula1>
            <xm:f>項目!C17:$JEU$262145</xm:f>
          </x14:formula1>
          <xm:sqref>JFC262149:JFC262172</xm:sqref>
        </x14:dataValidation>
        <x14:dataValidation type="list" allowBlank="1" showInputMessage="1" showErrorMessage="1" xr:uid="{00000000-0002-0000-0300-000017010000}">
          <x14:formula1>
            <xm:f>項目!C17:$JOQ$262145</xm:f>
          </x14:formula1>
          <xm:sqref>JOY262149:JOY262172</xm:sqref>
        </x14:dataValidation>
        <x14:dataValidation type="list" allowBlank="1" showInputMessage="1" showErrorMessage="1" xr:uid="{00000000-0002-0000-0300-000018010000}">
          <x14:formula1>
            <xm:f>項目!C17:$JYM$262145</xm:f>
          </x14:formula1>
          <xm:sqref>JYU262149:JYU262172</xm:sqref>
        </x14:dataValidation>
        <x14:dataValidation type="list" allowBlank="1" showInputMessage="1" showErrorMessage="1" xr:uid="{00000000-0002-0000-0300-000019010000}">
          <x14:formula1>
            <xm:f>項目!C17:$KII$262145</xm:f>
          </x14:formula1>
          <xm:sqref>KIQ262149:KIQ262172</xm:sqref>
        </x14:dataValidation>
        <x14:dataValidation type="list" allowBlank="1" showInputMessage="1" showErrorMessage="1" xr:uid="{00000000-0002-0000-0300-00001A010000}">
          <x14:formula1>
            <xm:f>項目!C17:$KSE$262145</xm:f>
          </x14:formula1>
          <xm:sqref>KSM262149:KSM262172</xm:sqref>
        </x14:dataValidation>
        <x14:dataValidation type="list" allowBlank="1" showInputMessage="1" showErrorMessage="1" xr:uid="{00000000-0002-0000-0300-00001B010000}">
          <x14:formula1>
            <xm:f>項目!C17:$LCA$262145</xm:f>
          </x14:formula1>
          <xm:sqref>LCI262149:LCI262172</xm:sqref>
        </x14:dataValidation>
        <x14:dataValidation type="list" allowBlank="1" showInputMessage="1" showErrorMessage="1" xr:uid="{00000000-0002-0000-0300-00001C010000}">
          <x14:formula1>
            <xm:f>項目!C17:$LLW$262145</xm:f>
          </x14:formula1>
          <xm:sqref>LME262149:LME262172</xm:sqref>
        </x14:dataValidation>
        <x14:dataValidation type="list" allowBlank="1" showInputMessage="1" showErrorMessage="1" xr:uid="{00000000-0002-0000-0300-00001D010000}">
          <x14:formula1>
            <xm:f>項目!C17:$LVS$262145</xm:f>
          </x14:formula1>
          <xm:sqref>LWA262149:LWA262172</xm:sqref>
        </x14:dataValidation>
        <x14:dataValidation type="list" allowBlank="1" showInputMessage="1" showErrorMessage="1" xr:uid="{00000000-0002-0000-0300-00001E010000}">
          <x14:formula1>
            <xm:f>項目!C17:$MFO$262145</xm:f>
          </x14:formula1>
          <xm:sqref>MFW262149:MFW262172</xm:sqref>
        </x14:dataValidation>
        <x14:dataValidation type="list" allowBlank="1" showInputMessage="1" showErrorMessage="1" xr:uid="{00000000-0002-0000-0300-00001F010000}">
          <x14:formula1>
            <xm:f>項目!C17:$MPK$262145</xm:f>
          </x14:formula1>
          <xm:sqref>MPS262149:MPS262172</xm:sqref>
        </x14:dataValidation>
        <x14:dataValidation type="list" allowBlank="1" showInputMessage="1" showErrorMessage="1" xr:uid="{00000000-0002-0000-0300-000020010000}">
          <x14:formula1>
            <xm:f>項目!C17:$MZG$262145</xm:f>
          </x14:formula1>
          <xm:sqref>MZO262149:MZO262172</xm:sqref>
        </x14:dataValidation>
        <x14:dataValidation type="list" allowBlank="1" showInputMessage="1" showErrorMessage="1" xr:uid="{00000000-0002-0000-0300-000021010000}">
          <x14:formula1>
            <xm:f>項目!C17:$NJC$262145</xm:f>
          </x14:formula1>
          <xm:sqref>NJK262149:NJK262172</xm:sqref>
        </x14:dataValidation>
        <x14:dataValidation type="list" allowBlank="1" showInputMessage="1" showErrorMessage="1" xr:uid="{00000000-0002-0000-0300-000022010000}">
          <x14:formula1>
            <xm:f>項目!C17:$NSY$262145</xm:f>
          </x14:formula1>
          <xm:sqref>NTG262149:NTG262172</xm:sqref>
        </x14:dataValidation>
        <x14:dataValidation type="list" allowBlank="1" showInputMessage="1" showErrorMessage="1" xr:uid="{00000000-0002-0000-0300-000023010000}">
          <x14:formula1>
            <xm:f>項目!C17:$OCU$262145</xm:f>
          </x14:formula1>
          <xm:sqref>ODC262149:ODC262172</xm:sqref>
        </x14:dataValidation>
        <x14:dataValidation type="list" allowBlank="1" showInputMessage="1" showErrorMessage="1" xr:uid="{00000000-0002-0000-0300-000024010000}">
          <x14:formula1>
            <xm:f>項目!C17:$OMQ$262145</xm:f>
          </x14:formula1>
          <xm:sqref>OMY262149:OMY262172</xm:sqref>
        </x14:dataValidation>
        <x14:dataValidation type="list" allowBlank="1" showInputMessage="1" showErrorMessage="1" xr:uid="{00000000-0002-0000-0300-000025010000}">
          <x14:formula1>
            <xm:f>項目!C17:$OWM$262145</xm:f>
          </x14:formula1>
          <xm:sqref>OWU262149:OWU262172</xm:sqref>
        </x14:dataValidation>
        <x14:dataValidation type="list" allowBlank="1" showInputMessage="1" showErrorMessage="1" xr:uid="{00000000-0002-0000-0300-000026010000}">
          <x14:formula1>
            <xm:f>項目!C17:$PGI$262145</xm:f>
          </x14:formula1>
          <xm:sqref>PGQ262149:PGQ262172</xm:sqref>
        </x14:dataValidation>
        <x14:dataValidation type="list" allowBlank="1" showInputMessage="1" showErrorMessage="1" xr:uid="{00000000-0002-0000-0300-000027010000}">
          <x14:formula1>
            <xm:f>項目!C17:$PQE$262145</xm:f>
          </x14:formula1>
          <xm:sqref>PQM262149:PQM262172</xm:sqref>
        </x14:dataValidation>
        <x14:dataValidation type="list" allowBlank="1" showInputMessage="1" showErrorMessage="1" xr:uid="{00000000-0002-0000-0300-000028010000}">
          <x14:formula1>
            <xm:f>項目!C17:$QAA$262145</xm:f>
          </x14:formula1>
          <xm:sqref>QAI262149:QAI262172</xm:sqref>
        </x14:dataValidation>
        <x14:dataValidation type="list" allowBlank="1" showInputMessage="1" showErrorMessage="1" xr:uid="{00000000-0002-0000-0300-000029010000}">
          <x14:formula1>
            <xm:f>項目!C17:$QJW$262145</xm:f>
          </x14:formula1>
          <xm:sqref>QKE262149:QKE262172</xm:sqref>
        </x14:dataValidation>
        <x14:dataValidation type="list" allowBlank="1" showInputMessage="1" showErrorMessage="1" xr:uid="{00000000-0002-0000-0300-00002A010000}">
          <x14:formula1>
            <xm:f>項目!C17:$QTS$262145</xm:f>
          </x14:formula1>
          <xm:sqref>QUA262149:QUA262172</xm:sqref>
        </x14:dataValidation>
        <x14:dataValidation type="list" allowBlank="1" showInputMessage="1" showErrorMessage="1" xr:uid="{00000000-0002-0000-0300-00002B010000}">
          <x14:formula1>
            <xm:f>項目!C17:$RDO$262145</xm:f>
          </x14:formula1>
          <xm:sqref>RDW262149:RDW262172</xm:sqref>
        </x14:dataValidation>
        <x14:dataValidation type="list" allowBlank="1" showInputMessage="1" showErrorMessage="1" xr:uid="{00000000-0002-0000-0300-00002C010000}">
          <x14:formula1>
            <xm:f>項目!C17:$RNK$262145</xm:f>
          </x14:formula1>
          <xm:sqref>RNS262149:RNS262172</xm:sqref>
        </x14:dataValidation>
        <x14:dataValidation type="list" allowBlank="1" showInputMessage="1" showErrorMessage="1" xr:uid="{00000000-0002-0000-0300-00002D010000}">
          <x14:formula1>
            <xm:f>項目!C17:$RXG$262145</xm:f>
          </x14:formula1>
          <xm:sqref>RXO262149:RXO262172</xm:sqref>
        </x14:dataValidation>
        <x14:dataValidation type="list" allowBlank="1" showInputMessage="1" showErrorMessage="1" xr:uid="{00000000-0002-0000-0300-00002E010000}">
          <x14:formula1>
            <xm:f>項目!C17:$SHC$262145</xm:f>
          </x14:formula1>
          <xm:sqref>SHK262149:SHK262172</xm:sqref>
        </x14:dataValidation>
        <x14:dataValidation type="list" allowBlank="1" showInputMessage="1" showErrorMessage="1" xr:uid="{00000000-0002-0000-0300-00002F010000}">
          <x14:formula1>
            <xm:f>項目!C17:$SQY$262145</xm:f>
          </x14:formula1>
          <xm:sqref>SRG262149:SRG262172</xm:sqref>
        </x14:dataValidation>
        <x14:dataValidation type="list" allowBlank="1" showInputMessage="1" showErrorMessage="1" xr:uid="{00000000-0002-0000-0300-000030010000}">
          <x14:formula1>
            <xm:f>項目!C17:$TAU$262145</xm:f>
          </x14:formula1>
          <xm:sqref>TBC262149:TBC262172</xm:sqref>
        </x14:dataValidation>
        <x14:dataValidation type="list" allowBlank="1" showInputMessage="1" showErrorMessage="1" xr:uid="{00000000-0002-0000-0300-000031010000}">
          <x14:formula1>
            <xm:f>項目!C17:$TKQ$262145</xm:f>
          </x14:formula1>
          <xm:sqref>TKY262149:TKY262172</xm:sqref>
        </x14:dataValidation>
        <x14:dataValidation type="list" allowBlank="1" showInputMessage="1" showErrorMessage="1" xr:uid="{00000000-0002-0000-0300-000032010000}">
          <x14:formula1>
            <xm:f>項目!C17:$TUM$262145</xm:f>
          </x14:formula1>
          <xm:sqref>TUU262149:TUU262172</xm:sqref>
        </x14:dataValidation>
        <x14:dataValidation type="list" allowBlank="1" showInputMessage="1" showErrorMessage="1" xr:uid="{00000000-0002-0000-0300-000033010000}">
          <x14:formula1>
            <xm:f>項目!C17:$UEI$262145</xm:f>
          </x14:formula1>
          <xm:sqref>UEQ262149:UEQ262172</xm:sqref>
        </x14:dataValidation>
        <x14:dataValidation type="list" allowBlank="1" showInputMessage="1" showErrorMessage="1" xr:uid="{00000000-0002-0000-0300-000034010000}">
          <x14:formula1>
            <xm:f>項目!C17:$UOE$262145</xm:f>
          </x14:formula1>
          <xm:sqref>UOM262149:UOM262172</xm:sqref>
        </x14:dataValidation>
        <x14:dataValidation type="list" allowBlank="1" showInputMessage="1" showErrorMessage="1" xr:uid="{00000000-0002-0000-0300-000035010000}">
          <x14:formula1>
            <xm:f>項目!C17:$UYA$262145</xm:f>
          </x14:formula1>
          <xm:sqref>UYI262149:UYI262172</xm:sqref>
        </x14:dataValidation>
        <x14:dataValidation type="list" allowBlank="1" showInputMessage="1" showErrorMessage="1" xr:uid="{00000000-0002-0000-0300-000036010000}">
          <x14:formula1>
            <xm:f>項目!C17:$VHW$262145</xm:f>
          </x14:formula1>
          <xm:sqref>VIE262149:VIE262172</xm:sqref>
        </x14:dataValidation>
        <x14:dataValidation type="list" allowBlank="1" showInputMessage="1" showErrorMessage="1" xr:uid="{00000000-0002-0000-0300-000037010000}">
          <x14:formula1>
            <xm:f>項目!C17:$VRS$262145</xm:f>
          </x14:formula1>
          <xm:sqref>VSA262149:VSA262172</xm:sqref>
        </x14:dataValidation>
        <x14:dataValidation type="list" allowBlank="1" showInputMessage="1" showErrorMessage="1" xr:uid="{00000000-0002-0000-0300-000038010000}">
          <x14:formula1>
            <xm:f>項目!C17:$WBO$262145</xm:f>
          </x14:formula1>
          <xm:sqref>WBW262149:WBW262172</xm:sqref>
        </x14:dataValidation>
        <x14:dataValidation type="list" allowBlank="1" showInputMessage="1" showErrorMessage="1" xr:uid="{00000000-0002-0000-0300-000039010000}">
          <x14:formula1>
            <xm:f>項目!C17:$WLK$262145</xm:f>
          </x14:formula1>
          <xm:sqref>WLS262149:WLS262172</xm:sqref>
        </x14:dataValidation>
        <x14:dataValidation type="list" allowBlank="1" showInputMessage="1" showErrorMessage="1" xr:uid="{00000000-0002-0000-0300-00003A010000}">
          <x14:formula1>
            <xm:f>項目!C17:$WVG$262145</xm:f>
          </x14:formula1>
          <xm:sqref>WVO262149:WVO262172</xm:sqref>
        </x14:dataValidation>
        <x14:dataValidation type="list" allowBlank="1" showInputMessage="1" showErrorMessage="1" xr:uid="{00000000-0002-0000-0300-00003B010000}">
          <x14:formula1>
            <xm:f>項目!C17:$IU$327681</xm:f>
          </x14:formula1>
          <xm:sqref>JC327685:JC327708</xm:sqref>
        </x14:dataValidation>
        <x14:dataValidation type="list" allowBlank="1" showInputMessage="1" showErrorMessage="1" xr:uid="{00000000-0002-0000-0300-00003C010000}">
          <x14:formula1>
            <xm:f>項目!C17:$SQ$327681</xm:f>
          </x14:formula1>
          <xm:sqref>SY327685:SY327708</xm:sqref>
        </x14:dataValidation>
        <x14:dataValidation type="list" allowBlank="1" showInputMessage="1" showErrorMessage="1" xr:uid="{00000000-0002-0000-0300-00003D010000}">
          <x14:formula1>
            <xm:f>項目!C17:$ACM$327681</xm:f>
          </x14:formula1>
          <xm:sqref>ACU327685:ACU327708</xm:sqref>
        </x14:dataValidation>
        <x14:dataValidation type="list" allowBlank="1" showInputMessage="1" showErrorMessage="1" xr:uid="{00000000-0002-0000-0300-00003E010000}">
          <x14:formula1>
            <xm:f>項目!C17:$AMI$327681</xm:f>
          </x14:formula1>
          <xm:sqref>AMQ327685:AMQ327708</xm:sqref>
        </x14:dataValidation>
        <x14:dataValidation type="list" allowBlank="1" showInputMessage="1" showErrorMessage="1" xr:uid="{00000000-0002-0000-0300-00003F010000}">
          <x14:formula1>
            <xm:f>項目!C17:$AWE$327681</xm:f>
          </x14:formula1>
          <xm:sqref>AWM327685:AWM327708</xm:sqref>
        </x14:dataValidation>
        <x14:dataValidation type="list" allowBlank="1" showInputMessage="1" showErrorMessage="1" xr:uid="{00000000-0002-0000-0300-000040010000}">
          <x14:formula1>
            <xm:f>項目!C17:$BGA$327681</xm:f>
          </x14:formula1>
          <xm:sqref>BGI327685:BGI327708</xm:sqref>
        </x14:dataValidation>
        <x14:dataValidation type="list" allowBlank="1" showInputMessage="1" showErrorMessage="1" xr:uid="{00000000-0002-0000-0300-000041010000}">
          <x14:formula1>
            <xm:f>項目!C17:$BPW$327681</xm:f>
          </x14:formula1>
          <xm:sqref>BQE327685:BQE327708</xm:sqref>
        </x14:dataValidation>
        <x14:dataValidation type="list" allowBlank="1" showInputMessage="1" showErrorMessage="1" xr:uid="{00000000-0002-0000-0300-000042010000}">
          <x14:formula1>
            <xm:f>項目!C17:$BZS$327681</xm:f>
          </x14:formula1>
          <xm:sqref>CAA327685:CAA327708</xm:sqref>
        </x14:dataValidation>
        <x14:dataValidation type="list" allowBlank="1" showInputMessage="1" showErrorMessage="1" xr:uid="{00000000-0002-0000-0300-000043010000}">
          <x14:formula1>
            <xm:f>項目!C17:$CJO$327681</xm:f>
          </x14:formula1>
          <xm:sqref>CJW327685:CJW327708</xm:sqref>
        </x14:dataValidation>
        <x14:dataValidation type="list" allowBlank="1" showInputMessage="1" showErrorMessage="1" xr:uid="{00000000-0002-0000-0300-000044010000}">
          <x14:formula1>
            <xm:f>項目!C17:$CTK$327681</xm:f>
          </x14:formula1>
          <xm:sqref>CTS327685:CTS327708</xm:sqref>
        </x14:dataValidation>
        <x14:dataValidation type="list" allowBlank="1" showInputMessage="1" showErrorMessage="1" xr:uid="{00000000-0002-0000-0300-000045010000}">
          <x14:formula1>
            <xm:f>項目!C17:$DDG$327681</xm:f>
          </x14:formula1>
          <xm:sqref>DDO327685:DDO327708</xm:sqref>
        </x14:dataValidation>
        <x14:dataValidation type="list" allowBlank="1" showInputMessage="1" showErrorMessage="1" xr:uid="{00000000-0002-0000-0300-000046010000}">
          <x14:formula1>
            <xm:f>項目!C17:$DNC$327681</xm:f>
          </x14:formula1>
          <xm:sqref>DNK327685:DNK327708</xm:sqref>
        </x14:dataValidation>
        <x14:dataValidation type="list" allowBlank="1" showInputMessage="1" showErrorMessage="1" xr:uid="{00000000-0002-0000-0300-000047010000}">
          <x14:formula1>
            <xm:f>項目!C17:$DWY$327681</xm:f>
          </x14:formula1>
          <xm:sqref>DXG327685:DXG327708</xm:sqref>
        </x14:dataValidation>
        <x14:dataValidation type="list" allowBlank="1" showInputMessage="1" showErrorMessage="1" xr:uid="{00000000-0002-0000-0300-000048010000}">
          <x14:formula1>
            <xm:f>項目!C17:$EGU$327681</xm:f>
          </x14:formula1>
          <xm:sqref>EHC327685:EHC327708</xm:sqref>
        </x14:dataValidation>
        <x14:dataValidation type="list" allowBlank="1" showInputMessage="1" showErrorMessage="1" xr:uid="{00000000-0002-0000-0300-000049010000}">
          <x14:formula1>
            <xm:f>項目!C17:$EQQ$327681</xm:f>
          </x14:formula1>
          <xm:sqref>EQY327685:EQY327708</xm:sqref>
        </x14:dataValidation>
        <x14:dataValidation type="list" allowBlank="1" showInputMessage="1" showErrorMessage="1" xr:uid="{00000000-0002-0000-0300-00004A010000}">
          <x14:formula1>
            <xm:f>項目!C17:$FAM$327681</xm:f>
          </x14:formula1>
          <xm:sqref>FAU327685:FAU327708</xm:sqref>
        </x14:dataValidation>
        <x14:dataValidation type="list" allowBlank="1" showInputMessage="1" showErrorMessage="1" xr:uid="{00000000-0002-0000-0300-00004B010000}">
          <x14:formula1>
            <xm:f>項目!C17:$FKI$327681</xm:f>
          </x14:formula1>
          <xm:sqref>FKQ327685:FKQ327708</xm:sqref>
        </x14:dataValidation>
        <x14:dataValidation type="list" allowBlank="1" showInputMessage="1" showErrorMessage="1" xr:uid="{00000000-0002-0000-0300-00004C010000}">
          <x14:formula1>
            <xm:f>項目!C17:$FUE$327681</xm:f>
          </x14:formula1>
          <xm:sqref>FUM327685:FUM327708</xm:sqref>
        </x14:dataValidation>
        <x14:dataValidation type="list" allowBlank="1" showInputMessage="1" showErrorMessage="1" xr:uid="{00000000-0002-0000-0300-00004D010000}">
          <x14:formula1>
            <xm:f>項目!C17:$GEA$327681</xm:f>
          </x14:formula1>
          <xm:sqref>GEI327685:GEI327708</xm:sqref>
        </x14:dataValidation>
        <x14:dataValidation type="list" allowBlank="1" showInputMessage="1" showErrorMessage="1" xr:uid="{00000000-0002-0000-0300-00004E010000}">
          <x14:formula1>
            <xm:f>項目!C17:$GNW$327681</xm:f>
          </x14:formula1>
          <xm:sqref>GOE327685:GOE327708</xm:sqref>
        </x14:dataValidation>
        <x14:dataValidation type="list" allowBlank="1" showInputMessage="1" showErrorMessage="1" xr:uid="{00000000-0002-0000-0300-00004F010000}">
          <x14:formula1>
            <xm:f>項目!C17:$GXS$327681</xm:f>
          </x14:formula1>
          <xm:sqref>GYA327685:GYA327708</xm:sqref>
        </x14:dataValidation>
        <x14:dataValidation type="list" allowBlank="1" showInputMessage="1" showErrorMessage="1" xr:uid="{00000000-0002-0000-0300-000050010000}">
          <x14:formula1>
            <xm:f>項目!C17:$HHO$327681</xm:f>
          </x14:formula1>
          <xm:sqref>HHW327685:HHW327708</xm:sqref>
        </x14:dataValidation>
        <x14:dataValidation type="list" allowBlank="1" showInputMessage="1" showErrorMessage="1" xr:uid="{00000000-0002-0000-0300-000051010000}">
          <x14:formula1>
            <xm:f>項目!C17:$HRK$327681</xm:f>
          </x14:formula1>
          <xm:sqref>HRS327685:HRS327708</xm:sqref>
        </x14:dataValidation>
        <x14:dataValidation type="list" allowBlank="1" showInputMessage="1" showErrorMessage="1" xr:uid="{00000000-0002-0000-0300-000052010000}">
          <x14:formula1>
            <xm:f>項目!C17:$IBG$327681</xm:f>
          </x14:formula1>
          <xm:sqref>IBO327685:IBO327708</xm:sqref>
        </x14:dataValidation>
        <x14:dataValidation type="list" allowBlank="1" showInputMessage="1" showErrorMessage="1" xr:uid="{00000000-0002-0000-0300-000053010000}">
          <x14:formula1>
            <xm:f>項目!C17:$ILC$327681</xm:f>
          </x14:formula1>
          <xm:sqref>ILK327685:ILK327708</xm:sqref>
        </x14:dataValidation>
        <x14:dataValidation type="list" allowBlank="1" showInputMessage="1" showErrorMessage="1" xr:uid="{00000000-0002-0000-0300-000054010000}">
          <x14:formula1>
            <xm:f>項目!C17:$IUY$327681</xm:f>
          </x14:formula1>
          <xm:sqref>IVG327685:IVG327708</xm:sqref>
        </x14:dataValidation>
        <x14:dataValidation type="list" allowBlank="1" showInputMessage="1" showErrorMessage="1" xr:uid="{00000000-0002-0000-0300-000055010000}">
          <x14:formula1>
            <xm:f>項目!C17:$JEU$327681</xm:f>
          </x14:formula1>
          <xm:sqref>JFC327685:JFC327708</xm:sqref>
        </x14:dataValidation>
        <x14:dataValidation type="list" allowBlank="1" showInputMessage="1" showErrorMessage="1" xr:uid="{00000000-0002-0000-0300-000056010000}">
          <x14:formula1>
            <xm:f>項目!C17:$JOQ$327681</xm:f>
          </x14:formula1>
          <xm:sqref>JOY327685:JOY327708</xm:sqref>
        </x14:dataValidation>
        <x14:dataValidation type="list" allowBlank="1" showInputMessage="1" showErrorMessage="1" xr:uid="{00000000-0002-0000-0300-000057010000}">
          <x14:formula1>
            <xm:f>項目!C17:$JYM$327681</xm:f>
          </x14:formula1>
          <xm:sqref>JYU327685:JYU327708</xm:sqref>
        </x14:dataValidation>
        <x14:dataValidation type="list" allowBlank="1" showInputMessage="1" showErrorMessage="1" xr:uid="{00000000-0002-0000-0300-000058010000}">
          <x14:formula1>
            <xm:f>項目!C17:$KII$327681</xm:f>
          </x14:formula1>
          <xm:sqref>KIQ327685:KIQ327708</xm:sqref>
        </x14:dataValidation>
        <x14:dataValidation type="list" allowBlank="1" showInputMessage="1" showErrorMessage="1" xr:uid="{00000000-0002-0000-0300-000059010000}">
          <x14:formula1>
            <xm:f>項目!C17:$KSE$327681</xm:f>
          </x14:formula1>
          <xm:sqref>KSM327685:KSM327708</xm:sqref>
        </x14:dataValidation>
        <x14:dataValidation type="list" allowBlank="1" showInputMessage="1" showErrorMessage="1" xr:uid="{00000000-0002-0000-0300-00005A010000}">
          <x14:formula1>
            <xm:f>項目!C17:$LCA$327681</xm:f>
          </x14:formula1>
          <xm:sqref>LCI327685:LCI327708</xm:sqref>
        </x14:dataValidation>
        <x14:dataValidation type="list" allowBlank="1" showInputMessage="1" showErrorMessage="1" xr:uid="{00000000-0002-0000-0300-00005B010000}">
          <x14:formula1>
            <xm:f>項目!C17:$LLW$327681</xm:f>
          </x14:formula1>
          <xm:sqref>LME327685:LME327708</xm:sqref>
        </x14:dataValidation>
        <x14:dataValidation type="list" allowBlank="1" showInputMessage="1" showErrorMessage="1" xr:uid="{00000000-0002-0000-0300-00005C010000}">
          <x14:formula1>
            <xm:f>項目!C17:$LVS$327681</xm:f>
          </x14:formula1>
          <xm:sqref>LWA327685:LWA327708</xm:sqref>
        </x14:dataValidation>
        <x14:dataValidation type="list" allowBlank="1" showInputMessage="1" showErrorMessage="1" xr:uid="{00000000-0002-0000-0300-00005D010000}">
          <x14:formula1>
            <xm:f>項目!C17:$MFO$327681</xm:f>
          </x14:formula1>
          <xm:sqref>MFW327685:MFW327708</xm:sqref>
        </x14:dataValidation>
        <x14:dataValidation type="list" allowBlank="1" showInputMessage="1" showErrorMessage="1" xr:uid="{00000000-0002-0000-0300-00005E010000}">
          <x14:formula1>
            <xm:f>項目!C17:$MPK$327681</xm:f>
          </x14:formula1>
          <xm:sqref>MPS327685:MPS327708</xm:sqref>
        </x14:dataValidation>
        <x14:dataValidation type="list" allowBlank="1" showInputMessage="1" showErrorMessage="1" xr:uid="{00000000-0002-0000-0300-00005F010000}">
          <x14:formula1>
            <xm:f>項目!C17:$MZG$327681</xm:f>
          </x14:formula1>
          <xm:sqref>MZO327685:MZO327708</xm:sqref>
        </x14:dataValidation>
        <x14:dataValidation type="list" allowBlank="1" showInputMessage="1" showErrorMessage="1" xr:uid="{00000000-0002-0000-0300-000060010000}">
          <x14:formula1>
            <xm:f>項目!C17:$NJC$327681</xm:f>
          </x14:formula1>
          <xm:sqref>NJK327685:NJK327708</xm:sqref>
        </x14:dataValidation>
        <x14:dataValidation type="list" allowBlank="1" showInputMessage="1" showErrorMessage="1" xr:uid="{00000000-0002-0000-0300-000061010000}">
          <x14:formula1>
            <xm:f>項目!C17:$NSY$327681</xm:f>
          </x14:formula1>
          <xm:sqref>NTG327685:NTG327708</xm:sqref>
        </x14:dataValidation>
        <x14:dataValidation type="list" allowBlank="1" showInputMessage="1" showErrorMessage="1" xr:uid="{00000000-0002-0000-0300-000062010000}">
          <x14:formula1>
            <xm:f>項目!C17:$OCU$327681</xm:f>
          </x14:formula1>
          <xm:sqref>ODC327685:ODC327708</xm:sqref>
        </x14:dataValidation>
        <x14:dataValidation type="list" allowBlank="1" showInputMessage="1" showErrorMessage="1" xr:uid="{00000000-0002-0000-0300-000063010000}">
          <x14:formula1>
            <xm:f>項目!C17:$OMQ$327681</xm:f>
          </x14:formula1>
          <xm:sqref>OMY327685:OMY327708</xm:sqref>
        </x14:dataValidation>
        <x14:dataValidation type="list" allowBlank="1" showInputMessage="1" showErrorMessage="1" xr:uid="{00000000-0002-0000-0300-000064010000}">
          <x14:formula1>
            <xm:f>項目!C17:$OWM$327681</xm:f>
          </x14:formula1>
          <xm:sqref>OWU327685:OWU327708</xm:sqref>
        </x14:dataValidation>
        <x14:dataValidation type="list" allowBlank="1" showInputMessage="1" showErrorMessage="1" xr:uid="{00000000-0002-0000-0300-000065010000}">
          <x14:formula1>
            <xm:f>項目!C17:$PGI$327681</xm:f>
          </x14:formula1>
          <xm:sqref>PGQ327685:PGQ327708</xm:sqref>
        </x14:dataValidation>
        <x14:dataValidation type="list" allowBlank="1" showInputMessage="1" showErrorMessage="1" xr:uid="{00000000-0002-0000-0300-000066010000}">
          <x14:formula1>
            <xm:f>項目!C17:$PQE$327681</xm:f>
          </x14:formula1>
          <xm:sqref>PQM327685:PQM327708</xm:sqref>
        </x14:dataValidation>
        <x14:dataValidation type="list" allowBlank="1" showInputMessage="1" showErrorMessage="1" xr:uid="{00000000-0002-0000-0300-000067010000}">
          <x14:formula1>
            <xm:f>項目!C17:$QAA$327681</xm:f>
          </x14:formula1>
          <xm:sqref>QAI327685:QAI327708</xm:sqref>
        </x14:dataValidation>
        <x14:dataValidation type="list" allowBlank="1" showInputMessage="1" showErrorMessage="1" xr:uid="{00000000-0002-0000-0300-000068010000}">
          <x14:formula1>
            <xm:f>項目!C17:$QJW$327681</xm:f>
          </x14:formula1>
          <xm:sqref>QKE327685:QKE327708</xm:sqref>
        </x14:dataValidation>
        <x14:dataValidation type="list" allowBlank="1" showInputMessage="1" showErrorMessage="1" xr:uid="{00000000-0002-0000-0300-000069010000}">
          <x14:formula1>
            <xm:f>項目!C17:$QTS$327681</xm:f>
          </x14:formula1>
          <xm:sqref>QUA327685:QUA327708</xm:sqref>
        </x14:dataValidation>
        <x14:dataValidation type="list" allowBlank="1" showInputMessage="1" showErrorMessage="1" xr:uid="{00000000-0002-0000-0300-00006A010000}">
          <x14:formula1>
            <xm:f>項目!C17:$RDO$327681</xm:f>
          </x14:formula1>
          <xm:sqref>RDW327685:RDW327708</xm:sqref>
        </x14:dataValidation>
        <x14:dataValidation type="list" allowBlank="1" showInputMessage="1" showErrorMessage="1" xr:uid="{00000000-0002-0000-0300-00006B010000}">
          <x14:formula1>
            <xm:f>項目!C17:$RNK$327681</xm:f>
          </x14:formula1>
          <xm:sqref>RNS327685:RNS327708</xm:sqref>
        </x14:dataValidation>
        <x14:dataValidation type="list" allowBlank="1" showInputMessage="1" showErrorMessage="1" xr:uid="{00000000-0002-0000-0300-00006C010000}">
          <x14:formula1>
            <xm:f>項目!C17:$RXG$327681</xm:f>
          </x14:formula1>
          <xm:sqref>RXO327685:RXO327708</xm:sqref>
        </x14:dataValidation>
        <x14:dataValidation type="list" allowBlank="1" showInputMessage="1" showErrorMessage="1" xr:uid="{00000000-0002-0000-0300-00006D010000}">
          <x14:formula1>
            <xm:f>項目!C17:$SHC$327681</xm:f>
          </x14:formula1>
          <xm:sqref>SHK327685:SHK327708</xm:sqref>
        </x14:dataValidation>
        <x14:dataValidation type="list" allowBlank="1" showInputMessage="1" showErrorMessage="1" xr:uid="{00000000-0002-0000-0300-00006E010000}">
          <x14:formula1>
            <xm:f>項目!C17:$SQY$327681</xm:f>
          </x14:formula1>
          <xm:sqref>SRG327685:SRG327708</xm:sqref>
        </x14:dataValidation>
        <x14:dataValidation type="list" allowBlank="1" showInputMessage="1" showErrorMessage="1" xr:uid="{00000000-0002-0000-0300-00006F010000}">
          <x14:formula1>
            <xm:f>項目!C17:$TAU$327681</xm:f>
          </x14:formula1>
          <xm:sqref>TBC327685:TBC327708</xm:sqref>
        </x14:dataValidation>
        <x14:dataValidation type="list" allowBlank="1" showInputMessage="1" showErrorMessage="1" xr:uid="{00000000-0002-0000-0300-000070010000}">
          <x14:formula1>
            <xm:f>項目!C17:$TKQ$327681</xm:f>
          </x14:formula1>
          <xm:sqref>TKY327685:TKY327708</xm:sqref>
        </x14:dataValidation>
        <x14:dataValidation type="list" allowBlank="1" showInputMessage="1" showErrorMessage="1" xr:uid="{00000000-0002-0000-0300-000071010000}">
          <x14:formula1>
            <xm:f>項目!C17:$TUM$327681</xm:f>
          </x14:formula1>
          <xm:sqref>TUU327685:TUU327708</xm:sqref>
        </x14:dataValidation>
        <x14:dataValidation type="list" allowBlank="1" showInputMessage="1" showErrorMessage="1" xr:uid="{00000000-0002-0000-0300-000072010000}">
          <x14:formula1>
            <xm:f>項目!C17:$UEI$327681</xm:f>
          </x14:formula1>
          <xm:sqref>UEQ327685:UEQ327708</xm:sqref>
        </x14:dataValidation>
        <x14:dataValidation type="list" allowBlank="1" showInputMessage="1" showErrorMessage="1" xr:uid="{00000000-0002-0000-0300-000073010000}">
          <x14:formula1>
            <xm:f>項目!C17:$UOE$327681</xm:f>
          </x14:formula1>
          <xm:sqref>UOM327685:UOM327708</xm:sqref>
        </x14:dataValidation>
        <x14:dataValidation type="list" allowBlank="1" showInputMessage="1" showErrorMessage="1" xr:uid="{00000000-0002-0000-0300-000074010000}">
          <x14:formula1>
            <xm:f>項目!C17:$UYA$327681</xm:f>
          </x14:formula1>
          <xm:sqref>UYI327685:UYI327708</xm:sqref>
        </x14:dataValidation>
        <x14:dataValidation type="list" allowBlank="1" showInputMessage="1" showErrorMessage="1" xr:uid="{00000000-0002-0000-0300-000075010000}">
          <x14:formula1>
            <xm:f>項目!C17:$VHW$327681</xm:f>
          </x14:formula1>
          <xm:sqref>VIE327685:VIE327708</xm:sqref>
        </x14:dataValidation>
        <x14:dataValidation type="list" allowBlank="1" showInputMessage="1" showErrorMessage="1" xr:uid="{00000000-0002-0000-0300-000076010000}">
          <x14:formula1>
            <xm:f>項目!C17:$VRS$327681</xm:f>
          </x14:formula1>
          <xm:sqref>VSA327685:VSA327708</xm:sqref>
        </x14:dataValidation>
        <x14:dataValidation type="list" allowBlank="1" showInputMessage="1" showErrorMessage="1" xr:uid="{00000000-0002-0000-0300-000077010000}">
          <x14:formula1>
            <xm:f>項目!C17:$WBO$327681</xm:f>
          </x14:formula1>
          <xm:sqref>WBW327685:WBW327708</xm:sqref>
        </x14:dataValidation>
        <x14:dataValidation type="list" allowBlank="1" showInputMessage="1" showErrorMessage="1" xr:uid="{00000000-0002-0000-0300-000078010000}">
          <x14:formula1>
            <xm:f>項目!C17:$WLK$327681</xm:f>
          </x14:formula1>
          <xm:sqref>WLS327685:WLS327708</xm:sqref>
        </x14:dataValidation>
        <x14:dataValidation type="list" allowBlank="1" showInputMessage="1" showErrorMessage="1" xr:uid="{00000000-0002-0000-0300-000079010000}">
          <x14:formula1>
            <xm:f>項目!C17:$WVG$327681</xm:f>
          </x14:formula1>
          <xm:sqref>WVO327685:WVO327708</xm:sqref>
        </x14:dataValidation>
        <x14:dataValidation type="list" allowBlank="1" showInputMessage="1" showErrorMessage="1" xr:uid="{00000000-0002-0000-0300-00007A010000}">
          <x14:formula1>
            <xm:f>項目!C17:$IU$393217</xm:f>
          </x14:formula1>
          <xm:sqref>JC393221:JC393244</xm:sqref>
        </x14:dataValidation>
        <x14:dataValidation type="list" allowBlank="1" showInputMessage="1" showErrorMessage="1" xr:uid="{00000000-0002-0000-0300-00007B010000}">
          <x14:formula1>
            <xm:f>項目!C17:$SQ$393217</xm:f>
          </x14:formula1>
          <xm:sqref>SY393221:SY393244</xm:sqref>
        </x14:dataValidation>
        <x14:dataValidation type="list" allowBlank="1" showInputMessage="1" showErrorMessage="1" xr:uid="{00000000-0002-0000-0300-00007C010000}">
          <x14:formula1>
            <xm:f>項目!C17:$ACM$393217</xm:f>
          </x14:formula1>
          <xm:sqref>ACU393221:ACU393244</xm:sqref>
        </x14:dataValidation>
        <x14:dataValidation type="list" allowBlank="1" showInputMessage="1" showErrorMessage="1" xr:uid="{00000000-0002-0000-0300-00007D010000}">
          <x14:formula1>
            <xm:f>項目!C17:$AMI$393217</xm:f>
          </x14:formula1>
          <xm:sqref>AMQ393221:AMQ393244</xm:sqref>
        </x14:dataValidation>
        <x14:dataValidation type="list" allowBlank="1" showInputMessage="1" showErrorMessage="1" xr:uid="{00000000-0002-0000-0300-00007E010000}">
          <x14:formula1>
            <xm:f>項目!C17:$AWE$393217</xm:f>
          </x14:formula1>
          <xm:sqref>AWM393221:AWM393244</xm:sqref>
        </x14:dataValidation>
        <x14:dataValidation type="list" allowBlank="1" showInputMessage="1" showErrorMessage="1" xr:uid="{00000000-0002-0000-0300-00007F010000}">
          <x14:formula1>
            <xm:f>項目!C17:$BGA$393217</xm:f>
          </x14:formula1>
          <xm:sqref>BGI393221:BGI393244</xm:sqref>
        </x14:dataValidation>
        <x14:dataValidation type="list" allowBlank="1" showInputMessage="1" showErrorMessage="1" xr:uid="{00000000-0002-0000-0300-000080010000}">
          <x14:formula1>
            <xm:f>項目!C17:$BPW$393217</xm:f>
          </x14:formula1>
          <xm:sqref>BQE393221:BQE393244</xm:sqref>
        </x14:dataValidation>
        <x14:dataValidation type="list" allowBlank="1" showInputMessage="1" showErrorMessage="1" xr:uid="{00000000-0002-0000-0300-000081010000}">
          <x14:formula1>
            <xm:f>項目!C17:$BZS$393217</xm:f>
          </x14:formula1>
          <xm:sqref>CAA393221:CAA393244</xm:sqref>
        </x14:dataValidation>
        <x14:dataValidation type="list" allowBlank="1" showInputMessage="1" showErrorMessage="1" xr:uid="{00000000-0002-0000-0300-000082010000}">
          <x14:formula1>
            <xm:f>項目!C17:$CJO$393217</xm:f>
          </x14:formula1>
          <xm:sqref>CJW393221:CJW393244</xm:sqref>
        </x14:dataValidation>
        <x14:dataValidation type="list" allowBlank="1" showInputMessage="1" showErrorMessage="1" xr:uid="{00000000-0002-0000-0300-000083010000}">
          <x14:formula1>
            <xm:f>項目!C17:$CTK$393217</xm:f>
          </x14:formula1>
          <xm:sqref>CTS393221:CTS393244</xm:sqref>
        </x14:dataValidation>
        <x14:dataValidation type="list" allowBlank="1" showInputMessage="1" showErrorMessage="1" xr:uid="{00000000-0002-0000-0300-000084010000}">
          <x14:formula1>
            <xm:f>項目!C17:$DDG$393217</xm:f>
          </x14:formula1>
          <xm:sqref>DDO393221:DDO393244</xm:sqref>
        </x14:dataValidation>
        <x14:dataValidation type="list" allowBlank="1" showInputMessage="1" showErrorMessage="1" xr:uid="{00000000-0002-0000-0300-000085010000}">
          <x14:formula1>
            <xm:f>項目!C17:$DNC$393217</xm:f>
          </x14:formula1>
          <xm:sqref>DNK393221:DNK393244</xm:sqref>
        </x14:dataValidation>
        <x14:dataValidation type="list" allowBlank="1" showInputMessage="1" showErrorMessage="1" xr:uid="{00000000-0002-0000-0300-000086010000}">
          <x14:formula1>
            <xm:f>項目!C17:$DWY$393217</xm:f>
          </x14:formula1>
          <xm:sqref>DXG393221:DXG393244</xm:sqref>
        </x14:dataValidation>
        <x14:dataValidation type="list" allowBlank="1" showInputMessage="1" showErrorMessage="1" xr:uid="{00000000-0002-0000-0300-000087010000}">
          <x14:formula1>
            <xm:f>項目!C17:$EGU$393217</xm:f>
          </x14:formula1>
          <xm:sqref>EHC393221:EHC393244</xm:sqref>
        </x14:dataValidation>
        <x14:dataValidation type="list" allowBlank="1" showInputMessage="1" showErrorMessage="1" xr:uid="{00000000-0002-0000-0300-000088010000}">
          <x14:formula1>
            <xm:f>項目!C17:$EQQ$393217</xm:f>
          </x14:formula1>
          <xm:sqref>EQY393221:EQY393244</xm:sqref>
        </x14:dataValidation>
        <x14:dataValidation type="list" allowBlank="1" showInputMessage="1" showErrorMessage="1" xr:uid="{00000000-0002-0000-0300-000089010000}">
          <x14:formula1>
            <xm:f>項目!C17:$FAM$393217</xm:f>
          </x14:formula1>
          <xm:sqref>FAU393221:FAU393244</xm:sqref>
        </x14:dataValidation>
        <x14:dataValidation type="list" allowBlank="1" showInputMessage="1" showErrorMessage="1" xr:uid="{00000000-0002-0000-0300-00008A010000}">
          <x14:formula1>
            <xm:f>項目!C17:$FKI$393217</xm:f>
          </x14:formula1>
          <xm:sqref>FKQ393221:FKQ393244</xm:sqref>
        </x14:dataValidation>
        <x14:dataValidation type="list" allowBlank="1" showInputMessage="1" showErrorMessage="1" xr:uid="{00000000-0002-0000-0300-00008B010000}">
          <x14:formula1>
            <xm:f>項目!C17:$FUE$393217</xm:f>
          </x14:formula1>
          <xm:sqref>FUM393221:FUM393244</xm:sqref>
        </x14:dataValidation>
        <x14:dataValidation type="list" allowBlank="1" showInputMessage="1" showErrorMessage="1" xr:uid="{00000000-0002-0000-0300-00008C010000}">
          <x14:formula1>
            <xm:f>項目!C17:$GEA$393217</xm:f>
          </x14:formula1>
          <xm:sqref>GEI393221:GEI393244</xm:sqref>
        </x14:dataValidation>
        <x14:dataValidation type="list" allowBlank="1" showInputMessage="1" showErrorMessage="1" xr:uid="{00000000-0002-0000-0300-00008D010000}">
          <x14:formula1>
            <xm:f>項目!C17:$GNW$393217</xm:f>
          </x14:formula1>
          <xm:sqref>GOE393221:GOE393244</xm:sqref>
        </x14:dataValidation>
        <x14:dataValidation type="list" allowBlank="1" showInputMessage="1" showErrorMessage="1" xr:uid="{00000000-0002-0000-0300-00008E010000}">
          <x14:formula1>
            <xm:f>項目!C17:$GXS$393217</xm:f>
          </x14:formula1>
          <xm:sqref>GYA393221:GYA393244</xm:sqref>
        </x14:dataValidation>
        <x14:dataValidation type="list" allowBlank="1" showInputMessage="1" showErrorMessage="1" xr:uid="{00000000-0002-0000-0300-00008F010000}">
          <x14:formula1>
            <xm:f>項目!C17:$HHO$393217</xm:f>
          </x14:formula1>
          <xm:sqref>HHW393221:HHW393244</xm:sqref>
        </x14:dataValidation>
        <x14:dataValidation type="list" allowBlank="1" showInputMessage="1" showErrorMessage="1" xr:uid="{00000000-0002-0000-0300-000090010000}">
          <x14:formula1>
            <xm:f>項目!C17:$HRK$393217</xm:f>
          </x14:formula1>
          <xm:sqref>HRS393221:HRS393244</xm:sqref>
        </x14:dataValidation>
        <x14:dataValidation type="list" allowBlank="1" showInputMessage="1" showErrorMessage="1" xr:uid="{00000000-0002-0000-0300-000091010000}">
          <x14:formula1>
            <xm:f>項目!C17:$IBG$393217</xm:f>
          </x14:formula1>
          <xm:sqref>IBO393221:IBO393244</xm:sqref>
        </x14:dataValidation>
        <x14:dataValidation type="list" allowBlank="1" showInputMessage="1" showErrorMessage="1" xr:uid="{00000000-0002-0000-0300-000092010000}">
          <x14:formula1>
            <xm:f>項目!C17:$ILC$393217</xm:f>
          </x14:formula1>
          <xm:sqref>ILK393221:ILK393244</xm:sqref>
        </x14:dataValidation>
        <x14:dataValidation type="list" allowBlank="1" showInputMessage="1" showErrorMessage="1" xr:uid="{00000000-0002-0000-0300-000093010000}">
          <x14:formula1>
            <xm:f>項目!C17:$IUY$393217</xm:f>
          </x14:formula1>
          <xm:sqref>IVG393221:IVG393244</xm:sqref>
        </x14:dataValidation>
        <x14:dataValidation type="list" allowBlank="1" showInputMessage="1" showErrorMessage="1" xr:uid="{00000000-0002-0000-0300-000094010000}">
          <x14:formula1>
            <xm:f>項目!C17:$JEU$393217</xm:f>
          </x14:formula1>
          <xm:sqref>JFC393221:JFC393244</xm:sqref>
        </x14:dataValidation>
        <x14:dataValidation type="list" allowBlank="1" showInputMessage="1" showErrorMessage="1" xr:uid="{00000000-0002-0000-0300-000095010000}">
          <x14:formula1>
            <xm:f>項目!C17:$JOQ$393217</xm:f>
          </x14:formula1>
          <xm:sqref>JOY393221:JOY393244</xm:sqref>
        </x14:dataValidation>
        <x14:dataValidation type="list" allowBlank="1" showInputMessage="1" showErrorMessage="1" xr:uid="{00000000-0002-0000-0300-000096010000}">
          <x14:formula1>
            <xm:f>項目!C17:$JYM$393217</xm:f>
          </x14:formula1>
          <xm:sqref>JYU393221:JYU393244</xm:sqref>
        </x14:dataValidation>
        <x14:dataValidation type="list" allowBlank="1" showInputMessage="1" showErrorMessage="1" xr:uid="{00000000-0002-0000-0300-000097010000}">
          <x14:formula1>
            <xm:f>項目!C17:$KII$393217</xm:f>
          </x14:formula1>
          <xm:sqref>KIQ393221:KIQ393244</xm:sqref>
        </x14:dataValidation>
        <x14:dataValidation type="list" allowBlank="1" showInputMessage="1" showErrorMessage="1" xr:uid="{00000000-0002-0000-0300-000098010000}">
          <x14:formula1>
            <xm:f>項目!C17:$KSE$393217</xm:f>
          </x14:formula1>
          <xm:sqref>KSM393221:KSM393244</xm:sqref>
        </x14:dataValidation>
        <x14:dataValidation type="list" allowBlank="1" showInputMessage="1" showErrorMessage="1" xr:uid="{00000000-0002-0000-0300-000099010000}">
          <x14:formula1>
            <xm:f>項目!C17:$LCA$393217</xm:f>
          </x14:formula1>
          <xm:sqref>LCI393221:LCI393244</xm:sqref>
        </x14:dataValidation>
        <x14:dataValidation type="list" allowBlank="1" showInputMessage="1" showErrorMessage="1" xr:uid="{00000000-0002-0000-0300-00009A010000}">
          <x14:formula1>
            <xm:f>項目!C17:$LLW$393217</xm:f>
          </x14:formula1>
          <xm:sqref>LME393221:LME393244</xm:sqref>
        </x14:dataValidation>
        <x14:dataValidation type="list" allowBlank="1" showInputMessage="1" showErrorMessage="1" xr:uid="{00000000-0002-0000-0300-00009B010000}">
          <x14:formula1>
            <xm:f>項目!C17:$LVS$393217</xm:f>
          </x14:formula1>
          <xm:sqref>LWA393221:LWA393244</xm:sqref>
        </x14:dataValidation>
        <x14:dataValidation type="list" allowBlank="1" showInputMessage="1" showErrorMessage="1" xr:uid="{00000000-0002-0000-0300-00009C010000}">
          <x14:formula1>
            <xm:f>項目!C17:$MFO$393217</xm:f>
          </x14:formula1>
          <xm:sqref>MFW393221:MFW393244</xm:sqref>
        </x14:dataValidation>
        <x14:dataValidation type="list" allowBlank="1" showInputMessage="1" showErrorMessage="1" xr:uid="{00000000-0002-0000-0300-00009D010000}">
          <x14:formula1>
            <xm:f>項目!C17:$MPK$393217</xm:f>
          </x14:formula1>
          <xm:sqref>MPS393221:MPS393244</xm:sqref>
        </x14:dataValidation>
        <x14:dataValidation type="list" allowBlank="1" showInputMessage="1" showErrorMessage="1" xr:uid="{00000000-0002-0000-0300-00009E010000}">
          <x14:formula1>
            <xm:f>項目!C17:$MZG$393217</xm:f>
          </x14:formula1>
          <xm:sqref>MZO393221:MZO393244</xm:sqref>
        </x14:dataValidation>
        <x14:dataValidation type="list" allowBlank="1" showInputMessage="1" showErrorMessage="1" xr:uid="{00000000-0002-0000-0300-00009F010000}">
          <x14:formula1>
            <xm:f>項目!C17:$NJC$393217</xm:f>
          </x14:formula1>
          <xm:sqref>NJK393221:NJK393244</xm:sqref>
        </x14:dataValidation>
        <x14:dataValidation type="list" allowBlank="1" showInputMessage="1" showErrorMessage="1" xr:uid="{00000000-0002-0000-0300-0000A0010000}">
          <x14:formula1>
            <xm:f>項目!C17:$NSY$393217</xm:f>
          </x14:formula1>
          <xm:sqref>NTG393221:NTG393244</xm:sqref>
        </x14:dataValidation>
        <x14:dataValidation type="list" allowBlank="1" showInputMessage="1" showErrorMessage="1" xr:uid="{00000000-0002-0000-0300-0000A1010000}">
          <x14:formula1>
            <xm:f>項目!C17:$OCU$393217</xm:f>
          </x14:formula1>
          <xm:sqref>ODC393221:ODC393244</xm:sqref>
        </x14:dataValidation>
        <x14:dataValidation type="list" allowBlank="1" showInputMessage="1" showErrorMessage="1" xr:uid="{00000000-0002-0000-0300-0000A2010000}">
          <x14:formula1>
            <xm:f>項目!C17:$OMQ$393217</xm:f>
          </x14:formula1>
          <xm:sqref>OMY393221:OMY393244</xm:sqref>
        </x14:dataValidation>
        <x14:dataValidation type="list" allowBlank="1" showInputMessage="1" showErrorMessage="1" xr:uid="{00000000-0002-0000-0300-0000A3010000}">
          <x14:formula1>
            <xm:f>項目!C17:$OWM$393217</xm:f>
          </x14:formula1>
          <xm:sqref>OWU393221:OWU393244</xm:sqref>
        </x14:dataValidation>
        <x14:dataValidation type="list" allowBlank="1" showInputMessage="1" showErrorMessage="1" xr:uid="{00000000-0002-0000-0300-0000A4010000}">
          <x14:formula1>
            <xm:f>項目!C17:$PGI$393217</xm:f>
          </x14:formula1>
          <xm:sqref>PGQ393221:PGQ393244</xm:sqref>
        </x14:dataValidation>
        <x14:dataValidation type="list" allowBlank="1" showInputMessage="1" showErrorMessage="1" xr:uid="{00000000-0002-0000-0300-0000A5010000}">
          <x14:formula1>
            <xm:f>項目!C17:$PQE$393217</xm:f>
          </x14:formula1>
          <xm:sqref>PQM393221:PQM393244</xm:sqref>
        </x14:dataValidation>
        <x14:dataValidation type="list" allowBlank="1" showInputMessage="1" showErrorMessage="1" xr:uid="{00000000-0002-0000-0300-0000A6010000}">
          <x14:formula1>
            <xm:f>項目!C17:$QAA$393217</xm:f>
          </x14:formula1>
          <xm:sqref>QAI393221:QAI393244</xm:sqref>
        </x14:dataValidation>
        <x14:dataValidation type="list" allowBlank="1" showInputMessage="1" showErrorMessage="1" xr:uid="{00000000-0002-0000-0300-0000A7010000}">
          <x14:formula1>
            <xm:f>項目!C17:$QJW$393217</xm:f>
          </x14:formula1>
          <xm:sqref>QKE393221:QKE393244</xm:sqref>
        </x14:dataValidation>
        <x14:dataValidation type="list" allowBlank="1" showInputMessage="1" showErrorMessage="1" xr:uid="{00000000-0002-0000-0300-0000A8010000}">
          <x14:formula1>
            <xm:f>項目!C17:$QTS$393217</xm:f>
          </x14:formula1>
          <xm:sqref>QUA393221:QUA393244</xm:sqref>
        </x14:dataValidation>
        <x14:dataValidation type="list" allowBlank="1" showInputMessage="1" showErrorMessage="1" xr:uid="{00000000-0002-0000-0300-0000A9010000}">
          <x14:formula1>
            <xm:f>項目!C17:$RDO$393217</xm:f>
          </x14:formula1>
          <xm:sqref>RDW393221:RDW393244</xm:sqref>
        </x14:dataValidation>
        <x14:dataValidation type="list" allowBlank="1" showInputMessage="1" showErrorMessage="1" xr:uid="{00000000-0002-0000-0300-0000AA010000}">
          <x14:formula1>
            <xm:f>項目!C17:$RNK$393217</xm:f>
          </x14:formula1>
          <xm:sqref>RNS393221:RNS393244</xm:sqref>
        </x14:dataValidation>
        <x14:dataValidation type="list" allowBlank="1" showInputMessage="1" showErrorMessage="1" xr:uid="{00000000-0002-0000-0300-0000AB010000}">
          <x14:formula1>
            <xm:f>項目!C17:$RXG$393217</xm:f>
          </x14:formula1>
          <xm:sqref>RXO393221:RXO393244</xm:sqref>
        </x14:dataValidation>
        <x14:dataValidation type="list" allowBlank="1" showInputMessage="1" showErrorMessage="1" xr:uid="{00000000-0002-0000-0300-0000AC010000}">
          <x14:formula1>
            <xm:f>項目!C17:$SHC$393217</xm:f>
          </x14:formula1>
          <xm:sqref>SHK393221:SHK393244</xm:sqref>
        </x14:dataValidation>
        <x14:dataValidation type="list" allowBlank="1" showInputMessage="1" showErrorMessage="1" xr:uid="{00000000-0002-0000-0300-0000AD010000}">
          <x14:formula1>
            <xm:f>項目!C17:$SQY$393217</xm:f>
          </x14:formula1>
          <xm:sqref>SRG393221:SRG393244</xm:sqref>
        </x14:dataValidation>
        <x14:dataValidation type="list" allowBlank="1" showInputMessage="1" showErrorMessage="1" xr:uid="{00000000-0002-0000-0300-0000AE010000}">
          <x14:formula1>
            <xm:f>項目!C17:$TAU$393217</xm:f>
          </x14:formula1>
          <xm:sqref>TBC393221:TBC393244</xm:sqref>
        </x14:dataValidation>
        <x14:dataValidation type="list" allowBlank="1" showInputMessage="1" showErrorMessage="1" xr:uid="{00000000-0002-0000-0300-0000AF010000}">
          <x14:formula1>
            <xm:f>項目!C17:$TKQ$393217</xm:f>
          </x14:formula1>
          <xm:sqref>TKY393221:TKY393244</xm:sqref>
        </x14:dataValidation>
        <x14:dataValidation type="list" allowBlank="1" showInputMessage="1" showErrorMessage="1" xr:uid="{00000000-0002-0000-0300-0000B0010000}">
          <x14:formula1>
            <xm:f>項目!C17:$TUM$393217</xm:f>
          </x14:formula1>
          <xm:sqref>TUU393221:TUU393244</xm:sqref>
        </x14:dataValidation>
        <x14:dataValidation type="list" allowBlank="1" showInputMessage="1" showErrorMessage="1" xr:uid="{00000000-0002-0000-0300-0000B1010000}">
          <x14:formula1>
            <xm:f>項目!C17:$UEI$393217</xm:f>
          </x14:formula1>
          <xm:sqref>UEQ393221:UEQ393244</xm:sqref>
        </x14:dataValidation>
        <x14:dataValidation type="list" allowBlank="1" showInputMessage="1" showErrorMessage="1" xr:uid="{00000000-0002-0000-0300-0000B2010000}">
          <x14:formula1>
            <xm:f>項目!C17:$UOE$393217</xm:f>
          </x14:formula1>
          <xm:sqref>UOM393221:UOM393244</xm:sqref>
        </x14:dataValidation>
        <x14:dataValidation type="list" allowBlank="1" showInputMessage="1" showErrorMessage="1" xr:uid="{00000000-0002-0000-0300-0000B3010000}">
          <x14:formula1>
            <xm:f>項目!C17:$UYA$393217</xm:f>
          </x14:formula1>
          <xm:sqref>UYI393221:UYI393244</xm:sqref>
        </x14:dataValidation>
        <x14:dataValidation type="list" allowBlank="1" showInputMessage="1" showErrorMessage="1" xr:uid="{00000000-0002-0000-0300-0000B4010000}">
          <x14:formula1>
            <xm:f>項目!C17:$VHW$393217</xm:f>
          </x14:formula1>
          <xm:sqref>VIE393221:VIE393244</xm:sqref>
        </x14:dataValidation>
        <x14:dataValidation type="list" allowBlank="1" showInputMessage="1" showErrorMessage="1" xr:uid="{00000000-0002-0000-0300-0000B5010000}">
          <x14:formula1>
            <xm:f>項目!C17:$VRS$393217</xm:f>
          </x14:formula1>
          <xm:sqref>VSA393221:VSA393244</xm:sqref>
        </x14:dataValidation>
        <x14:dataValidation type="list" allowBlank="1" showInputMessage="1" showErrorMessage="1" xr:uid="{00000000-0002-0000-0300-0000B6010000}">
          <x14:formula1>
            <xm:f>項目!C17:$WBO$393217</xm:f>
          </x14:formula1>
          <xm:sqref>WBW393221:WBW393244</xm:sqref>
        </x14:dataValidation>
        <x14:dataValidation type="list" allowBlank="1" showInputMessage="1" showErrorMessage="1" xr:uid="{00000000-0002-0000-0300-0000B7010000}">
          <x14:formula1>
            <xm:f>項目!C17:$WLK$393217</xm:f>
          </x14:formula1>
          <xm:sqref>WLS393221:WLS393244</xm:sqref>
        </x14:dataValidation>
        <x14:dataValidation type="list" allowBlank="1" showInputMessage="1" showErrorMessage="1" xr:uid="{00000000-0002-0000-0300-0000B8010000}">
          <x14:formula1>
            <xm:f>項目!C17:$WVG$393217</xm:f>
          </x14:formula1>
          <xm:sqref>WVO393221:WVO393244</xm:sqref>
        </x14:dataValidation>
        <x14:dataValidation type="list" allowBlank="1" showInputMessage="1" showErrorMessage="1" xr:uid="{00000000-0002-0000-0300-0000B9010000}">
          <x14:formula1>
            <xm:f>項目!C17:$IU$458753</xm:f>
          </x14:formula1>
          <xm:sqref>JC458757:JC458780</xm:sqref>
        </x14:dataValidation>
        <x14:dataValidation type="list" allowBlank="1" showInputMessage="1" showErrorMessage="1" xr:uid="{00000000-0002-0000-0300-0000BA010000}">
          <x14:formula1>
            <xm:f>項目!C17:$SQ$458753</xm:f>
          </x14:formula1>
          <xm:sqref>SY458757:SY458780</xm:sqref>
        </x14:dataValidation>
        <x14:dataValidation type="list" allowBlank="1" showInputMessage="1" showErrorMessage="1" xr:uid="{00000000-0002-0000-0300-0000BB010000}">
          <x14:formula1>
            <xm:f>項目!C17:$ACM$458753</xm:f>
          </x14:formula1>
          <xm:sqref>ACU458757:ACU458780</xm:sqref>
        </x14:dataValidation>
        <x14:dataValidation type="list" allowBlank="1" showInputMessage="1" showErrorMessage="1" xr:uid="{00000000-0002-0000-0300-0000BC010000}">
          <x14:formula1>
            <xm:f>項目!C17:$AMI$458753</xm:f>
          </x14:formula1>
          <xm:sqref>AMQ458757:AMQ458780</xm:sqref>
        </x14:dataValidation>
        <x14:dataValidation type="list" allowBlank="1" showInputMessage="1" showErrorMessage="1" xr:uid="{00000000-0002-0000-0300-0000BD010000}">
          <x14:formula1>
            <xm:f>項目!C17:$AWE$458753</xm:f>
          </x14:formula1>
          <xm:sqref>AWM458757:AWM458780</xm:sqref>
        </x14:dataValidation>
        <x14:dataValidation type="list" allowBlank="1" showInputMessage="1" showErrorMessage="1" xr:uid="{00000000-0002-0000-0300-0000BE010000}">
          <x14:formula1>
            <xm:f>項目!C17:$BGA$458753</xm:f>
          </x14:formula1>
          <xm:sqref>BGI458757:BGI458780</xm:sqref>
        </x14:dataValidation>
        <x14:dataValidation type="list" allowBlank="1" showInputMessage="1" showErrorMessage="1" xr:uid="{00000000-0002-0000-0300-0000BF010000}">
          <x14:formula1>
            <xm:f>項目!C17:$BPW$458753</xm:f>
          </x14:formula1>
          <xm:sqref>BQE458757:BQE458780</xm:sqref>
        </x14:dataValidation>
        <x14:dataValidation type="list" allowBlank="1" showInputMessage="1" showErrorMessage="1" xr:uid="{00000000-0002-0000-0300-0000C0010000}">
          <x14:formula1>
            <xm:f>項目!C17:$BZS$458753</xm:f>
          </x14:formula1>
          <xm:sqref>CAA458757:CAA458780</xm:sqref>
        </x14:dataValidation>
        <x14:dataValidation type="list" allowBlank="1" showInputMessage="1" showErrorMessage="1" xr:uid="{00000000-0002-0000-0300-0000C1010000}">
          <x14:formula1>
            <xm:f>項目!C17:$CJO$458753</xm:f>
          </x14:formula1>
          <xm:sqref>CJW458757:CJW458780</xm:sqref>
        </x14:dataValidation>
        <x14:dataValidation type="list" allowBlank="1" showInputMessage="1" showErrorMessage="1" xr:uid="{00000000-0002-0000-0300-0000C2010000}">
          <x14:formula1>
            <xm:f>項目!C17:$CTK$458753</xm:f>
          </x14:formula1>
          <xm:sqref>CTS458757:CTS458780</xm:sqref>
        </x14:dataValidation>
        <x14:dataValidation type="list" allowBlank="1" showInputMessage="1" showErrorMessage="1" xr:uid="{00000000-0002-0000-0300-0000C3010000}">
          <x14:formula1>
            <xm:f>項目!C17:$DDG$458753</xm:f>
          </x14:formula1>
          <xm:sqref>DDO458757:DDO458780</xm:sqref>
        </x14:dataValidation>
        <x14:dataValidation type="list" allowBlank="1" showInputMessage="1" showErrorMessage="1" xr:uid="{00000000-0002-0000-0300-0000C4010000}">
          <x14:formula1>
            <xm:f>項目!C17:$DNC$458753</xm:f>
          </x14:formula1>
          <xm:sqref>DNK458757:DNK458780</xm:sqref>
        </x14:dataValidation>
        <x14:dataValidation type="list" allowBlank="1" showInputMessage="1" showErrorMessage="1" xr:uid="{00000000-0002-0000-0300-0000C5010000}">
          <x14:formula1>
            <xm:f>項目!C17:$DWY$458753</xm:f>
          </x14:formula1>
          <xm:sqref>DXG458757:DXG458780</xm:sqref>
        </x14:dataValidation>
        <x14:dataValidation type="list" allowBlank="1" showInputMessage="1" showErrorMessage="1" xr:uid="{00000000-0002-0000-0300-0000C6010000}">
          <x14:formula1>
            <xm:f>項目!C17:$EGU$458753</xm:f>
          </x14:formula1>
          <xm:sqref>EHC458757:EHC458780</xm:sqref>
        </x14:dataValidation>
        <x14:dataValidation type="list" allowBlank="1" showInputMessage="1" showErrorMessage="1" xr:uid="{00000000-0002-0000-0300-0000C7010000}">
          <x14:formula1>
            <xm:f>項目!C17:$EQQ$458753</xm:f>
          </x14:formula1>
          <xm:sqref>EQY458757:EQY458780</xm:sqref>
        </x14:dataValidation>
        <x14:dataValidation type="list" allowBlank="1" showInputMessage="1" showErrorMessage="1" xr:uid="{00000000-0002-0000-0300-0000C8010000}">
          <x14:formula1>
            <xm:f>項目!C17:$FAM$458753</xm:f>
          </x14:formula1>
          <xm:sqref>FAU458757:FAU458780</xm:sqref>
        </x14:dataValidation>
        <x14:dataValidation type="list" allowBlank="1" showInputMessage="1" showErrorMessage="1" xr:uid="{00000000-0002-0000-0300-0000C9010000}">
          <x14:formula1>
            <xm:f>項目!C17:$FKI$458753</xm:f>
          </x14:formula1>
          <xm:sqref>FKQ458757:FKQ458780</xm:sqref>
        </x14:dataValidation>
        <x14:dataValidation type="list" allowBlank="1" showInputMessage="1" showErrorMessage="1" xr:uid="{00000000-0002-0000-0300-0000CA010000}">
          <x14:formula1>
            <xm:f>項目!C17:$FUE$458753</xm:f>
          </x14:formula1>
          <xm:sqref>FUM458757:FUM458780</xm:sqref>
        </x14:dataValidation>
        <x14:dataValidation type="list" allowBlank="1" showInputMessage="1" showErrorMessage="1" xr:uid="{00000000-0002-0000-0300-0000CB010000}">
          <x14:formula1>
            <xm:f>項目!C17:$GEA$458753</xm:f>
          </x14:formula1>
          <xm:sqref>GEI458757:GEI458780</xm:sqref>
        </x14:dataValidation>
        <x14:dataValidation type="list" allowBlank="1" showInputMessage="1" showErrorMessage="1" xr:uid="{00000000-0002-0000-0300-0000CC010000}">
          <x14:formula1>
            <xm:f>項目!C17:$GNW$458753</xm:f>
          </x14:formula1>
          <xm:sqref>GOE458757:GOE458780</xm:sqref>
        </x14:dataValidation>
        <x14:dataValidation type="list" allowBlank="1" showInputMessage="1" showErrorMessage="1" xr:uid="{00000000-0002-0000-0300-0000CD010000}">
          <x14:formula1>
            <xm:f>項目!C17:$GXS$458753</xm:f>
          </x14:formula1>
          <xm:sqref>GYA458757:GYA458780</xm:sqref>
        </x14:dataValidation>
        <x14:dataValidation type="list" allowBlank="1" showInputMessage="1" showErrorMessage="1" xr:uid="{00000000-0002-0000-0300-0000CE010000}">
          <x14:formula1>
            <xm:f>項目!C17:$HHO$458753</xm:f>
          </x14:formula1>
          <xm:sqref>HHW458757:HHW458780</xm:sqref>
        </x14:dataValidation>
        <x14:dataValidation type="list" allowBlank="1" showInputMessage="1" showErrorMessage="1" xr:uid="{00000000-0002-0000-0300-0000CF010000}">
          <x14:formula1>
            <xm:f>項目!C17:$HRK$458753</xm:f>
          </x14:formula1>
          <xm:sqref>HRS458757:HRS458780</xm:sqref>
        </x14:dataValidation>
        <x14:dataValidation type="list" allowBlank="1" showInputMessage="1" showErrorMessage="1" xr:uid="{00000000-0002-0000-0300-0000D0010000}">
          <x14:formula1>
            <xm:f>項目!C17:$IBG$458753</xm:f>
          </x14:formula1>
          <xm:sqref>IBO458757:IBO458780</xm:sqref>
        </x14:dataValidation>
        <x14:dataValidation type="list" allowBlank="1" showInputMessage="1" showErrorMessage="1" xr:uid="{00000000-0002-0000-0300-0000D1010000}">
          <x14:formula1>
            <xm:f>項目!C17:$ILC$458753</xm:f>
          </x14:formula1>
          <xm:sqref>ILK458757:ILK458780</xm:sqref>
        </x14:dataValidation>
        <x14:dataValidation type="list" allowBlank="1" showInputMessage="1" showErrorMessage="1" xr:uid="{00000000-0002-0000-0300-0000D2010000}">
          <x14:formula1>
            <xm:f>項目!C17:$IUY$458753</xm:f>
          </x14:formula1>
          <xm:sqref>IVG458757:IVG458780</xm:sqref>
        </x14:dataValidation>
        <x14:dataValidation type="list" allowBlank="1" showInputMessage="1" showErrorMessage="1" xr:uid="{00000000-0002-0000-0300-0000D3010000}">
          <x14:formula1>
            <xm:f>項目!C17:$JEU$458753</xm:f>
          </x14:formula1>
          <xm:sqref>JFC458757:JFC458780</xm:sqref>
        </x14:dataValidation>
        <x14:dataValidation type="list" allowBlank="1" showInputMessage="1" showErrorMessage="1" xr:uid="{00000000-0002-0000-0300-0000D4010000}">
          <x14:formula1>
            <xm:f>項目!C17:$JOQ$458753</xm:f>
          </x14:formula1>
          <xm:sqref>JOY458757:JOY458780</xm:sqref>
        </x14:dataValidation>
        <x14:dataValidation type="list" allowBlank="1" showInputMessage="1" showErrorMessage="1" xr:uid="{00000000-0002-0000-0300-0000D5010000}">
          <x14:formula1>
            <xm:f>項目!C17:$JYM$458753</xm:f>
          </x14:formula1>
          <xm:sqref>JYU458757:JYU458780</xm:sqref>
        </x14:dataValidation>
        <x14:dataValidation type="list" allowBlank="1" showInputMessage="1" showErrorMessage="1" xr:uid="{00000000-0002-0000-0300-0000D6010000}">
          <x14:formula1>
            <xm:f>項目!C17:$KII$458753</xm:f>
          </x14:formula1>
          <xm:sqref>KIQ458757:KIQ458780</xm:sqref>
        </x14:dataValidation>
        <x14:dataValidation type="list" allowBlank="1" showInputMessage="1" showErrorMessage="1" xr:uid="{00000000-0002-0000-0300-0000D7010000}">
          <x14:formula1>
            <xm:f>項目!C17:$KSE$458753</xm:f>
          </x14:formula1>
          <xm:sqref>KSM458757:KSM458780</xm:sqref>
        </x14:dataValidation>
        <x14:dataValidation type="list" allowBlank="1" showInputMessage="1" showErrorMessage="1" xr:uid="{00000000-0002-0000-0300-0000D8010000}">
          <x14:formula1>
            <xm:f>項目!C17:$LCA$458753</xm:f>
          </x14:formula1>
          <xm:sqref>LCI458757:LCI458780</xm:sqref>
        </x14:dataValidation>
        <x14:dataValidation type="list" allowBlank="1" showInputMessage="1" showErrorMessage="1" xr:uid="{00000000-0002-0000-0300-0000D9010000}">
          <x14:formula1>
            <xm:f>項目!C17:$LLW$458753</xm:f>
          </x14:formula1>
          <xm:sqref>LME458757:LME458780</xm:sqref>
        </x14:dataValidation>
        <x14:dataValidation type="list" allowBlank="1" showInputMessage="1" showErrorMessage="1" xr:uid="{00000000-0002-0000-0300-0000DA010000}">
          <x14:formula1>
            <xm:f>項目!C17:$LVS$458753</xm:f>
          </x14:formula1>
          <xm:sqref>LWA458757:LWA458780</xm:sqref>
        </x14:dataValidation>
        <x14:dataValidation type="list" allowBlank="1" showInputMessage="1" showErrorMessage="1" xr:uid="{00000000-0002-0000-0300-0000DB010000}">
          <x14:formula1>
            <xm:f>項目!C17:$MFO$458753</xm:f>
          </x14:formula1>
          <xm:sqref>MFW458757:MFW458780</xm:sqref>
        </x14:dataValidation>
        <x14:dataValidation type="list" allowBlank="1" showInputMessage="1" showErrorMessage="1" xr:uid="{00000000-0002-0000-0300-0000DC010000}">
          <x14:formula1>
            <xm:f>項目!C17:$MPK$458753</xm:f>
          </x14:formula1>
          <xm:sqref>MPS458757:MPS458780</xm:sqref>
        </x14:dataValidation>
        <x14:dataValidation type="list" allowBlank="1" showInputMessage="1" showErrorMessage="1" xr:uid="{00000000-0002-0000-0300-0000DD010000}">
          <x14:formula1>
            <xm:f>項目!C17:$MZG$458753</xm:f>
          </x14:formula1>
          <xm:sqref>MZO458757:MZO458780</xm:sqref>
        </x14:dataValidation>
        <x14:dataValidation type="list" allowBlank="1" showInputMessage="1" showErrorMessage="1" xr:uid="{00000000-0002-0000-0300-0000DE010000}">
          <x14:formula1>
            <xm:f>項目!C17:$NJC$458753</xm:f>
          </x14:formula1>
          <xm:sqref>NJK458757:NJK458780</xm:sqref>
        </x14:dataValidation>
        <x14:dataValidation type="list" allowBlank="1" showInputMessage="1" showErrorMessage="1" xr:uid="{00000000-0002-0000-0300-0000DF010000}">
          <x14:formula1>
            <xm:f>項目!C17:$NSY$458753</xm:f>
          </x14:formula1>
          <xm:sqref>NTG458757:NTG458780</xm:sqref>
        </x14:dataValidation>
        <x14:dataValidation type="list" allowBlank="1" showInputMessage="1" showErrorMessage="1" xr:uid="{00000000-0002-0000-0300-0000E0010000}">
          <x14:formula1>
            <xm:f>項目!C17:$OCU$458753</xm:f>
          </x14:formula1>
          <xm:sqref>ODC458757:ODC458780</xm:sqref>
        </x14:dataValidation>
        <x14:dataValidation type="list" allowBlank="1" showInputMessage="1" showErrorMessage="1" xr:uid="{00000000-0002-0000-0300-0000E1010000}">
          <x14:formula1>
            <xm:f>項目!C17:$OMQ$458753</xm:f>
          </x14:formula1>
          <xm:sqref>OMY458757:OMY458780</xm:sqref>
        </x14:dataValidation>
        <x14:dataValidation type="list" allowBlank="1" showInputMessage="1" showErrorMessage="1" xr:uid="{00000000-0002-0000-0300-0000E2010000}">
          <x14:formula1>
            <xm:f>項目!C17:$OWM$458753</xm:f>
          </x14:formula1>
          <xm:sqref>OWU458757:OWU458780</xm:sqref>
        </x14:dataValidation>
        <x14:dataValidation type="list" allowBlank="1" showInputMessage="1" showErrorMessage="1" xr:uid="{00000000-0002-0000-0300-0000E3010000}">
          <x14:formula1>
            <xm:f>項目!C17:$PGI$458753</xm:f>
          </x14:formula1>
          <xm:sqref>PGQ458757:PGQ458780</xm:sqref>
        </x14:dataValidation>
        <x14:dataValidation type="list" allowBlank="1" showInputMessage="1" showErrorMessage="1" xr:uid="{00000000-0002-0000-0300-0000E4010000}">
          <x14:formula1>
            <xm:f>項目!C17:$PQE$458753</xm:f>
          </x14:formula1>
          <xm:sqref>PQM458757:PQM458780</xm:sqref>
        </x14:dataValidation>
        <x14:dataValidation type="list" allowBlank="1" showInputMessage="1" showErrorMessage="1" xr:uid="{00000000-0002-0000-0300-0000E5010000}">
          <x14:formula1>
            <xm:f>項目!C17:$QAA$458753</xm:f>
          </x14:formula1>
          <xm:sqref>QAI458757:QAI458780</xm:sqref>
        </x14:dataValidation>
        <x14:dataValidation type="list" allowBlank="1" showInputMessage="1" showErrorMessage="1" xr:uid="{00000000-0002-0000-0300-0000E6010000}">
          <x14:formula1>
            <xm:f>項目!C17:$QJW$458753</xm:f>
          </x14:formula1>
          <xm:sqref>QKE458757:QKE458780</xm:sqref>
        </x14:dataValidation>
        <x14:dataValidation type="list" allowBlank="1" showInputMessage="1" showErrorMessage="1" xr:uid="{00000000-0002-0000-0300-0000E7010000}">
          <x14:formula1>
            <xm:f>項目!C17:$QTS$458753</xm:f>
          </x14:formula1>
          <xm:sqref>QUA458757:QUA458780</xm:sqref>
        </x14:dataValidation>
        <x14:dataValidation type="list" allowBlank="1" showInputMessage="1" showErrorMessage="1" xr:uid="{00000000-0002-0000-0300-0000E8010000}">
          <x14:formula1>
            <xm:f>項目!C17:$RDO$458753</xm:f>
          </x14:formula1>
          <xm:sqref>RDW458757:RDW458780</xm:sqref>
        </x14:dataValidation>
        <x14:dataValidation type="list" allowBlank="1" showInputMessage="1" showErrorMessage="1" xr:uid="{00000000-0002-0000-0300-0000E9010000}">
          <x14:formula1>
            <xm:f>項目!C17:$RNK$458753</xm:f>
          </x14:formula1>
          <xm:sqref>RNS458757:RNS458780</xm:sqref>
        </x14:dataValidation>
        <x14:dataValidation type="list" allowBlank="1" showInputMessage="1" showErrorMessage="1" xr:uid="{00000000-0002-0000-0300-0000EA010000}">
          <x14:formula1>
            <xm:f>項目!C17:$RXG$458753</xm:f>
          </x14:formula1>
          <xm:sqref>RXO458757:RXO458780</xm:sqref>
        </x14:dataValidation>
        <x14:dataValidation type="list" allowBlank="1" showInputMessage="1" showErrorMessage="1" xr:uid="{00000000-0002-0000-0300-0000EB010000}">
          <x14:formula1>
            <xm:f>項目!C17:$SHC$458753</xm:f>
          </x14:formula1>
          <xm:sqref>SHK458757:SHK458780</xm:sqref>
        </x14:dataValidation>
        <x14:dataValidation type="list" allowBlank="1" showInputMessage="1" showErrorMessage="1" xr:uid="{00000000-0002-0000-0300-0000EC010000}">
          <x14:formula1>
            <xm:f>項目!C17:$SQY$458753</xm:f>
          </x14:formula1>
          <xm:sqref>SRG458757:SRG458780</xm:sqref>
        </x14:dataValidation>
        <x14:dataValidation type="list" allowBlank="1" showInputMessage="1" showErrorMessage="1" xr:uid="{00000000-0002-0000-0300-0000ED010000}">
          <x14:formula1>
            <xm:f>項目!C17:$TAU$458753</xm:f>
          </x14:formula1>
          <xm:sqref>TBC458757:TBC458780</xm:sqref>
        </x14:dataValidation>
        <x14:dataValidation type="list" allowBlank="1" showInputMessage="1" showErrorMessage="1" xr:uid="{00000000-0002-0000-0300-0000EE010000}">
          <x14:formula1>
            <xm:f>項目!C17:$TKQ$458753</xm:f>
          </x14:formula1>
          <xm:sqref>TKY458757:TKY458780</xm:sqref>
        </x14:dataValidation>
        <x14:dataValidation type="list" allowBlank="1" showInputMessage="1" showErrorMessage="1" xr:uid="{00000000-0002-0000-0300-0000EF010000}">
          <x14:formula1>
            <xm:f>項目!C17:$TUM$458753</xm:f>
          </x14:formula1>
          <xm:sqref>TUU458757:TUU458780</xm:sqref>
        </x14:dataValidation>
        <x14:dataValidation type="list" allowBlank="1" showInputMessage="1" showErrorMessage="1" xr:uid="{00000000-0002-0000-0300-0000F0010000}">
          <x14:formula1>
            <xm:f>項目!C17:$UEI$458753</xm:f>
          </x14:formula1>
          <xm:sqref>UEQ458757:UEQ458780</xm:sqref>
        </x14:dataValidation>
        <x14:dataValidation type="list" allowBlank="1" showInputMessage="1" showErrorMessage="1" xr:uid="{00000000-0002-0000-0300-0000F1010000}">
          <x14:formula1>
            <xm:f>項目!C17:$UOE$458753</xm:f>
          </x14:formula1>
          <xm:sqref>UOM458757:UOM458780</xm:sqref>
        </x14:dataValidation>
        <x14:dataValidation type="list" allowBlank="1" showInputMessage="1" showErrorMessage="1" xr:uid="{00000000-0002-0000-0300-0000F2010000}">
          <x14:formula1>
            <xm:f>項目!C17:$UYA$458753</xm:f>
          </x14:formula1>
          <xm:sqref>UYI458757:UYI458780</xm:sqref>
        </x14:dataValidation>
        <x14:dataValidation type="list" allowBlank="1" showInputMessage="1" showErrorMessage="1" xr:uid="{00000000-0002-0000-0300-0000F3010000}">
          <x14:formula1>
            <xm:f>項目!C17:$VHW$458753</xm:f>
          </x14:formula1>
          <xm:sqref>VIE458757:VIE458780</xm:sqref>
        </x14:dataValidation>
        <x14:dataValidation type="list" allowBlank="1" showInputMessage="1" showErrorMessage="1" xr:uid="{00000000-0002-0000-0300-0000F4010000}">
          <x14:formula1>
            <xm:f>項目!C17:$VRS$458753</xm:f>
          </x14:formula1>
          <xm:sqref>VSA458757:VSA458780</xm:sqref>
        </x14:dataValidation>
        <x14:dataValidation type="list" allowBlank="1" showInputMessage="1" showErrorMessage="1" xr:uid="{00000000-0002-0000-0300-0000F5010000}">
          <x14:formula1>
            <xm:f>項目!C17:$WBO$458753</xm:f>
          </x14:formula1>
          <xm:sqref>WBW458757:WBW458780</xm:sqref>
        </x14:dataValidation>
        <x14:dataValidation type="list" allowBlank="1" showInputMessage="1" showErrorMessage="1" xr:uid="{00000000-0002-0000-0300-0000F6010000}">
          <x14:formula1>
            <xm:f>項目!C17:$WLK$458753</xm:f>
          </x14:formula1>
          <xm:sqref>WLS458757:WLS458780</xm:sqref>
        </x14:dataValidation>
        <x14:dataValidation type="list" allowBlank="1" showInputMessage="1" showErrorMessage="1" xr:uid="{00000000-0002-0000-0300-0000F7010000}">
          <x14:formula1>
            <xm:f>項目!C17:$WVG$458753</xm:f>
          </x14:formula1>
          <xm:sqref>WVO458757:WVO458780</xm:sqref>
        </x14:dataValidation>
        <x14:dataValidation type="list" allowBlank="1" showInputMessage="1" showErrorMessage="1" xr:uid="{00000000-0002-0000-0300-0000F8010000}">
          <x14:formula1>
            <xm:f>項目!C17:$IU$524289</xm:f>
          </x14:formula1>
          <xm:sqref>JC524293:JC524316</xm:sqref>
        </x14:dataValidation>
        <x14:dataValidation type="list" allowBlank="1" showInputMessage="1" showErrorMessage="1" xr:uid="{00000000-0002-0000-0300-0000F9010000}">
          <x14:formula1>
            <xm:f>項目!C17:$SQ$524289</xm:f>
          </x14:formula1>
          <xm:sqref>SY524293:SY524316</xm:sqref>
        </x14:dataValidation>
        <x14:dataValidation type="list" allowBlank="1" showInputMessage="1" showErrorMessage="1" xr:uid="{00000000-0002-0000-0300-0000FA010000}">
          <x14:formula1>
            <xm:f>項目!C17:$ACM$524289</xm:f>
          </x14:formula1>
          <xm:sqref>ACU524293:ACU524316</xm:sqref>
        </x14:dataValidation>
        <x14:dataValidation type="list" allowBlank="1" showInputMessage="1" showErrorMessage="1" xr:uid="{00000000-0002-0000-0300-0000FB010000}">
          <x14:formula1>
            <xm:f>項目!C17:$AMI$524289</xm:f>
          </x14:formula1>
          <xm:sqref>AMQ524293:AMQ524316</xm:sqref>
        </x14:dataValidation>
        <x14:dataValidation type="list" allowBlank="1" showInputMessage="1" showErrorMessage="1" xr:uid="{00000000-0002-0000-0300-0000FC010000}">
          <x14:formula1>
            <xm:f>項目!C17:$AWE$524289</xm:f>
          </x14:formula1>
          <xm:sqref>AWM524293:AWM524316</xm:sqref>
        </x14:dataValidation>
        <x14:dataValidation type="list" allowBlank="1" showInputMessage="1" showErrorMessage="1" xr:uid="{00000000-0002-0000-0300-0000FD010000}">
          <x14:formula1>
            <xm:f>項目!C17:$BGA$524289</xm:f>
          </x14:formula1>
          <xm:sqref>BGI524293:BGI524316</xm:sqref>
        </x14:dataValidation>
        <x14:dataValidation type="list" allowBlank="1" showInputMessage="1" showErrorMessage="1" xr:uid="{00000000-0002-0000-0300-0000FE010000}">
          <x14:formula1>
            <xm:f>項目!C17:$BPW$524289</xm:f>
          </x14:formula1>
          <xm:sqref>BQE524293:BQE524316</xm:sqref>
        </x14:dataValidation>
        <x14:dataValidation type="list" allowBlank="1" showInputMessage="1" showErrorMessage="1" xr:uid="{00000000-0002-0000-0300-0000FF010000}">
          <x14:formula1>
            <xm:f>項目!C17:$BZS$524289</xm:f>
          </x14:formula1>
          <xm:sqref>CAA524293:CAA524316</xm:sqref>
        </x14:dataValidation>
        <x14:dataValidation type="list" allowBlank="1" showInputMessage="1" showErrorMessage="1" xr:uid="{00000000-0002-0000-0300-000000020000}">
          <x14:formula1>
            <xm:f>項目!C17:$CJO$524289</xm:f>
          </x14:formula1>
          <xm:sqref>CJW524293:CJW524316</xm:sqref>
        </x14:dataValidation>
        <x14:dataValidation type="list" allowBlank="1" showInputMessage="1" showErrorMessage="1" xr:uid="{00000000-0002-0000-0300-000001020000}">
          <x14:formula1>
            <xm:f>項目!C17:$CTK$524289</xm:f>
          </x14:formula1>
          <xm:sqref>CTS524293:CTS524316</xm:sqref>
        </x14:dataValidation>
        <x14:dataValidation type="list" allowBlank="1" showInputMessage="1" showErrorMessage="1" xr:uid="{00000000-0002-0000-0300-000002020000}">
          <x14:formula1>
            <xm:f>項目!C17:$DDG$524289</xm:f>
          </x14:formula1>
          <xm:sqref>DDO524293:DDO524316</xm:sqref>
        </x14:dataValidation>
        <x14:dataValidation type="list" allowBlank="1" showInputMessage="1" showErrorMessage="1" xr:uid="{00000000-0002-0000-0300-000003020000}">
          <x14:formula1>
            <xm:f>項目!C17:$DNC$524289</xm:f>
          </x14:formula1>
          <xm:sqref>DNK524293:DNK524316</xm:sqref>
        </x14:dataValidation>
        <x14:dataValidation type="list" allowBlank="1" showInputMessage="1" showErrorMessage="1" xr:uid="{00000000-0002-0000-0300-000004020000}">
          <x14:formula1>
            <xm:f>項目!C17:$DWY$524289</xm:f>
          </x14:formula1>
          <xm:sqref>DXG524293:DXG524316</xm:sqref>
        </x14:dataValidation>
        <x14:dataValidation type="list" allowBlank="1" showInputMessage="1" showErrorMessage="1" xr:uid="{00000000-0002-0000-0300-000005020000}">
          <x14:formula1>
            <xm:f>項目!C17:$EGU$524289</xm:f>
          </x14:formula1>
          <xm:sqref>EHC524293:EHC524316</xm:sqref>
        </x14:dataValidation>
        <x14:dataValidation type="list" allowBlank="1" showInputMessage="1" showErrorMessage="1" xr:uid="{00000000-0002-0000-0300-000006020000}">
          <x14:formula1>
            <xm:f>項目!C17:$EQQ$524289</xm:f>
          </x14:formula1>
          <xm:sqref>EQY524293:EQY524316</xm:sqref>
        </x14:dataValidation>
        <x14:dataValidation type="list" allowBlank="1" showInputMessage="1" showErrorMessage="1" xr:uid="{00000000-0002-0000-0300-000007020000}">
          <x14:formula1>
            <xm:f>項目!C17:$FAM$524289</xm:f>
          </x14:formula1>
          <xm:sqref>FAU524293:FAU524316</xm:sqref>
        </x14:dataValidation>
        <x14:dataValidation type="list" allowBlank="1" showInputMessage="1" showErrorMessage="1" xr:uid="{00000000-0002-0000-0300-000008020000}">
          <x14:formula1>
            <xm:f>項目!C17:$FKI$524289</xm:f>
          </x14:formula1>
          <xm:sqref>FKQ524293:FKQ524316</xm:sqref>
        </x14:dataValidation>
        <x14:dataValidation type="list" allowBlank="1" showInputMessage="1" showErrorMessage="1" xr:uid="{00000000-0002-0000-0300-000009020000}">
          <x14:formula1>
            <xm:f>項目!C17:$FUE$524289</xm:f>
          </x14:formula1>
          <xm:sqref>FUM524293:FUM524316</xm:sqref>
        </x14:dataValidation>
        <x14:dataValidation type="list" allowBlank="1" showInputMessage="1" showErrorMessage="1" xr:uid="{00000000-0002-0000-0300-00000A020000}">
          <x14:formula1>
            <xm:f>項目!C17:$GEA$524289</xm:f>
          </x14:formula1>
          <xm:sqref>GEI524293:GEI524316</xm:sqref>
        </x14:dataValidation>
        <x14:dataValidation type="list" allowBlank="1" showInputMessage="1" showErrorMessage="1" xr:uid="{00000000-0002-0000-0300-00000B020000}">
          <x14:formula1>
            <xm:f>項目!C17:$GNW$524289</xm:f>
          </x14:formula1>
          <xm:sqref>GOE524293:GOE524316</xm:sqref>
        </x14:dataValidation>
        <x14:dataValidation type="list" allowBlank="1" showInputMessage="1" showErrorMessage="1" xr:uid="{00000000-0002-0000-0300-00000C020000}">
          <x14:formula1>
            <xm:f>項目!C17:$GXS$524289</xm:f>
          </x14:formula1>
          <xm:sqref>GYA524293:GYA524316</xm:sqref>
        </x14:dataValidation>
        <x14:dataValidation type="list" allowBlank="1" showInputMessage="1" showErrorMessage="1" xr:uid="{00000000-0002-0000-0300-00000D020000}">
          <x14:formula1>
            <xm:f>項目!C17:$HHO$524289</xm:f>
          </x14:formula1>
          <xm:sqref>HHW524293:HHW524316</xm:sqref>
        </x14:dataValidation>
        <x14:dataValidation type="list" allowBlank="1" showInputMessage="1" showErrorMessage="1" xr:uid="{00000000-0002-0000-0300-00000E020000}">
          <x14:formula1>
            <xm:f>項目!C17:$HRK$524289</xm:f>
          </x14:formula1>
          <xm:sqref>HRS524293:HRS524316</xm:sqref>
        </x14:dataValidation>
        <x14:dataValidation type="list" allowBlank="1" showInputMessage="1" showErrorMessage="1" xr:uid="{00000000-0002-0000-0300-00000F020000}">
          <x14:formula1>
            <xm:f>項目!C17:$IBG$524289</xm:f>
          </x14:formula1>
          <xm:sqref>IBO524293:IBO524316</xm:sqref>
        </x14:dataValidation>
        <x14:dataValidation type="list" allowBlank="1" showInputMessage="1" showErrorMessage="1" xr:uid="{00000000-0002-0000-0300-000010020000}">
          <x14:formula1>
            <xm:f>項目!C17:$ILC$524289</xm:f>
          </x14:formula1>
          <xm:sqref>ILK524293:ILK524316</xm:sqref>
        </x14:dataValidation>
        <x14:dataValidation type="list" allowBlank="1" showInputMessage="1" showErrorMessage="1" xr:uid="{00000000-0002-0000-0300-000011020000}">
          <x14:formula1>
            <xm:f>項目!C17:$IUY$524289</xm:f>
          </x14:formula1>
          <xm:sqref>IVG524293:IVG524316</xm:sqref>
        </x14:dataValidation>
        <x14:dataValidation type="list" allowBlank="1" showInputMessage="1" showErrorMessage="1" xr:uid="{00000000-0002-0000-0300-000012020000}">
          <x14:formula1>
            <xm:f>項目!C17:$JEU$524289</xm:f>
          </x14:formula1>
          <xm:sqref>JFC524293:JFC524316</xm:sqref>
        </x14:dataValidation>
        <x14:dataValidation type="list" allowBlank="1" showInputMessage="1" showErrorMessage="1" xr:uid="{00000000-0002-0000-0300-000013020000}">
          <x14:formula1>
            <xm:f>項目!C17:$JOQ$524289</xm:f>
          </x14:formula1>
          <xm:sqref>JOY524293:JOY524316</xm:sqref>
        </x14:dataValidation>
        <x14:dataValidation type="list" allowBlank="1" showInputMessage="1" showErrorMessage="1" xr:uid="{00000000-0002-0000-0300-000014020000}">
          <x14:formula1>
            <xm:f>項目!C17:$JYM$524289</xm:f>
          </x14:formula1>
          <xm:sqref>JYU524293:JYU524316</xm:sqref>
        </x14:dataValidation>
        <x14:dataValidation type="list" allowBlank="1" showInputMessage="1" showErrorMessage="1" xr:uid="{00000000-0002-0000-0300-000015020000}">
          <x14:formula1>
            <xm:f>項目!C17:$KII$524289</xm:f>
          </x14:formula1>
          <xm:sqref>KIQ524293:KIQ524316</xm:sqref>
        </x14:dataValidation>
        <x14:dataValidation type="list" allowBlank="1" showInputMessage="1" showErrorMessage="1" xr:uid="{00000000-0002-0000-0300-000016020000}">
          <x14:formula1>
            <xm:f>項目!C17:$KSE$524289</xm:f>
          </x14:formula1>
          <xm:sqref>KSM524293:KSM524316</xm:sqref>
        </x14:dataValidation>
        <x14:dataValidation type="list" allowBlank="1" showInputMessage="1" showErrorMessage="1" xr:uid="{00000000-0002-0000-0300-000017020000}">
          <x14:formula1>
            <xm:f>項目!C17:$LCA$524289</xm:f>
          </x14:formula1>
          <xm:sqref>LCI524293:LCI524316</xm:sqref>
        </x14:dataValidation>
        <x14:dataValidation type="list" allowBlank="1" showInputMessage="1" showErrorMessage="1" xr:uid="{00000000-0002-0000-0300-000018020000}">
          <x14:formula1>
            <xm:f>項目!C17:$LLW$524289</xm:f>
          </x14:formula1>
          <xm:sqref>LME524293:LME524316</xm:sqref>
        </x14:dataValidation>
        <x14:dataValidation type="list" allowBlank="1" showInputMessage="1" showErrorMessage="1" xr:uid="{00000000-0002-0000-0300-000019020000}">
          <x14:formula1>
            <xm:f>項目!C17:$LVS$524289</xm:f>
          </x14:formula1>
          <xm:sqref>LWA524293:LWA524316</xm:sqref>
        </x14:dataValidation>
        <x14:dataValidation type="list" allowBlank="1" showInputMessage="1" showErrorMessage="1" xr:uid="{00000000-0002-0000-0300-00001A020000}">
          <x14:formula1>
            <xm:f>項目!C17:$MFO$524289</xm:f>
          </x14:formula1>
          <xm:sqref>MFW524293:MFW524316</xm:sqref>
        </x14:dataValidation>
        <x14:dataValidation type="list" allowBlank="1" showInputMessage="1" showErrorMessage="1" xr:uid="{00000000-0002-0000-0300-00001B020000}">
          <x14:formula1>
            <xm:f>項目!C17:$MPK$524289</xm:f>
          </x14:formula1>
          <xm:sqref>MPS524293:MPS524316</xm:sqref>
        </x14:dataValidation>
        <x14:dataValidation type="list" allowBlank="1" showInputMessage="1" showErrorMessage="1" xr:uid="{00000000-0002-0000-0300-00001C020000}">
          <x14:formula1>
            <xm:f>項目!C17:$MZG$524289</xm:f>
          </x14:formula1>
          <xm:sqref>MZO524293:MZO524316</xm:sqref>
        </x14:dataValidation>
        <x14:dataValidation type="list" allowBlank="1" showInputMessage="1" showErrorMessage="1" xr:uid="{00000000-0002-0000-0300-00001D020000}">
          <x14:formula1>
            <xm:f>項目!C17:$NJC$524289</xm:f>
          </x14:formula1>
          <xm:sqref>NJK524293:NJK524316</xm:sqref>
        </x14:dataValidation>
        <x14:dataValidation type="list" allowBlank="1" showInputMessage="1" showErrorMessage="1" xr:uid="{00000000-0002-0000-0300-00001E020000}">
          <x14:formula1>
            <xm:f>項目!C17:$NSY$524289</xm:f>
          </x14:formula1>
          <xm:sqref>NTG524293:NTG524316</xm:sqref>
        </x14:dataValidation>
        <x14:dataValidation type="list" allowBlank="1" showInputMessage="1" showErrorMessage="1" xr:uid="{00000000-0002-0000-0300-00001F020000}">
          <x14:formula1>
            <xm:f>項目!C17:$OCU$524289</xm:f>
          </x14:formula1>
          <xm:sqref>ODC524293:ODC524316</xm:sqref>
        </x14:dataValidation>
        <x14:dataValidation type="list" allowBlank="1" showInputMessage="1" showErrorMessage="1" xr:uid="{00000000-0002-0000-0300-000020020000}">
          <x14:formula1>
            <xm:f>項目!C17:$OMQ$524289</xm:f>
          </x14:formula1>
          <xm:sqref>OMY524293:OMY524316</xm:sqref>
        </x14:dataValidation>
        <x14:dataValidation type="list" allowBlank="1" showInputMessage="1" showErrorMessage="1" xr:uid="{00000000-0002-0000-0300-000021020000}">
          <x14:formula1>
            <xm:f>項目!C17:$OWM$524289</xm:f>
          </x14:formula1>
          <xm:sqref>OWU524293:OWU524316</xm:sqref>
        </x14:dataValidation>
        <x14:dataValidation type="list" allowBlank="1" showInputMessage="1" showErrorMessage="1" xr:uid="{00000000-0002-0000-0300-000022020000}">
          <x14:formula1>
            <xm:f>項目!C17:$PGI$524289</xm:f>
          </x14:formula1>
          <xm:sqref>PGQ524293:PGQ524316</xm:sqref>
        </x14:dataValidation>
        <x14:dataValidation type="list" allowBlank="1" showInputMessage="1" showErrorMessage="1" xr:uid="{00000000-0002-0000-0300-000023020000}">
          <x14:formula1>
            <xm:f>項目!C17:$PQE$524289</xm:f>
          </x14:formula1>
          <xm:sqref>PQM524293:PQM524316</xm:sqref>
        </x14:dataValidation>
        <x14:dataValidation type="list" allowBlank="1" showInputMessage="1" showErrorMessage="1" xr:uid="{00000000-0002-0000-0300-000024020000}">
          <x14:formula1>
            <xm:f>項目!C17:$QAA$524289</xm:f>
          </x14:formula1>
          <xm:sqref>QAI524293:QAI524316</xm:sqref>
        </x14:dataValidation>
        <x14:dataValidation type="list" allowBlank="1" showInputMessage="1" showErrorMessage="1" xr:uid="{00000000-0002-0000-0300-000025020000}">
          <x14:formula1>
            <xm:f>項目!C17:$QJW$524289</xm:f>
          </x14:formula1>
          <xm:sqref>QKE524293:QKE524316</xm:sqref>
        </x14:dataValidation>
        <x14:dataValidation type="list" allowBlank="1" showInputMessage="1" showErrorMessage="1" xr:uid="{00000000-0002-0000-0300-000026020000}">
          <x14:formula1>
            <xm:f>項目!C17:$QTS$524289</xm:f>
          </x14:formula1>
          <xm:sqref>QUA524293:QUA524316</xm:sqref>
        </x14:dataValidation>
        <x14:dataValidation type="list" allowBlank="1" showInputMessage="1" showErrorMessage="1" xr:uid="{00000000-0002-0000-0300-000027020000}">
          <x14:formula1>
            <xm:f>項目!C17:$RDO$524289</xm:f>
          </x14:formula1>
          <xm:sqref>RDW524293:RDW524316</xm:sqref>
        </x14:dataValidation>
        <x14:dataValidation type="list" allowBlank="1" showInputMessage="1" showErrorMessage="1" xr:uid="{00000000-0002-0000-0300-000028020000}">
          <x14:formula1>
            <xm:f>項目!C17:$RNK$524289</xm:f>
          </x14:formula1>
          <xm:sqref>RNS524293:RNS524316</xm:sqref>
        </x14:dataValidation>
        <x14:dataValidation type="list" allowBlank="1" showInputMessage="1" showErrorMessage="1" xr:uid="{00000000-0002-0000-0300-000029020000}">
          <x14:formula1>
            <xm:f>項目!C17:$RXG$524289</xm:f>
          </x14:formula1>
          <xm:sqref>RXO524293:RXO524316</xm:sqref>
        </x14:dataValidation>
        <x14:dataValidation type="list" allowBlank="1" showInputMessage="1" showErrorMessage="1" xr:uid="{00000000-0002-0000-0300-00002A020000}">
          <x14:formula1>
            <xm:f>項目!C17:$SHC$524289</xm:f>
          </x14:formula1>
          <xm:sqref>SHK524293:SHK524316</xm:sqref>
        </x14:dataValidation>
        <x14:dataValidation type="list" allowBlank="1" showInputMessage="1" showErrorMessage="1" xr:uid="{00000000-0002-0000-0300-00002B020000}">
          <x14:formula1>
            <xm:f>項目!C17:$SQY$524289</xm:f>
          </x14:formula1>
          <xm:sqref>SRG524293:SRG524316</xm:sqref>
        </x14:dataValidation>
        <x14:dataValidation type="list" allowBlank="1" showInputMessage="1" showErrorMessage="1" xr:uid="{00000000-0002-0000-0300-00002C020000}">
          <x14:formula1>
            <xm:f>項目!C17:$TAU$524289</xm:f>
          </x14:formula1>
          <xm:sqref>TBC524293:TBC524316</xm:sqref>
        </x14:dataValidation>
        <x14:dataValidation type="list" allowBlank="1" showInputMessage="1" showErrorMessage="1" xr:uid="{00000000-0002-0000-0300-00002D020000}">
          <x14:formula1>
            <xm:f>項目!C17:$TKQ$524289</xm:f>
          </x14:formula1>
          <xm:sqref>TKY524293:TKY524316</xm:sqref>
        </x14:dataValidation>
        <x14:dataValidation type="list" allowBlank="1" showInputMessage="1" showErrorMessage="1" xr:uid="{00000000-0002-0000-0300-00002E020000}">
          <x14:formula1>
            <xm:f>項目!C17:$TUM$524289</xm:f>
          </x14:formula1>
          <xm:sqref>TUU524293:TUU524316</xm:sqref>
        </x14:dataValidation>
        <x14:dataValidation type="list" allowBlank="1" showInputMessage="1" showErrorMessage="1" xr:uid="{00000000-0002-0000-0300-00002F020000}">
          <x14:formula1>
            <xm:f>項目!C17:$UEI$524289</xm:f>
          </x14:formula1>
          <xm:sqref>UEQ524293:UEQ524316</xm:sqref>
        </x14:dataValidation>
        <x14:dataValidation type="list" allowBlank="1" showInputMessage="1" showErrorMessage="1" xr:uid="{00000000-0002-0000-0300-000030020000}">
          <x14:formula1>
            <xm:f>項目!C17:$UOE$524289</xm:f>
          </x14:formula1>
          <xm:sqref>UOM524293:UOM524316</xm:sqref>
        </x14:dataValidation>
        <x14:dataValidation type="list" allowBlank="1" showInputMessage="1" showErrorMessage="1" xr:uid="{00000000-0002-0000-0300-000031020000}">
          <x14:formula1>
            <xm:f>項目!C17:$UYA$524289</xm:f>
          </x14:formula1>
          <xm:sqref>UYI524293:UYI524316</xm:sqref>
        </x14:dataValidation>
        <x14:dataValidation type="list" allowBlank="1" showInputMessage="1" showErrorMessage="1" xr:uid="{00000000-0002-0000-0300-000032020000}">
          <x14:formula1>
            <xm:f>項目!C17:$VHW$524289</xm:f>
          </x14:formula1>
          <xm:sqref>VIE524293:VIE524316</xm:sqref>
        </x14:dataValidation>
        <x14:dataValidation type="list" allowBlank="1" showInputMessage="1" showErrorMessage="1" xr:uid="{00000000-0002-0000-0300-000033020000}">
          <x14:formula1>
            <xm:f>項目!C17:$VRS$524289</xm:f>
          </x14:formula1>
          <xm:sqref>VSA524293:VSA524316</xm:sqref>
        </x14:dataValidation>
        <x14:dataValidation type="list" allowBlank="1" showInputMessage="1" showErrorMessage="1" xr:uid="{00000000-0002-0000-0300-000034020000}">
          <x14:formula1>
            <xm:f>項目!C17:$WBO$524289</xm:f>
          </x14:formula1>
          <xm:sqref>WBW524293:WBW524316</xm:sqref>
        </x14:dataValidation>
        <x14:dataValidation type="list" allowBlank="1" showInputMessage="1" showErrorMessage="1" xr:uid="{00000000-0002-0000-0300-000035020000}">
          <x14:formula1>
            <xm:f>項目!C17:$WLK$524289</xm:f>
          </x14:formula1>
          <xm:sqref>WLS524293:WLS524316</xm:sqref>
        </x14:dataValidation>
        <x14:dataValidation type="list" allowBlank="1" showInputMessage="1" showErrorMessage="1" xr:uid="{00000000-0002-0000-0300-000036020000}">
          <x14:formula1>
            <xm:f>項目!C17:$WVG$524289</xm:f>
          </x14:formula1>
          <xm:sqref>WVO524293:WVO524316</xm:sqref>
        </x14:dataValidation>
        <x14:dataValidation type="list" allowBlank="1" showInputMessage="1" showErrorMessage="1" xr:uid="{00000000-0002-0000-0300-000037020000}">
          <x14:formula1>
            <xm:f>項目!C17:$IU$589825</xm:f>
          </x14:formula1>
          <xm:sqref>JC589829:JC589852</xm:sqref>
        </x14:dataValidation>
        <x14:dataValidation type="list" allowBlank="1" showInputMessage="1" showErrorMessage="1" xr:uid="{00000000-0002-0000-0300-000038020000}">
          <x14:formula1>
            <xm:f>項目!C17:$SQ$589825</xm:f>
          </x14:formula1>
          <xm:sqref>SY589829:SY589852</xm:sqref>
        </x14:dataValidation>
        <x14:dataValidation type="list" allowBlank="1" showInputMessage="1" showErrorMessage="1" xr:uid="{00000000-0002-0000-0300-000039020000}">
          <x14:formula1>
            <xm:f>項目!C17:$ACM$589825</xm:f>
          </x14:formula1>
          <xm:sqref>ACU589829:ACU589852</xm:sqref>
        </x14:dataValidation>
        <x14:dataValidation type="list" allowBlank="1" showInputMessage="1" showErrorMessage="1" xr:uid="{00000000-0002-0000-0300-00003A020000}">
          <x14:formula1>
            <xm:f>項目!C17:$AMI$589825</xm:f>
          </x14:formula1>
          <xm:sqref>AMQ589829:AMQ589852</xm:sqref>
        </x14:dataValidation>
        <x14:dataValidation type="list" allowBlank="1" showInputMessage="1" showErrorMessage="1" xr:uid="{00000000-0002-0000-0300-00003B020000}">
          <x14:formula1>
            <xm:f>項目!C17:$AWE$589825</xm:f>
          </x14:formula1>
          <xm:sqref>AWM589829:AWM589852</xm:sqref>
        </x14:dataValidation>
        <x14:dataValidation type="list" allowBlank="1" showInputMessage="1" showErrorMessage="1" xr:uid="{00000000-0002-0000-0300-00003C020000}">
          <x14:formula1>
            <xm:f>項目!C17:$BGA$589825</xm:f>
          </x14:formula1>
          <xm:sqref>BGI589829:BGI589852</xm:sqref>
        </x14:dataValidation>
        <x14:dataValidation type="list" allowBlank="1" showInputMessage="1" showErrorMessage="1" xr:uid="{00000000-0002-0000-0300-00003D020000}">
          <x14:formula1>
            <xm:f>項目!C17:$BPW$589825</xm:f>
          </x14:formula1>
          <xm:sqref>BQE589829:BQE589852</xm:sqref>
        </x14:dataValidation>
        <x14:dataValidation type="list" allowBlank="1" showInputMessage="1" showErrorMessage="1" xr:uid="{00000000-0002-0000-0300-00003E020000}">
          <x14:formula1>
            <xm:f>項目!C17:$BZS$589825</xm:f>
          </x14:formula1>
          <xm:sqref>CAA589829:CAA589852</xm:sqref>
        </x14:dataValidation>
        <x14:dataValidation type="list" allowBlank="1" showInputMessage="1" showErrorMessage="1" xr:uid="{00000000-0002-0000-0300-00003F020000}">
          <x14:formula1>
            <xm:f>項目!C17:$CJO$589825</xm:f>
          </x14:formula1>
          <xm:sqref>CJW589829:CJW589852</xm:sqref>
        </x14:dataValidation>
        <x14:dataValidation type="list" allowBlank="1" showInputMessage="1" showErrorMessage="1" xr:uid="{00000000-0002-0000-0300-000040020000}">
          <x14:formula1>
            <xm:f>項目!C17:$CTK$589825</xm:f>
          </x14:formula1>
          <xm:sqref>CTS589829:CTS589852</xm:sqref>
        </x14:dataValidation>
        <x14:dataValidation type="list" allowBlank="1" showInputMessage="1" showErrorMessage="1" xr:uid="{00000000-0002-0000-0300-000041020000}">
          <x14:formula1>
            <xm:f>項目!C17:$DDG$589825</xm:f>
          </x14:formula1>
          <xm:sqref>DDO589829:DDO589852</xm:sqref>
        </x14:dataValidation>
        <x14:dataValidation type="list" allowBlank="1" showInputMessage="1" showErrorMessage="1" xr:uid="{00000000-0002-0000-0300-000042020000}">
          <x14:formula1>
            <xm:f>項目!C17:$DNC$589825</xm:f>
          </x14:formula1>
          <xm:sqref>DNK589829:DNK589852</xm:sqref>
        </x14:dataValidation>
        <x14:dataValidation type="list" allowBlank="1" showInputMessage="1" showErrorMessage="1" xr:uid="{00000000-0002-0000-0300-000043020000}">
          <x14:formula1>
            <xm:f>項目!C17:$DWY$589825</xm:f>
          </x14:formula1>
          <xm:sqref>DXG589829:DXG589852</xm:sqref>
        </x14:dataValidation>
        <x14:dataValidation type="list" allowBlank="1" showInputMessage="1" showErrorMessage="1" xr:uid="{00000000-0002-0000-0300-000044020000}">
          <x14:formula1>
            <xm:f>項目!C17:$EGU$589825</xm:f>
          </x14:formula1>
          <xm:sqref>EHC589829:EHC589852</xm:sqref>
        </x14:dataValidation>
        <x14:dataValidation type="list" allowBlank="1" showInputMessage="1" showErrorMessage="1" xr:uid="{00000000-0002-0000-0300-000045020000}">
          <x14:formula1>
            <xm:f>項目!C17:$EQQ$589825</xm:f>
          </x14:formula1>
          <xm:sqref>EQY589829:EQY589852</xm:sqref>
        </x14:dataValidation>
        <x14:dataValidation type="list" allowBlank="1" showInputMessage="1" showErrorMessage="1" xr:uid="{00000000-0002-0000-0300-000046020000}">
          <x14:formula1>
            <xm:f>項目!C17:$FAM$589825</xm:f>
          </x14:formula1>
          <xm:sqref>FAU589829:FAU589852</xm:sqref>
        </x14:dataValidation>
        <x14:dataValidation type="list" allowBlank="1" showInputMessage="1" showErrorMessage="1" xr:uid="{00000000-0002-0000-0300-000047020000}">
          <x14:formula1>
            <xm:f>項目!C17:$FKI$589825</xm:f>
          </x14:formula1>
          <xm:sqref>FKQ589829:FKQ589852</xm:sqref>
        </x14:dataValidation>
        <x14:dataValidation type="list" allowBlank="1" showInputMessage="1" showErrorMessage="1" xr:uid="{00000000-0002-0000-0300-000048020000}">
          <x14:formula1>
            <xm:f>項目!C17:$FUE$589825</xm:f>
          </x14:formula1>
          <xm:sqref>FUM589829:FUM589852</xm:sqref>
        </x14:dataValidation>
        <x14:dataValidation type="list" allowBlank="1" showInputMessage="1" showErrorMessage="1" xr:uid="{00000000-0002-0000-0300-000049020000}">
          <x14:formula1>
            <xm:f>項目!C17:$GEA$589825</xm:f>
          </x14:formula1>
          <xm:sqref>GEI589829:GEI589852</xm:sqref>
        </x14:dataValidation>
        <x14:dataValidation type="list" allowBlank="1" showInputMessage="1" showErrorMessage="1" xr:uid="{00000000-0002-0000-0300-00004A020000}">
          <x14:formula1>
            <xm:f>項目!C17:$GNW$589825</xm:f>
          </x14:formula1>
          <xm:sqref>GOE589829:GOE589852</xm:sqref>
        </x14:dataValidation>
        <x14:dataValidation type="list" allowBlank="1" showInputMessage="1" showErrorMessage="1" xr:uid="{00000000-0002-0000-0300-00004B020000}">
          <x14:formula1>
            <xm:f>項目!C17:$GXS$589825</xm:f>
          </x14:formula1>
          <xm:sqref>GYA589829:GYA589852</xm:sqref>
        </x14:dataValidation>
        <x14:dataValidation type="list" allowBlank="1" showInputMessage="1" showErrorMessage="1" xr:uid="{00000000-0002-0000-0300-00004C020000}">
          <x14:formula1>
            <xm:f>項目!C17:$HHO$589825</xm:f>
          </x14:formula1>
          <xm:sqref>HHW589829:HHW589852</xm:sqref>
        </x14:dataValidation>
        <x14:dataValidation type="list" allowBlank="1" showInputMessage="1" showErrorMessage="1" xr:uid="{00000000-0002-0000-0300-00004D020000}">
          <x14:formula1>
            <xm:f>項目!C17:$HRK$589825</xm:f>
          </x14:formula1>
          <xm:sqref>HRS589829:HRS589852</xm:sqref>
        </x14:dataValidation>
        <x14:dataValidation type="list" allowBlank="1" showInputMessage="1" showErrorMessage="1" xr:uid="{00000000-0002-0000-0300-00004E020000}">
          <x14:formula1>
            <xm:f>項目!C17:$IBG$589825</xm:f>
          </x14:formula1>
          <xm:sqref>IBO589829:IBO589852</xm:sqref>
        </x14:dataValidation>
        <x14:dataValidation type="list" allowBlank="1" showInputMessage="1" showErrorMessage="1" xr:uid="{00000000-0002-0000-0300-00004F020000}">
          <x14:formula1>
            <xm:f>項目!C17:$ILC$589825</xm:f>
          </x14:formula1>
          <xm:sqref>ILK589829:ILK589852</xm:sqref>
        </x14:dataValidation>
        <x14:dataValidation type="list" allowBlank="1" showInputMessage="1" showErrorMessage="1" xr:uid="{00000000-0002-0000-0300-000050020000}">
          <x14:formula1>
            <xm:f>項目!C17:$IUY$589825</xm:f>
          </x14:formula1>
          <xm:sqref>IVG589829:IVG589852</xm:sqref>
        </x14:dataValidation>
        <x14:dataValidation type="list" allowBlank="1" showInputMessage="1" showErrorMessage="1" xr:uid="{00000000-0002-0000-0300-000051020000}">
          <x14:formula1>
            <xm:f>項目!C17:$JEU$589825</xm:f>
          </x14:formula1>
          <xm:sqref>JFC589829:JFC589852</xm:sqref>
        </x14:dataValidation>
        <x14:dataValidation type="list" allowBlank="1" showInputMessage="1" showErrorMessage="1" xr:uid="{00000000-0002-0000-0300-000052020000}">
          <x14:formula1>
            <xm:f>項目!C17:$JOQ$589825</xm:f>
          </x14:formula1>
          <xm:sqref>JOY589829:JOY589852</xm:sqref>
        </x14:dataValidation>
        <x14:dataValidation type="list" allowBlank="1" showInputMessage="1" showErrorMessage="1" xr:uid="{00000000-0002-0000-0300-000053020000}">
          <x14:formula1>
            <xm:f>項目!C17:$JYM$589825</xm:f>
          </x14:formula1>
          <xm:sqref>JYU589829:JYU589852</xm:sqref>
        </x14:dataValidation>
        <x14:dataValidation type="list" allowBlank="1" showInputMessage="1" showErrorMessage="1" xr:uid="{00000000-0002-0000-0300-000054020000}">
          <x14:formula1>
            <xm:f>項目!C17:$KII$589825</xm:f>
          </x14:formula1>
          <xm:sqref>KIQ589829:KIQ589852</xm:sqref>
        </x14:dataValidation>
        <x14:dataValidation type="list" allowBlank="1" showInputMessage="1" showErrorMessage="1" xr:uid="{00000000-0002-0000-0300-000055020000}">
          <x14:formula1>
            <xm:f>項目!C17:$KSE$589825</xm:f>
          </x14:formula1>
          <xm:sqref>KSM589829:KSM589852</xm:sqref>
        </x14:dataValidation>
        <x14:dataValidation type="list" allowBlank="1" showInputMessage="1" showErrorMessage="1" xr:uid="{00000000-0002-0000-0300-000056020000}">
          <x14:formula1>
            <xm:f>項目!C17:$LCA$589825</xm:f>
          </x14:formula1>
          <xm:sqref>LCI589829:LCI589852</xm:sqref>
        </x14:dataValidation>
        <x14:dataValidation type="list" allowBlank="1" showInputMessage="1" showErrorMessage="1" xr:uid="{00000000-0002-0000-0300-000057020000}">
          <x14:formula1>
            <xm:f>項目!C17:$LLW$589825</xm:f>
          </x14:formula1>
          <xm:sqref>LME589829:LME589852</xm:sqref>
        </x14:dataValidation>
        <x14:dataValidation type="list" allowBlank="1" showInputMessage="1" showErrorMessage="1" xr:uid="{00000000-0002-0000-0300-000058020000}">
          <x14:formula1>
            <xm:f>項目!C17:$LVS$589825</xm:f>
          </x14:formula1>
          <xm:sqref>LWA589829:LWA589852</xm:sqref>
        </x14:dataValidation>
        <x14:dataValidation type="list" allowBlank="1" showInputMessage="1" showErrorMessage="1" xr:uid="{00000000-0002-0000-0300-000059020000}">
          <x14:formula1>
            <xm:f>項目!C17:$MFO$589825</xm:f>
          </x14:formula1>
          <xm:sqref>MFW589829:MFW589852</xm:sqref>
        </x14:dataValidation>
        <x14:dataValidation type="list" allowBlank="1" showInputMessage="1" showErrorMessage="1" xr:uid="{00000000-0002-0000-0300-00005A020000}">
          <x14:formula1>
            <xm:f>項目!C17:$MPK$589825</xm:f>
          </x14:formula1>
          <xm:sqref>MPS589829:MPS589852</xm:sqref>
        </x14:dataValidation>
        <x14:dataValidation type="list" allowBlank="1" showInputMessage="1" showErrorMessage="1" xr:uid="{00000000-0002-0000-0300-00005B020000}">
          <x14:formula1>
            <xm:f>項目!C17:$MZG$589825</xm:f>
          </x14:formula1>
          <xm:sqref>MZO589829:MZO589852</xm:sqref>
        </x14:dataValidation>
        <x14:dataValidation type="list" allowBlank="1" showInputMessage="1" showErrorMessage="1" xr:uid="{00000000-0002-0000-0300-00005C020000}">
          <x14:formula1>
            <xm:f>項目!C17:$NJC$589825</xm:f>
          </x14:formula1>
          <xm:sqref>NJK589829:NJK589852</xm:sqref>
        </x14:dataValidation>
        <x14:dataValidation type="list" allowBlank="1" showInputMessage="1" showErrorMessage="1" xr:uid="{00000000-0002-0000-0300-00005D020000}">
          <x14:formula1>
            <xm:f>項目!C17:$NSY$589825</xm:f>
          </x14:formula1>
          <xm:sqref>NTG589829:NTG589852</xm:sqref>
        </x14:dataValidation>
        <x14:dataValidation type="list" allowBlank="1" showInputMessage="1" showErrorMessage="1" xr:uid="{00000000-0002-0000-0300-00005E020000}">
          <x14:formula1>
            <xm:f>項目!C17:$OCU$589825</xm:f>
          </x14:formula1>
          <xm:sqref>ODC589829:ODC589852</xm:sqref>
        </x14:dataValidation>
        <x14:dataValidation type="list" allowBlank="1" showInputMessage="1" showErrorMessage="1" xr:uid="{00000000-0002-0000-0300-00005F020000}">
          <x14:formula1>
            <xm:f>項目!C17:$OMQ$589825</xm:f>
          </x14:formula1>
          <xm:sqref>OMY589829:OMY589852</xm:sqref>
        </x14:dataValidation>
        <x14:dataValidation type="list" allowBlank="1" showInputMessage="1" showErrorMessage="1" xr:uid="{00000000-0002-0000-0300-000060020000}">
          <x14:formula1>
            <xm:f>項目!C17:$OWM$589825</xm:f>
          </x14:formula1>
          <xm:sqref>OWU589829:OWU589852</xm:sqref>
        </x14:dataValidation>
        <x14:dataValidation type="list" allowBlank="1" showInputMessage="1" showErrorMessage="1" xr:uid="{00000000-0002-0000-0300-000061020000}">
          <x14:formula1>
            <xm:f>項目!C17:$PGI$589825</xm:f>
          </x14:formula1>
          <xm:sqref>PGQ589829:PGQ589852</xm:sqref>
        </x14:dataValidation>
        <x14:dataValidation type="list" allowBlank="1" showInputMessage="1" showErrorMessage="1" xr:uid="{00000000-0002-0000-0300-000062020000}">
          <x14:formula1>
            <xm:f>項目!C17:$PQE$589825</xm:f>
          </x14:formula1>
          <xm:sqref>PQM589829:PQM589852</xm:sqref>
        </x14:dataValidation>
        <x14:dataValidation type="list" allowBlank="1" showInputMessage="1" showErrorMessage="1" xr:uid="{00000000-0002-0000-0300-000063020000}">
          <x14:formula1>
            <xm:f>項目!C17:$QAA$589825</xm:f>
          </x14:formula1>
          <xm:sqref>QAI589829:QAI589852</xm:sqref>
        </x14:dataValidation>
        <x14:dataValidation type="list" allowBlank="1" showInputMessage="1" showErrorMessage="1" xr:uid="{00000000-0002-0000-0300-000064020000}">
          <x14:formula1>
            <xm:f>項目!C17:$QJW$589825</xm:f>
          </x14:formula1>
          <xm:sqref>QKE589829:QKE589852</xm:sqref>
        </x14:dataValidation>
        <x14:dataValidation type="list" allowBlank="1" showInputMessage="1" showErrorMessage="1" xr:uid="{00000000-0002-0000-0300-000065020000}">
          <x14:formula1>
            <xm:f>項目!C17:$QTS$589825</xm:f>
          </x14:formula1>
          <xm:sqref>QUA589829:QUA589852</xm:sqref>
        </x14:dataValidation>
        <x14:dataValidation type="list" allowBlank="1" showInputMessage="1" showErrorMessage="1" xr:uid="{00000000-0002-0000-0300-000066020000}">
          <x14:formula1>
            <xm:f>項目!C17:$RDO$589825</xm:f>
          </x14:formula1>
          <xm:sqref>RDW589829:RDW589852</xm:sqref>
        </x14:dataValidation>
        <x14:dataValidation type="list" allowBlank="1" showInputMessage="1" showErrorMessage="1" xr:uid="{00000000-0002-0000-0300-000067020000}">
          <x14:formula1>
            <xm:f>項目!C17:$RNK$589825</xm:f>
          </x14:formula1>
          <xm:sqref>RNS589829:RNS589852</xm:sqref>
        </x14:dataValidation>
        <x14:dataValidation type="list" allowBlank="1" showInputMessage="1" showErrorMessage="1" xr:uid="{00000000-0002-0000-0300-000068020000}">
          <x14:formula1>
            <xm:f>項目!C17:$RXG$589825</xm:f>
          </x14:formula1>
          <xm:sqref>RXO589829:RXO589852</xm:sqref>
        </x14:dataValidation>
        <x14:dataValidation type="list" allowBlank="1" showInputMessage="1" showErrorMessage="1" xr:uid="{00000000-0002-0000-0300-000069020000}">
          <x14:formula1>
            <xm:f>項目!C17:$SHC$589825</xm:f>
          </x14:formula1>
          <xm:sqref>SHK589829:SHK589852</xm:sqref>
        </x14:dataValidation>
        <x14:dataValidation type="list" allowBlank="1" showInputMessage="1" showErrorMessage="1" xr:uid="{00000000-0002-0000-0300-00006A020000}">
          <x14:formula1>
            <xm:f>項目!C17:$SQY$589825</xm:f>
          </x14:formula1>
          <xm:sqref>SRG589829:SRG589852</xm:sqref>
        </x14:dataValidation>
        <x14:dataValidation type="list" allowBlank="1" showInputMessage="1" showErrorMessage="1" xr:uid="{00000000-0002-0000-0300-00006B020000}">
          <x14:formula1>
            <xm:f>項目!C17:$TAU$589825</xm:f>
          </x14:formula1>
          <xm:sqref>TBC589829:TBC589852</xm:sqref>
        </x14:dataValidation>
        <x14:dataValidation type="list" allowBlank="1" showInputMessage="1" showErrorMessage="1" xr:uid="{00000000-0002-0000-0300-00006C020000}">
          <x14:formula1>
            <xm:f>項目!C17:$TKQ$589825</xm:f>
          </x14:formula1>
          <xm:sqref>TKY589829:TKY589852</xm:sqref>
        </x14:dataValidation>
        <x14:dataValidation type="list" allowBlank="1" showInputMessage="1" showErrorMessage="1" xr:uid="{00000000-0002-0000-0300-00006D020000}">
          <x14:formula1>
            <xm:f>項目!C17:$TUM$589825</xm:f>
          </x14:formula1>
          <xm:sqref>TUU589829:TUU589852</xm:sqref>
        </x14:dataValidation>
        <x14:dataValidation type="list" allowBlank="1" showInputMessage="1" showErrorMessage="1" xr:uid="{00000000-0002-0000-0300-00006E020000}">
          <x14:formula1>
            <xm:f>項目!C17:$UEI$589825</xm:f>
          </x14:formula1>
          <xm:sqref>UEQ589829:UEQ589852</xm:sqref>
        </x14:dataValidation>
        <x14:dataValidation type="list" allowBlank="1" showInputMessage="1" showErrorMessage="1" xr:uid="{00000000-0002-0000-0300-00006F020000}">
          <x14:formula1>
            <xm:f>項目!C17:$UOE$589825</xm:f>
          </x14:formula1>
          <xm:sqref>UOM589829:UOM589852</xm:sqref>
        </x14:dataValidation>
        <x14:dataValidation type="list" allowBlank="1" showInputMessage="1" showErrorMessage="1" xr:uid="{00000000-0002-0000-0300-000070020000}">
          <x14:formula1>
            <xm:f>項目!C17:$UYA$589825</xm:f>
          </x14:formula1>
          <xm:sqref>UYI589829:UYI589852</xm:sqref>
        </x14:dataValidation>
        <x14:dataValidation type="list" allowBlank="1" showInputMessage="1" showErrorMessage="1" xr:uid="{00000000-0002-0000-0300-000071020000}">
          <x14:formula1>
            <xm:f>項目!C17:$VHW$589825</xm:f>
          </x14:formula1>
          <xm:sqref>VIE589829:VIE589852</xm:sqref>
        </x14:dataValidation>
        <x14:dataValidation type="list" allowBlank="1" showInputMessage="1" showErrorMessage="1" xr:uid="{00000000-0002-0000-0300-000072020000}">
          <x14:formula1>
            <xm:f>項目!C17:$VRS$589825</xm:f>
          </x14:formula1>
          <xm:sqref>VSA589829:VSA589852</xm:sqref>
        </x14:dataValidation>
        <x14:dataValidation type="list" allowBlank="1" showInputMessage="1" showErrorMessage="1" xr:uid="{00000000-0002-0000-0300-000073020000}">
          <x14:formula1>
            <xm:f>項目!C17:$WBO$589825</xm:f>
          </x14:formula1>
          <xm:sqref>WBW589829:WBW589852</xm:sqref>
        </x14:dataValidation>
        <x14:dataValidation type="list" allowBlank="1" showInputMessage="1" showErrorMessage="1" xr:uid="{00000000-0002-0000-0300-000074020000}">
          <x14:formula1>
            <xm:f>項目!C17:$WLK$589825</xm:f>
          </x14:formula1>
          <xm:sqref>WLS589829:WLS589852</xm:sqref>
        </x14:dataValidation>
        <x14:dataValidation type="list" allowBlank="1" showInputMessage="1" showErrorMessage="1" xr:uid="{00000000-0002-0000-0300-000075020000}">
          <x14:formula1>
            <xm:f>項目!C17:$WVG$589825</xm:f>
          </x14:formula1>
          <xm:sqref>WVO589829:WVO589852</xm:sqref>
        </x14:dataValidation>
        <x14:dataValidation type="list" allowBlank="1" showInputMessage="1" showErrorMessage="1" xr:uid="{00000000-0002-0000-0300-000076020000}">
          <x14:formula1>
            <xm:f>項目!C17:$IU$655361</xm:f>
          </x14:formula1>
          <xm:sqref>JC655365:JC655388</xm:sqref>
        </x14:dataValidation>
        <x14:dataValidation type="list" allowBlank="1" showInputMessage="1" showErrorMessage="1" xr:uid="{00000000-0002-0000-0300-000077020000}">
          <x14:formula1>
            <xm:f>項目!C17:$SQ$655361</xm:f>
          </x14:formula1>
          <xm:sqref>SY655365:SY655388</xm:sqref>
        </x14:dataValidation>
        <x14:dataValidation type="list" allowBlank="1" showInputMessage="1" showErrorMessage="1" xr:uid="{00000000-0002-0000-0300-000078020000}">
          <x14:formula1>
            <xm:f>項目!C17:$ACM$655361</xm:f>
          </x14:formula1>
          <xm:sqref>ACU655365:ACU655388</xm:sqref>
        </x14:dataValidation>
        <x14:dataValidation type="list" allowBlank="1" showInputMessage="1" showErrorMessage="1" xr:uid="{00000000-0002-0000-0300-000079020000}">
          <x14:formula1>
            <xm:f>項目!C17:$AMI$655361</xm:f>
          </x14:formula1>
          <xm:sqref>AMQ655365:AMQ655388</xm:sqref>
        </x14:dataValidation>
        <x14:dataValidation type="list" allowBlank="1" showInputMessage="1" showErrorMessage="1" xr:uid="{00000000-0002-0000-0300-00007A020000}">
          <x14:formula1>
            <xm:f>項目!C17:$AWE$655361</xm:f>
          </x14:formula1>
          <xm:sqref>AWM655365:AWM655388</xm:sqref>
        </x14:dataValidation>
        <x14:dataValidation type="list" allowBlank="1" showInputMessage="1" showErrorMessage="1" xr:uid="{00000000-0002-0000-0300-00007B020000}">
          <x14:formula1>
            <xm:f>項目!C17:$BGA$655361</xm:f>
          </x14:formula1>
          <xm:sqref>BGI655365:BGI655388</xm:sqref>
        </x14:dataValidation>
        <x14:dataValidation type="list" allowBlank="1" showInputMessage="1" showErrorMessage="1" xr:uid="{00000000-0002-0000-0300-00007C020000}">
          <x14:formula1>
            <xm:f>項目!C17:$BPW$655361</xm:f>
          </x14:formula1>
          <xm:sqref>BQE655365:BQE655388</xm:sqref>
        </x14:dataValidation>
        <x14:dataValidation type="list" allowBlank="1" showInputMessage="1" showErrorMessage="1" xr:uid="{00000000-0002-0000-0300-00007D020000}">
          <x14:formula1>
            <xm:f>項目!C17:$BZS$655361</xm:f>
          </x14:formula1>
          <xm:sqref>CAA655365:CAA655388</xm:sqref>
        </x14:dataValidation>
        <x14:dataValidation type="list" allowBlank="1" showInputMessage="1" showErrorMessage="1" xr:uid="{00000000-0002-0000-0300-00007E020000}">
          <x14:formula1>
            <xm:f>項目!C17:$CJO$655361</xm:f>
          </x14:formula1>
          <xm:sqref>CJW655365:CJW655388</xm:sqref>
        </x14:dataValidation>
        <x14:dataValidation type="list" allowBlank="1" showInputMessage="1" showErrorMessage="1" xr:uid="{00000000-0002-0000-0300-00007F020000}">
          <x14:formula1>
            <xm:f>項目!C17:$CTK$655361</xm:f>
          </x14:formula1>
          <xm:sqref>CTS655365:CTS655388</xm:sqref>
        </x14:dataValidation>
        <x14:dataValidation type="list" allowBlank="1" showInputMessage="1" showErrorMessage="1" xr:uid="{00000000-0002-0000-0300-000080020000}">
          <x14:formula1>
            <xm:f>項目!C17:$DDG$655361</xm:f>
          </x14:formula1>
          <xm:sqref>DDO655365:DDO655388</xm:sqref>
        </x14:dataValidation>
        <x14:dataValidation type="list" allowBlank="1" showInputMessage="1" showErrorMessage="1" xr:uid="{00000000-0002-0000-0300-000081020000}">
          <x14:formula1>
            <xm:f>項目!C17:$DNC$655361</xm:f>
          </x14:formula1>
          <xm:sqref>DNK655365:DNK655388</xm:sqref>
        </x14:dataValidation>
        <x14:dataValidation type="list" allowBlank="1" showInputMessage="1" showErrorMessage="1" xr:uid="{00000000-0002-0000-0300-000082020000}">
          <x14:formula1>
            <xm:f>項目!C17:$DWY$655361</xm:f>
          </x14:formula1>
          <xm:sqref>DXG655365:DXG655388</xm:sqref>
        </x14:dataValidation>
        <x14:dataValidation type="list" allowBlank="1" showInputMessage="1" showErrorMessage="1" xr:uid="{00000000-0002-0000-0300-000083020000}">
          <x14:formula1>
            <xm:f>項目!C17:$EGU$655361</xm:f>
          </x14:formula1>
          <xm:sqref>EHC655365:EHC655388</xm:sqref>
        </x14:dataValidation>
        <x14:dataValidation type="list" allowBlank="1" showInputMessage="1" showErrorMessage="1" xr:uid="{00000000-0002-0000-0300-000084020000}">
          <x14:formula1>
            <xm:f>項目!C17:$EQQ$655361</xm:f>
          </x14:formula1>
          <xm:sqref>EQY655365:EQY655388</xm:sqref>
        </x14:dataValidation>
        <x14:dataValidation type="list" allowBlank="1" showInputMessage="1" showErrorMessage="1" xr:uid="{00000000-0002-0000-0300-000085020000}">
          <x14:formula1>
            <xm:f>項目!C17:$FAM$655361</xm:f>
          </x14:formula1>
          <xm:sqref>FAU655365:FAU655388</xm:sqref>
        </x14:dataValidation>
        <x14:dataValidation type="list" allowBlank="1" showInputMessage="1" showErrorMessage="1" xr:uid="{00000000-0002-0000-0300-000086020000}">
          <x14:formula1>
            <xm:f>項目!C17:$FKI$655361</xm:f>
          </x14:formula1>
          <xm:sqref>FKQ655365:FKQ655388</xm:sqref>
        </x14:dataValidation>
        <x14:dataValidation type="list" allowBlank="1" showInputMessage="1" showErrorMessage="1" xr:uid="{00000000-0002-0000-0300-000087020000}">
          <x14:formula1>
            <xm:f>項目!C17:$FUE$655361</xm:f>
          </x14:formula1>
          <xm:sqref>FUM655365:FUM655388</xm:sqref>
        </x14:dataValidation>
        <x14:dataValidation type="list" allowBlank="1" showInputMessage="1" showErrorMessage="1" xr:uid="{00000000-0002-0000-0300-000088020000}">
          <x14:formula1>
            <xm:f>項目!C17:$GEA$655361</xm:f>
          </x14:formula1>
          <xm:sqref>GEI655365:GEI655388</xm:sqref>
        </x14:dataValidation>
        <x14:dataValidation type="list" allowBlank="1" showInputMessage="1" showErrorMessage="1" xr:uid="{00000000-0002-0000-0300-000089020000}">
          <x14:formula1>
            <xm:f>項目!C17:$GNW$655361</xm:f>
          </x14:formula1>
          <xm:sqref>GOE655365:GOE655388</xm:sqref>
        </x14:dataValidation>
        <x14:dataValidation type="list" allowBlank="1" showInputMessage="1" showErrorMessage="1" xr:uid="{00000000-0002-0000-0300-00008A020000}">
          <x14:formula1>
            <xm:f>項目!C17:$GXS$655361</xm:f>
          </x14:formula1>
          <xm:sqref>GYA655365:GYA655388</xm:sqref>
        </x14:dataValidation>
        <x14:dataValidation type="list" allowBlank="1" showInputMessage="1" showErrorMessage="1" xr:uid="{00000000-0002-0000-0300-00008B020000}">
          <x14:formula1>
            <xm:f>項目!C17:$HHO$655361</xm:f>
          </x14:formula1>
          <xm:sqref>HHW655365:HHW655388</xm:sqref>
        </x14:dataValidation>
        <x14:dataValidation type="list" allowBlank="1" showInputMessage="1" showErrorMessage="1" xr:uid="{00000000-0002-0000-0300-00008C020000}">
          <x14:formula1>
            <xm:f>項目!C17:$HRK$655361</xm:f>
          </x14:formula1>
          <xm:sqref>HRS655365:HRS655388</xm:sqref>
        </x14:dataValidation>
        <x14:dataValidation type="list" allowBlank="1" showInputMessage="1" showErrorMessage="1" xr:uid="{00000000-0002-0000-0300-00008D020000}">
          <x14:formula1>
            <xm:f>項目!C17:$IBG$655361</xm:f>
          </x14:formula1>
          <xm:sqref>IBO655365:IBO655388</xm:sqref>
        </x14:dataValidation>
        <x14:dataValidation type="list" allowBlank="1" showInputMessage="1" showErrorMessage="1" xr:uid="{00000000-0002-0000-0300-00008E020000}">
          <x14:formula1>
            <xm:f>項目!C17:$ILC$655361</xm:f>
          </x14:formula1>
          <xm:sqref>ILK655365:ILK655388</xm:sqref>
        </x14:dataValidation>
        <x14:dataValidation type="list" allowBlank="1" showInputMessage="1" showErrorMessage="1" xr:uid="{00000000-0002-0000-0300-00008F020000}">
          <x14:formula1>
            <xm:f>項目!C17:$IUY$655361</xm:f>
          </x14:formula1>
          <xm:sqref>IVG655365:IVG655388</xm:sqref>
        </x14:dataValidation>
        <x14:dataValidation type="list" allowBlank="1" showInputMessage="1" showErrorMessage="1" xr:uid="{00000000-0002-0000-0300-000090020000}">
          <x14:formula1>
            <xm:f>項目!C17:$JEU$655361</xm:f>
          </x14:formula1>
          <xm:sqref>JFC655365:JFC655388</xm:sqref>
        </x14:dataValidation>
        <x14:dataValidation type="list" allowBlank="1" showInputMessage="1" showErrorMessage="1" xr:uid="{00000000-0002-0000-0300-000091020000}">
          <x14:formula1>
            <xm:f>項目!C17:$JOQ$655361</xm:f>
          </x14:formula1>
          <xm:sqref>JOY655365:JOY655388</xm:sqref>
        </x14:dataValidation>
        <x14:dataValidation type="list" allowBlank="1" showInputMessage="1" showErrorMessage="1" xr:uid="{00000000-0002-0000-0300-000092020000}">
          <x14:formula1>
            <xm:f>項目!C17:$JYM$655361</xm:f>
          </x14:formula1>
          <xm:sqref>JYU655365:JYU655388</xm:sqref>
        </x14:dataValidation>
        <x14:dataValidation type="list" allowBlank="1" showInputMessage="1" showErrorMessage="1" xr:uid="{00000000-0002-0000-0300-000093020000}">
          <x14:formula1>
            <xm:f>項目!C17:$KII$655361</xm:f>
          </x14:formula1>
          <xm:sqref>KIQ655365:KIQ655388</xm:sqref>
        </x14:dataValidation>
        <x14:dataValidation type="list" allowBlank="1" showInputMessage="1" showErrorMessage="1" xr:uid="{00000000-0002-0000-0300-000094020000}">
          <x14:formula1>
            <xm:f>項目!C17:$KSE$655361</xm:f>
          </x14:formula1>
          <xm:sqref>KSM655365:KSM655388</xm:sqref>
        </x14:dataValidation>
        <x14:dataValidation type="list" allowBlank="1" showInputMessage="1" showErrorMessage="1" xr:uid="{00000000-0002-0000-0300-000095020000}">
          <x14:formula1>
            <xm:f>項目!C17:$LCA$655361</xm:f>
          </x14:formula1>
          <xm:sqref>LCI655365:LCI655388</xm:sqref>
        </x14:dataValidation>
        <x14:dataValidation type="list" allowBlank="1" showInputMessage="1" showErrorMessage="1" xr:uid="{00000000-0002-0000-0300-000096020000}">
          <x14:formula1>
            <xm:f>項目!C17:$LLW$655361</xm:f>
          </x14:formula1>
          <xm:sqref>LME655365:LME655388</xm:sqref>
        </x14:dataValidation>
        <x14:dataValidation type="list" allowBlank="1" showInputMessage="1" showErrorMessage="1" xr:uid="{00000000-0002-0000-0300-000097020000}">
          <x14:formula1>
            <xm:f>項目!C17:$LVS$655361</xm:f>
          </x14:formula1>
          <xm:sqref>LWA655365:LWA655388</xm:sqref>
        </x14:dataValidation>
        <x14:dataValidation type="list" allowBlank="1" showInputMessage="1" showErrorMessage="1" xr:uid="{00000000-0002-0000-0300-000098020000}">
          <x14:formula1>
            <xm:f>項目!C17:$MFO$655361</xm:f>
          </x14:formula1>
          <xm:sqref>MFW655365:MFW655388</xm:sqref>
        </x14:dataValidation>
        <x14:dataValidation type="list" allowBlank="1" showInputMessage="1" showErrorMessage="1" xr:uid="{00000000-0002-0000-0300-000099020000}">
          <x14:formula1>
            <xm:f>項目!C17:$MPK$655361</xm:f>
          </x14:formula1>
          <xm:sqref>MPS655365:MPS655388</xm:sqref>
        </x14:dataValidation>
        <x14:dataValidation type="list" allowBlank="1" showInputMessage="1" showErrorMessage="1" xr:uid="{00000000-0002-0000-0300-00009A020000}">
          <x14:formula1>
            <xm:f>項目!C17:$MZG$655361</xm:f>
          </x14:formula1>
          <xm:sqref>MZO655365:MZO655388</xm:sqref>
        </x14:dataValidation>
        <x14:dataValidation type="list" allowBlank="1" showInputMessage="1" showErrorMessage="1" xr:uid="{00000000-0002-0000-0300-00009B020000}">
          <x14:formula1>
            <xm:f>項目!C17:$NJC$655361</xm:f>
          </x14:formula1>
          <xm:sqref>NJK655365:NJK655388</xm:sqref>
        </x14:dataValidation>
        <x14:dataValidation type="list" allowBlank="1" showInputMessage="1" showErrorMessage="1" xr:uid="{00000000-0002-0000-0300-00009C020000}">
          <x14:formula1>
            <xm:f>項目!C17:$NSY$655361</xm:f>
          </x14:formula1>
          <xm:sqref>NTG655365:NTG655388</xm:sqref>
        </x14:dataValidation>
        <x14:dataValidation type="list" allowBlank="1" showInputMessage="1" showErrorMessage="1" xr:uid="{00000000-0002-0000-0300-00009D020000}">
          <x14:formula1>
            <xm:f>項目!C17:$OCU$655361</xm:f>
          </x14:formula1>
          <xm:sqref>ODC655365:ODC655388</xm:sqref>
        </x14:dataValidation>
        <x14:dataValidation type="list" allowBlank="1" showInputMessage="1" showErrorMessage="1" xr:uid="{00000000-0002-0000-0300-00009E020000}">
          <x14:formula1>
            <xm:f>項目!C17:$OMQ$655361</xm:f>
          </x14:formula1>
          <xm:sqref>OMY655365:OMY655388</xm:sqref>
        </x14:dataValidation>
        <x14:dataValidation type="list" allowBlank="1" showInputMessage="1" showErrorMessage="1" xr:uid="{00000000-0002-0000-0300-00009F020000}">
          <x14:formula1>
            <xm:f>項目!C17:$OWM$655361</xm:f>
          </x14:formula1>
          <xm:sqref>OWU655365:OWU655388</xm:sqref>
        </x14:dataValidation>
        <x14:dataValidation type="list" allowBlank="1" showInputMessage="1" showErrorMessage="1" xr:uid="{00000000-0002-0000-0300-0000A0020000}">
          <x14:formula1>
            <xm:f>項目!C17:$PGI$655361</xm:f>
          </x14:formula1>
          <xm:sqref>PGQ655365:PGQ655388</xm:sqref>
        </x14:dataValidation>
        <x14:dataValidation type="list" allowBlank="1" showInputMessage="1" showErrorMessage="1" xr:uid="{00000000-0002-0000-0300-0000A1020000}">
          <x14:formula1>
            <xm:f>項目!C17:$PQE$655361</xm:f>
          </x14:formula1>
          <xm:sqref>PQM655365:PQM655388</xm:sqref>
        </x14:dataValidation>
        <x14:dataValidation type="list" allowBlank="1" showInputMessage="1" showErrorMessage="1" xr:uid="{00000000-0002-0000-0300-0000A2020000}">
          <x14:formula1>
            <xm:f>項目!C17:$QAA$655361</xm:f>
          </x14:formula1>
          <xm:sqref>QAI655365:QAI655388</xm:sqref>
        </x14:dataValidation>
        <x14:dataValidation type="list" allowBlank="1" showInputMessage="1" showErrorMessage="1" xr:uid="{00000000-0002-0000-0300-0000A3020000}">
          <x14:formula1>
            <xm:f>項目!C17:$QJW$655361</xm:f>
          </x14:formula1>
          <xm:sqref>QKE655365:QKE655388</xm:sqref>
        </x14:dataValidation>
        <x14:dataValidation type="list" allowBlank="1" showInputMessage="1" showErrorMessage="1" xr:uid="{00000000-0002-0000-0300-0000A4020000}">
          <x14:formula1>
            <xm:f>項目!C17:$QTS$655361</xm:f>
          </x14:formula1>
          <xm:sqref>QUA655365:QUA655388</xm:sqref>
        </x14:dataValidation>
        <x14:dataValidation type="list" allowBlank="1" showInputMessage="1" showErrorMessage="1" xr:uid="{00000000-0002-0000-0300-0000A5020000}">
          <x14:formula1>
            <xm:f>項目!C17:$RDO$655361</xm:f>
          </x14:formula1>
          <xm:sqref>RDW655365:RDW655388</xm:sqref>
        </x14:dataValidation>
        <x14:dataValidation type="list" allowBlank="1" showInputMessage="1" showErrorMessage="1" xr:uid="{00000000-0002-0000-0300-0000A6020000}">
          <x14:formula1>
            <xm:f>項目!C17:$RNK$655361</xm:f>
          </x14:formula1>
          <xm:sqref>RNS655365:RNS655388</xm:sqref>
        </x14:dataValidation>
        <x14:dataValidation type="list" allowBlank="1" showInputMessage="1" showErrorMessage="1" xr:uid="{00000000-0002-0000-0300-0000A7020000}">
          <x14:formula1>
            <xm:f>項目!C17:$RXG$655361</xm:f>
          </x14:formula1>
          <xm:sqref>RXO655365:RXO655388</xm:sqref>
        </x14:dataValidation>
        <x14:dataValidation type="list" allowBlank="1" showInputMessage="1" showErrorMessage="1" xr:uid="{00000000-0002-0000-0300-0000A8020000}">
          <x14:formula1>
            <xm:f>項目!C17:$SHC$655361</xm:f>
          </x14:formula1>
          <xm:sqref>SHK655365:SHK655388</xm:sqref>
        </x14:dataValidation>
        <x14:dataValidation type="list" allowBlank="1" showInputMessage="1" showErrorMessage="1" xr:uid="{00000000-0002-0000-0300-0000A9020000}">
          <x14:formula1>
            <xm:f>項目!C17:$SQY$655361</xm:f>
          </x14:formula1>
          <xm:sqref>SRG655365:SRG655388</xm:sqref>
        </x14:dataValidation>
        <x14:dataValidation type="list" allowBlank="1" showInputMessage="1" showErrorMessage="1" xr:uid="{00000000-0002-0000-0300-0000AA020000}">
          <x14:formula1>
            <xm:f>項目!C17:$TAU$655361</xm:f>
          </x14:formula1>
          <xm:sqref>TBC655365:TBC655388</xm:sqref>
        </x14:dataValidation>
        <x14:dataValidation type="list" allowBlank="1" showInputMessage="1" showErrorMessage="1" xr:uid="{00000000-0002-0000-0300-0000AB020000}">
          <x14:formula1>
            <xm:f>項目!C17:$TKQ$655361</xm:f>
          </x14:formula1>
          <xm:sqref>TKY655365:TKY655388</xm:sqref>
        </x14:dataValidation>
        <x14:dataValidation type="list" allowBlank="1" showInputMessage="1" showErrorMessage="1" xr:uid="{00000000-0002-0000-0300-0000AC020000}">
          <x14:formula1>
            <xm:f>項目!C17:$TUM$655361</xm:f>
          </x14:formula1>
          <xm:sqref>TUU655365:TUU655388</xm:sqref>
        </x14:dataValidation>
        <x14:dataValidation type="list" allowBlank="1" showInputMessage="1" showErrorMessage="1" xr:uid="{00000000-0002-0000-0300-0000AD020000}">
          <x14:formula1>
            <xm:f>項目!C17:$UEI$655361</xm:f>
          </x14:formula1>
          <xm:sqref>UEQ655365:UEQ655388</xm:sqref>
        </x14:dataValidation>
        <x14:dataValidation type="list" allowBlank="1" showInputMessage="1" showErrorMessage="1" xr:uid="{00000000-0002-0000-0300-0000AE020000}">
          <x14:formula1>
            <xm:f>項目!C17:$UOE$655361</xm:f>
          </x14:formula1>
          <xm:sqref>UOM655365:UOM655388</xm:sqref>
        </x14:dataValidation>
        <x14:dataValidation type="list" allowBlank="1" showInputMessage="1" showErrorMessage="1" xr:uid="{00000000-0002-0000-0300-0000AF020000}">
          <x14:formula1>
            <xm:f>項目!C17:$UYA$655361</xm:f>
          </x14:formula1>
          <xm:sqref>UYI655365:UYI655388</xm:sqref>
        </x14:dataValidation>
        <x14:dataValidation type="list" allowBlank="1" showInputMessage="1" showErrorMessage="1" xr:uid="{00000000-0002-0000-0300-0000B0020000}">
          <x14:formula1>
            <xm:f>項目!C17:$VHW$655361</xm:f>
          </x14:formula1>
          <xm:sqref>VIE655365:VIE655388</xm:sqref>
        </x14:dataValidation>
        <x14:dataValidation type="list" allowBlank="1" showInputMessage="1" showErrorMessage="1" xr:uid="{00000000-0002-0000-0300-0000B1020000}">
          <x14:formula1>
            <xm:f>項目!C17:$VRS$655361</xm:f>
          </x14:formula1>
          <xm:sqref>VSA655365:VSA655388</xm:sqref>
        </x14:dataValidation>
        <x14:dataValidation type="list" allowBlank="1" showInputMessage="1" showErrorMessage="1" xr:uid="{00000000-0002-0000-0300-0000B2020000}">
          <x14:formula1>
            <xm:f>項目!C17:$WBO$655361</xm:f>
          </x14:formula1>
          <xm:sqref>WBW655365:WBW655388</xm:sqref>
        </x14:dataValidation>
        <x14:dataValidation type="list" allowBlank="1" showInputMessage="1" showErrorMessage="1" xr:uid="{00000000-0002-0000-0300-0000B3020000}">
          <x14:formula1>
            <xm:f>項目!C17:$WLK$655361</xm:f>
          </x14:formula1>
          <xm:sqref>WLS655365:WLS655388</xm:sqref>
        </x14:dataValidation>
        <x14:dataValidation type="list" allowBlank="1" showInputMessage="1" showErrorMessage="1" xr:uid="{00000000-0002-0000-0300-0000B4020000}">
          <x14:formula1>
            <xm:f>項目!C17:$WVG$655361</xm:f>
          </x14:formula1>
          <xm:sqref>WVO655365:WVO655388</xm:sqref>
        </x14:dataValidation>
        <x14:dataValidation type="list" allowBlank="1" showInputMessage="1" showErrorMessage="1" xr:uid="{00000000-0002-0000-0300-0000B5020000}">
          <x14:formula1>
            <xm:f>項目!C17:$IU$720897</xm:f>
          </x14:formula1>
          <xm:sqref>JC720901:JC720924</xm:sqref>
        </x14:dataValidation>
        <x14:dataValidation type="list" allowBlank="1" showInputMessage="1" showErrorMessage="1" xr:uid="{00000000-0002-0000-0300-0000B6020000}">
          <x14:formula1>
            <xm:f>項目!C17:$SQ$720897</xm:f>
          </x14:formula1>
          <xm:sqref>SY720901:SY720924</xm:sqref>
        </x14:dataValidation>
        <x14:dataValidation type="list" allowBlank="1" showInputMessage="1" showErrorMessage="1" xr:uid="{00000000-0002-0000-0300-0000B7020000}">
          <x14:formula1>
            <xm:f>項目!C17:$ACM$720897</xm:f>
          </x14:formula1>
          <xm:sqref>ACU720901:ACU720924</xm:sqref>
        </x14:dataValidation>
        <x14:dataValidation type="list" allowBlank="1" showInputMessage="1" showErrorMessage="1" xr:uid="{00000000-0002-0000-0300-0000B8020000}">
          <x14:formula1>
            <xm:f>項目!C17:$AMI$720897</xm:f>
          </x14:formula1>
          <xm:sqref>AMQ720901:AMQ720924</xm:sqref>
        </x14:dataValidation>
        <x14:dataValidation type="list" allowBlank="1" showInputMessage="1" showErrorMessage="1" xr:uid="{00000000-0002-0000-0300-0000B9020000}">
          <x14:formula1>
            <xm:f>項目!C17:$AWE$720897</xm:f>
          </x14:formula1>
          <xm:sqref>AWM720901:AWM720924</xm:sqref>
        </x14:dataValidation>
        <x14:dataValidation type="list" allowBlank="1" showInputMessage="1" showErrorMessage="1" xr:uid="{00000000-0002-0000-0300-0000BA020000}">
          <x14:formula1>
            <xm:f>項目!C17:$BGA$720897</xm:f>
          </x14:formula1>
          <xm:sqref>BGI720901:BGI720924</xm:sqref>
        </x14:dataValidation>
        <x14:dataValidation type="list" allowBlank="1" showInputMessage="1" showErrorMessage="1" xr:uid="{00000000-0002-0000-0300-0000BB020000}">
          <x14:formula1>
            <xm:f>項目!C17:$BPW$720897</xm:f>
          </x14:formula1>
          <xm:sqref>BQE720901:BQE720924</xm:sqref>
        </x14:dataValidation>
        <x14:dataValidation type="list" allowBlank="1" showInputMessage="1" showErrorMessage="1" xr:uid="{00000000-0002-0000-0300-0000BC020000}">
          <x14:formula1>
            <xm:f>項目!C17:$BZS$720897</xm:f>
          </x14:formula1>
          <xm:sqref>CAA720901:CAA720924</xm:sqref>
        </x14:dataValidation>
        <x14:dataValidation type="list" allowBlank="1" showInputMessage="1" showErrorMessage="1" xr:uid="{00000000-0002-0000-0300-0000BD020000}">
          <x14:formula1>
            <xm:f>項目!C17:$CJO$720897</xm:f>
          </x14:formula1>
          <xm:sqref>CJW720901:CJW720924</xm:sqref>
        </x14:dataValidation>
        <x14:dataValidation type="list" allowBlank="1" showInputMessage="1" showErrorMessage="1" xr:uid="{00000000-0002-0000-0300-0000BE020000}">
          <x14:formula1>
            <xm:f>項目!C17:$CTK$720897</xm:f>
          </x14:formula1>
          <xm:sqref>CTS720901:CTS720924</xm:sqref>
        </x14:dataValidation>
        <x14:dataValidation type="list" allowBlank="1" showInputMessage="1" showErrorMessage="1" xr:uid="{00000000-0002-0000-0300-0000BF020000}">
          <x14:formula1>
            <xm:f>項目!C17:$DDG$720897</xm:f>
          </x14:formula1>
          <xm:sqref>DDO720901:DDO720924</xm:sqref>
        </x14:dataValidation>
        <x14:dataValidation type="list" allowBlank="1" showInputMessage="1" showErrorMessage="1" xr:uid="{00000000-0002-0000-0300-0000C0020000}">
          <x14:formula1>
            <xm:f>項目!C17:$DNC$720897</xm:f>
          </x14:formula1>
          <xm:sqref>DNK720901:DNK720924</xm:sqref>
        </x14:dataValidation>
        <x14:dataValidation type="list" allowBlank="1" showInputMessage="1" showErrorMessage="1" xr:uid="{00000000-0002-0000-0300-0000C1020000}">
          <x14:formula1>
            <xm:f>項目!C17:$DWY$720897</xm:f>
          </x14:formula1>
          <xm:sqref>DXG720901:DXG720924</xm:sqref>
        </x14:dataValidation>
        <x14:dataValidation type="list" allowBlank="1" showInputMessage="1" showErrorMessage="1" xr:uid="{00000000-0002-0000-0300-0000C2020000}">
          <x14:formula1>
            <xm:f>項目!C17:$EGU$720897</xm:f>
          </x14:formula1>
          <xm:sqref>EHC720901:EHC720924</xm:sqref>
        </x14:dataValidation>
        <x14:dataValidation type="list" allowBlank="1" showInputMessage="1" showErrorMessage="1" xr:uid="{00000000-0002-0000-0300-0000C3020000}">
          <x14:formula1>
            <xm:f>項目!C17:$EQQ$720897</xm:f>
          </x14:formula1>
          <xm:sqref>EQY720901:EQY720924</xm:sqref>
        </x14:dataValidation>
        <x14:dataValidation type="list" allowBlank="1" showInputMessage="1" showErrorMessage="1" xr:uid="{00000000-0002-0000-0300-0000C4020000}">
          <x14:formula1>
            <xm:f>項目!C17:$FAM$720897</xm:f>
          </x14:formula1>
          <xm:sqref>FAU720901:FAU720924</xm:sqref>
        </x14:dataValidation>
        <x14:dataValidation type="list" allowBlank="1" showInputMessage="1" showErrorMessage="1" xr:uid="{00000000-0002-0000-0300-0000C5020000}">
          <x14:formula1>
            <xm:f>項目!C17:$FKI$720897</xm:f>
          </x14:formula1>
          <xm:sqref>FKQ720901:FKQ720924</xm:sqref>
        </x14:dataValidation>
        <x14:dataValidation type="list" allowBlank="1" showInputMessage="1" showErrorMessage="1" xr:uid="{00000000-0002-0000-0300-0000C6020000}">
          <x14:formula1>
            <xm:f>項目!C17:$FUE$720897</xm:f>
          </x14:formula1>
          <xm:sqref>FUM720901:FUM720924</xm:sqref>
        </x14:dataValidation>
        <x14:dataValidation type="list" allowBlank="1" showInputMessage="1" showErrorMessage="1" xr:uid="{00000000-0002-0000-0300-0000C7020000}">
          <x14:formula1>
            <xm:f>項目!C17:$GEA$720897</xm:f>
          </x14:formula1>
          <xm:sqref>GEI720901:GEI720924</xm:sqref>
        </x14:dataValidation>
        <x14:dataValidation type="list" allowBlank="1" showInputMessage="1" showErrorMessage="1" xr:uid="{00000000-0002-0000-0300-0000C8020000}">
          <x14:formula1>
            <xm:f>項目!C17:$GNW$720897</xm:f>
          </x14:formula1>
          <xm:sqref>GOE720901:GOE720924</xm:sqref>
        </x14:dataValidation>
        <x14:dataValidation type="list" allowBlank="1" showInputMessage="1" showErrorMessage="1" xr:uid="{00000000-0002-0000-0300-0000C9020000}">
          <x14:formula1>
            <xm:f>項目!C17:$GXS$720897</xm:f>
          </x14:formula1>
          <xm:sqref>GYA720901:GYA720924</xm:sqref>
        </x14:dataValidation>
        <x14:dataValidation type="list" allowBlank="1" showInputMessage="1" showErrorMessage="1" xr:uid="{00000000-0002-0000-0300-0000CA020000}">
          <x14:formula1>
            <xm:f>項目!C17:$HHO$720897</xm:f>
          </x14:formula1>
          <xm:sqref>HHW720901:HHW720924</xm:sqref>
        </x14:dataValidation>
        <x14:dataValidation type="list" allowBlank="1" showInputMessage="1" showErrorMessage="1" xr:uid="{00000000-0002-0000-0300-0000CB020000}">
          <x14:formula1>
            <xm:f>項目!C17:$HRK$720897</xm:f>
          </x14:formula1>
          <xm:sqref>HRS720901:HRS720924</xm:sqref>
        </x14:dataValidation>
        <x14:dataValidation type="list" allowBlank="1" showInputMessage="1" showErrorMessage="1" xr:uid="{00000000-0002-0000-0300-0000CC020000}">
          <x14:formula1>
            <xm:f>項目!C17:$IBG$720897</xm:f>
          </x14:formula1>
          <xm:sqref>IBO720901:IBO720924</xm:sqref>
        </x14:dataValidation>
        <x14:dataValidation type="list" allowBlank="1" showInputMessage="1" showErrorMessage="1" xr:uid="{00000000-0002-0000-0300-0000CD020000}">
          <x14:formula1>
            <xm:f>項目!C17:$ILC$720897</xm:f>
          </x14:formula1>
          <xm:sqref>ILK720901:ILK720924</xm:sqref>
        </x14:dataValidation>
        <x14:dataValidation type="list" allowBlank="1" showInputMessage="1" showErrorMessage="1" xr:uid="{00000000-0002-0000-0300-0000CE020000}">
          <x14:formula1>
            <xm:f>項目!C17:$IUY$720897</xm:f>
          </x14:formula1>
          <xm:sqref>IVG720901:IVG720924</xm:sqref>
        </x14:dataValidation>
        <x14:dataValidation type="list" allowBlank="1" showInputMessage="1" showErrorMessage="1" xr:uid="{00000000-0002-0000-0300-0000CF020000}">
          <x14:formula1>
            <xm:f>項目!C17:$JEU$720897</xm:f>
          </x14:formula1>
          <xm:sqref>JFC720901:JFC720924</xm:sqref>
        </x14:dataValidation>
        <x14:dataValidation type="list" allowBlank="1" showInputMessage="1" showErrorMessage="1" xr:uid="{00000000-0002-0000-0300-0000D0020000}">
          <x14:formula1>
            <xm:f>項目!C17:$JOQ$720897</xm:f>
          </x14:formula1>
          <xm:sqref>JOY720901:JOY720924</xm:sqref>
        </x14:dataValidation>
        <x14:dataValidation type="list" allowBlank="1" showInputMessage="1" showErrorMessage="1" xr:uid="{00000000-0002-0000-0300-0000D1020000}">
          <x14:formula1>
            <xm:f>項目!C17:$JYM$720897</xm:f>
          </x14:formula1>
          <xm:sqref>JYU720901:JYU720924</xm:sqref>
        </x14:dataValidation>
        <x14:dataValidation type="list" allowBlank="1" showInputMessage="1" showErrorMessage="1" xr:uid="{00000000-0002-0000-0300-0000D2020000}">
          <x14:formula1>
            <xm:f>項目!C17:$KII$720897</xm:f>
          </x14:formula1>
          <xm:sqref>KIQ720901:KIQ720924</xm:sqref>
        </x14:dataValidation>
        <x14:dataValidation type="list" allowBlank="1" showInputMessage="1" showErrorMessage="1" xr:uid="{00000000-0002-0000-0300-0000D3020000}">
          <x14:formula1>
            <xm:f>項目!C17:$KSE$720897</xm:f>
          </x14:formula1>
          <xm:sqref>KSM720901:KSM720924</xm:sqref>
        </x14:dataValidation>
        <x14:dataValidation type="list" allowBlank="1" showInputMessage="1" showErrorMessage="1" xr:uid="{00000000-0002-0000-0300-0000D4020000}">
          <x14:formula1>
            <xm:f>項目!C17:$LCA$720897</xm:f>
          </x14:formula1>
          <xm:sqref>LCI720901:LCI720924</xm:sqref>
        </x14:dataValidation>
        <x14:dataValidation type="list" allowBlank="1" showInputMessage="1" showErrorMessage="1" xr:uid="{00000000-0002-0000-0300-0000D5020000}">
          <x14:formula1>
            <xm:f>項目!C17:$LLW$720897</xm:f>
          </x14:formula1>
          <xm:sqref>LME720901:LME720924</xm:sqref>
        </x14:dataValidation>
        <x14:dataValidation type="list" allowBlank="1" showInputMessage="1" showErrorMessage="1" xr:uid="{00000000-0002-0000-0300-0000D6020000}">
          <x14:formula1>
            <xm:f>項目!C17:$LVS$720897</xm:f>
          </x14:formula1>
          <xm:sqref>LWA720901:LWA720924</xm:sqref>
        </x14:dataValidation>
        <x14:dataValidation type="list" allowBlank="1" showInputMessage="1" showErrorMessage="1" xr:uid="{00000000-0002-0000-0300-0000D7020000}">
          <x14:formula1>
            <xm:f>項目!C17:$MFO$720897</xm:f>
          </x14:formula1>
          <xm:sqref>MFW720901:MFW720924</xm:sqref>
        </x14:dataValidation>
        <x14:dataValidation type="list" allowBlank="1" showInputMessage="1" showErrorMessage="1" xr:uid="{00000000-0002-0000-0300-0000D8020000}">
          <x14:formula1>
            <xm:f>項目!C17:$MPK$720897</xm:f>
          </x14:formula1>
          <xm:sqref>MPS720901:MPS720924</xm:sqref>
        </x14:dataValidation>
        <x14:dataValidation type="list" allowBlank="1" showInputMessage="1" showErrorMessage="1" xr:uid="{00000000-0002-0000-0300-0000D9020000}">
          <x14:formula1>
            <xm:f>項目!C17:$MZG$720897</xm:f>
          </x14:formula1>
          <xm:sqref>MZO720901:MZO720924</xm:sqref>
        </x14:dataValidation>
        <x14:dataValidation type="list" allowBlank="1" showInputMessage="1" showErrorMessage="1" xr:uid="{00000000-0002-0000-0300-0000DA020000}">
          <x14:formula1>
            <xm:f>項目!C17:$NJC$720897</xm:f>
          </x14:formula1>
          <xm:sqref>NJK720901:NJK720924</xm:sqref>
        </x14:dataValidation>
        <x14:dataValidation type="list" allowBlank="1" showInputMessage="1" showErrorMessage="1" xr:uid="{00000000-0002-0000-0300-0000DB020000}">
          <x14:formula1>
            <xm:f>項目!C17:$NSY$720897</xm:f>
          </x14:formula1>
          <xm:sqref>NTG720901:NTG720924</xm:sqref>
        </x14:dataValidation>
        <x14:dataValidation type="list" allowBlank="1" showInputMessage="1" showErrorMessage="1" xr:uid="{00000000-0002-0000-0300-0000DC020000}">
          <x14:formula1>
            <xm:f>項目!C17:$OCU$720897</xm:f>
          </x14:formula1>
          <xm:sqref>ODC720901:ODC720924</xm:sqref>
        </x14:dataValidation>
        <x14:dataValidation type="list" allowBlank="1" showInputMessage="1" showErrorMessage="1" xr:uid="{00000000-0002-0000-0300-0000DD020000}">
          <x14:formula1>
            <xm:f>項目!C17:$OMQ$720897</xm:f>
          </x14:formula1>
          <xm:sqref>OMY720901:OMY720924</xm:sqref>
        </x14:dataValidation>
        <x14:dataValidation type="list" allowBlank="1" showInputMessage="1" showErrorMessage="1" xr:uid="{00000000-0002-0000-0300-0000DE020000}">
          <x14:formula1>
            <xm:f>項目!C17:$OWM$720897</xm:f>
          </x14:formula1>
          <xm:sqref>OWU720901:OWU720924</xm:sqref>
        </x14:dataValidation>
        <x14:dataValidation type="list" allowBlank="1" showInputMessage="1" showErrorMessage="1" xr:uid="{00000000-0002-0000-0300-0000DF020000}">
          <x14:formula1>
            <xm:f>項目!C17:$PGI$720897</xm:f>
          </x14:formula1>
          <xm:sqref>PGQ720901:PGQ720924</xm:sqref>
        </x14:dataValidation>
        <x14:dataValidation type="list" allowBlank="1" showInputMessage="1" showErrorMessage="1" xr:uid="{00000000-0002-0000-0300-0000E0020000}">
          <x14:formula1>
            <xm:f>項目!C17:$PQE$720897</xm:f>
          </x14:formula1>
          <xm:sqref>PQM720901:PQM720924</xm:sqref>
        </x14:dataValidation>
        <x14:dataValidation type="list" allowBlank="1" showInputMessage="1" showErrorMessage="1" xr:uid="{00000000-0002-0000-0300-0000E1020000}">
          <x14:formula1>
            <xm:f>項目!C17:$QAA$720897</xm:f>
          </x14:formula1>
          <xm:sqref>QAI720901:QAI720924</xm:sqref>
        </x14:dataValidation>
        <x14:dataValidation type="list" allowBlank="1" showInputMessage="1" showErrorMessage="1" xr:uid="{00000000-0002-0000-0300-0000E2020000}">
          <x14:formula1>
            <xm:f>項目!C17:$QJW$720897</xm:f>
          </x14:formula1>
          <xm:sqref>QKE720901:QKE720924</xm:sqref>
        </x14:dataValidation>
        <x14:dataValidation type="list" allowBlank="1" showInputMessage="1" showErrorMessage="1" xr:uid="{00000000-0002-0000-0300-0000E3020000}">
          <x14:formula1>
            <xm:f>項目!C17:$QTS$720897</xm:f>
          </x14:formula1>
          <xm:sqref>QUA720901:QUA720924</xm:sqref>
        </x14:dataValidation>
        <x14:dataValidation type="list" allowBlank="1" showInputMessage="1" showErrorMessage="1" xr:uid="{00000000-0002-0000-0300-0000E4020000}">
          <x14:formula1>
            <xm:f>項目!C17:$RDO$720897</xm:f>
          </x14:formula1>
          <xm:sqref>RDW720901:RDW720924</xm:sqref>
        </x14:dataValidation>
        <x14:dataValidation type="list" allowBlank="1" showInputMessage="1" showErrorMessage="1" xr:uid="{00000000-0002-0000-0300-0000E5020000}">
          <x14:formula1>
            <xm:f>項目!C17:$RNK$720897</xm:f>
          </x14:formula1>
          <xm:sqref>RNS720901:RNS720924</xm:sqref>
        </x14:dataValidation>
        <x14:dataValidation type="list" allowBlank="1" showInputMessage="1" showErrorMessage="1" xr:uid="{00000000-0002-0000-0300-0000E6020000}">
          <x14:formula1>
            <xm:f>項目!C17:$RXG$720897</xm:f>
          </x14:formula1>
          <xm:sqref>RXO720901:RXO720924</xm:sqref>
        </x14:dataValidation>
        <x14:dataValidation type="list" allowBlank="1" showInputMessage="1" showErrorMessage="1" xr:uid="{00000000-0002-0000-0300-0000E7020000}">
          <x14:formula1>
            <xm:f>項目!C17:$SHC$720897</xm:f>
          </x14:formula1>
          <xm:sqref>SHK720901:SHK720924</xm:sqref>
        </x14:dataValidation>
        <x14:dataValidation type="list" allowBlank="1" showInputMessage="1" showErrorMessage="1" xr:uid="{00000000-0002-0000-0300-0000E8020000}">
          <x14:formula1>
            <xm:f>項目!C17:$SQY$720897</xm:f>
          </x14:formula1>
          <xm:sqref>SRG720901:SRG720924</xm:sqref>
        </x14:dataValidation>
        <x14:dataValidation type="list" allowBlank="1" showInputMessage="1" showErrorMessage="1" xr:uid="{00000000-0002-0000-0300-0000E9020000}">
          <x14:formula1>
            <xm:f>項目!C17:$TAU$720897</xm:f>
          </x14:formula1>
          <xm:sqref>TBC720901:TBC720924</xm:sqref>
        </x14:dataValidation>
        <x14:dataValidation type="list" allowBlank="1" showInputMessage="1" showErrorMessage="1" xr:uid="{00000000-0002-0000-0300-0000EA020000}">
          <x14:formula1>
            <xm:f>項目!C17:$TKQ$720897</xm:f>
          </x14:formula1>
          <xm:sqref>TKY720901:TKY720924</xm:sqref>
        </x14:dataValidation>
        <x14:dataValidation type="list" allowBlank="1" showInputMessage="1" showErrorMessage="1" xr:uid="{00000000-0002-0000-0300-0000EB020000}">
          <x14:formula1>
            <xm:f>項目!C17:$TUM$720897</xm:f>
          </x14:formula1>
          <xm:sqref>TUU720901:TUU720924</xm:sqref>
        </x14:dataValidation>
        <x14:dataValidation type="list" allowBlank="1" showInputMessage="1" showErrorMessage="1" xr:uid="{00000000-0002-0000-0300-0000EC020000}">
          <x14:formula1>
            <xm:f>項目!C17:$UEI$720897</xm:f>
          </x14:formula1>
          <xm:sqref>UEQ720901:UEQ720924</xm:sqref>
        </x14:dataValidation>
        <x14:dataValidation type="list" allowBlank="1" showInputMessage="1" showErrorMessage="1" xr:uid="{00000000-0002-0000-0300-0000ED020000}">
          <x14:formula1>
            <xm:f>項目!C17:$UOE$720897</xm:f>
          </x14:formula1>
          <xm:sqref>UOM720901:UOM720924</xm:sqref>
        </x14:dataValidation>
        <x14:dataValidation type="list" allowBlank="1" showInputMessage="1" showErrorMessage="1" xr:uid="{00000000-0002-0000-0300-0000EE020000}">
          <x14:formula1>
            <xm:f>項目!C17:$UYA$720897</xm:f>
          </x14:formula1>
          <xm:sqref>UYI720901:UYI720924</xm:sqref>
        </x14:dataValidation>
        <x14:dataValidation type="list" allowBlank="1" showInputMessage="1" showErrorMessage="1" xr:uid="{00000000-0002-0000-0300-0000EF020000}">
          <x14:formula1>
            <xm:f>項目!C17:$VHW$720897</xm:f>
          </x14:formula1>
          <xm:sqref>VIE720901:VIE720924</xm:sqref>
        </x14:dataValidation>
        <x14:dataValidation type="list" allowBlank="1" showInputMessage="1" showErrorMessage="1" xr:uid="{00000000-0002-0000-0300-0000F0020000}">
          <x14:formula1>
            <xm:f>項目!C17:$VRS$720897</xm:f>
          </x14:formula1>
          <xm:sqref>VSA720901:VSA720924</xm:sqref>
        </x14:dataValidation>
        <x14:dataValidation type="list" allowBlank="1" showInputMessage="1" showErrorMessage="1" xr:uid="{00000000-0002-0000-0300-0000F1020000}">
          <x14:formula1>
            <xm:f>項目!C17:$WBO$720897</xm:f>
          </x14:formula1>
          <xm:sqref>WBW720901:WBW720924</xm:sqref>
        </x14:dataValidation>
        <x14:dataValidation type="list" allowBlank="1" showInputMessage="1" showErrorMessage="1" xr:uid="{00000000-0002-0000-0300-0000F2020000}">
          <x14:formula1>
            <xm:f>項目!C17:$WLK$720897</xm:f>
          </x14:formula1>
          <xm:sqref>WLS720901:WLS720924</xm:sqref>
        </x14:dataValidation>
        <x14:dataValidation type="list" allowBlank="1" showInputMessage="1" showErrorMessage="1" xr:uid="{00000000-0002-0000-0300-0000F3020000}">
          <x14:formula1>
            <xm:f>項目!C17:$WVG$720897</xm:f>
          </x14:formula1>
          <xm:sqref>WVO720901:WVO720924</xm:sqref>
        </x14:dataValidation>
        <x14:dataValidation type="list" allowBlank="1" showInputMessage="1" showErrorMessage="1" xr:uid="{00000000-0002-0000-0300-0000F4020000}">
          <x14:formula1>
            <xm:f>項目!C17:$IU$786433</xm:f>
          </x14:formula1>
          <xm:sqref>JC786437:JC786460</xm:sqref>
        </x14:dataValidation>
        <x14:dataValidation type="list" allowBlank="1" showInputMessage="1" showErrorMessage="1" xr:uid="{00000000-0002-0000-0300-0000F5020000}">
          <x14:formula1>
            <xm:f>項目!C17:$SQ$786433</xm:f>
          </x14:formula1>
          <xm:sqref>SY786437:SY786460</xm:sqref>
        </x14:dataValidation>
        <x14:dataValidation type="list" allowBlank="1" showInputMessage="1" showErrorMessage="1" xr:uid="{00000000-0002-0000-0300-0000F6020000}">
          <x14:formula1>
            <xm:f>項目!C17:$ACM$786433</xm:f>
          </x14:formula1>
          <xm:sqref>ACU786437:ACU786460</xm:sqref>
        </x14:dataValidation>
        <x14:dataValidation type="list" allowBlank="1" showInputMessage="1" showErrorMessage="1" xr:uid="{00000000-0002-0000-0300-0000F7020000}">
          <x14:formula1>
            <xm:f>項目!C17:$AMI$786433</xm:f>
          </x14:formula1>
          <xm:sqref>AMQ786437:AMQ786460</xm:sqref>
        </x14:dataValidation>
        <x14:dataValidation type="list" allowBlank="1" showInputMessage="1" showErrorMessage="1" xr:uid="{00000000-0002-0000-0300-0000F8020000}">
          <x14:formula1>
            <xm:f>項目!C17:$AWE$786433</xm:f>
          </x14:formula1>
          <xm:sqref>AWM786437:AWM786460</xm:sqref>
        </x14:dataValidation>
        <x14:dataValidation type="list" allowBlank="1" showInputMessage="1" showErrorMessage="1" xr:uid="{00000000-0002-0000-0300-0000F9020000}">
          <x14:formula1>
            <xm:f>項目!C17:$BGA$786433</xm:f>
          </x14:formula1>
          <xm:sqref>BGI786437:BGI786460</xm:sqref>
        </x14:dataValidation>
        <x14:dataValidation type="list" allowBlank="1" showInputMessage="1" showErrorMessage="1" xr:uid="{00000000-0002-0000-0300-0000FA020000}">
          <x14:formula1>
            <xm:f>項目!C17:$BPW$786433</xm:f>
          </x14:formula1>
          <xm:sqref>BQE786437:BQE786460</xm:sqref>
        </x14:dataValidation>
        <x14:dataValidation type="list" allowBlank="1" showInputMessage="1" showErrorMessage="1" xr:uid="{00000000-0002-0000-0300-0000FB020000}">
          <x14:formula1>
            <xm:f>項目!C17:$BZS$786433</xm:f>
          </x14:formula1>
          <xm:sqref>CAA786437:CAA786460</xm:sqref>
        </x14:dataValidation>
        <x14:dataValidation type="list" allowBlank="1" showInputMessage="1" showErrorMessage="1" xr:uid="{00000000-0002-0000-0300-0000FC020000}">
          <x14:formula1>
            <xm:f>項目!C17:$CJO$786433</xm:f>
          </x14:formula1>
          <xm:sqref>CJW786437:CJW786460</xm:sqref>
        </x14:dataValidation>
        <x14:dataValidation type="list" allowBlank="1" showInputMessage="1" showErrorMessage="1" xr:uid="{00000000-0002-0000-0300-0000FD020000}">
          <x14:formula1>
            <xm:f>項目!C17:$CTK$786433</xm:f>
          </x14:formula1>
          <xm:sqref>CTS786437:CTS786460</xm:sqref>
        </x14:dataValidation>
        <x14:dataValidation type="list" allowBlank="1" showInputMessage="1" showErrorMessage="1" xr:uid="{00000000-0002-0000-0300-0000FE020000}">
          <x14:formula1>
            <xm:f>項目!C17:$DDG$786433</xm:f>
          </x14:formula1>
          <xm:sqref>DDO786437:DDO786460</xm:sqref>
        </x14:dataValidation>
        <x14:dataValidation type="list" allowBlank="1" showInputMessage="1" showErrorMessage="1" xr:uid="{00000000-0002-0000-0300-0000FF020000}">
          <x14:formula1>
            <xm:f>項目!C17:$DNC$786433</xm:f>
          </x14:formula1>
          <xm:sqref>DNK786437:DNK786460</xm:sqref>
        </x14:dataValidation>
        <x14:dataValidation type="list" allowBlank="1" showInputMessage="1" showErrorMessage="1" xr:uid="{00000000-0002-0000-0300-000000030000}">
          <x14:formula1>
            <xm:f>項目!C17:$DWY$786433</xm:f>
          </x14:formula1>
          <xm:sqref>DXG786437:DXG786460</xm:sqref>
        </x14:dataValidation>
        <x14:dataValidation type="list" allowBlank="1" showInputMessage="1" showErrorMessage="1" xr:uid="{00000000-0002-0000-0300-000001030000}">
          <x14:formula1>
            <xm:f>項目!C17:$EGU$786433</xm:f>
          </x14:formula1>
          <xm:sqref>EHC786437:EHC786460</xm:sqref>
        </x14:dataValidation>
        <x14:dataValidation type="list" allowBlank="1" showInputMessage="1" showErrorMessage="1" xr:uid="{00000000-0002-0000-0300-000002030000}">
          <x14:formula1>
            <xm:f>項目!C17:$EQQ$786433</xm:f>
          </x14:formula1>
          <xm:sqref>EQY786437:EQY786460</xm:sqref>
        </x14:dataValidation>
        <x14:dataValidation type="list" allowBlank="1" showInputMessage="1" showErrorMessage="1" xr:uid="{00000000-0002-0000-0300-000003030000}">
          <x14:formula1>
            <xm:f>項目!C17:$FAM$786433</xm:f>
          </x14:formula1>
          <xm:sqref>FAU786437:FAU786460</xm:sqref>
        </x14:dataValidation>
        <x14:dataValidation type="list" allowBlank="1" showInputMessage="1" showErrorMessage="1" xr:uid="{00000000-0002-0000-0300-000004030000}">
          <x14:formula1>
            <xm:f>項目!C17:$FKI$786433</xm:f>
          </x14:formula1>
          <xm:sqref>FKQ786437:FKQ786460</xm:sqref>
        </x14:dataValidation>
        <x14:dataValidation type="list" allowBlank="1" showInputMessage="1" showErrorMessage="1" xr:uid="{00000000-0002-0000-0300-000005030000}">
          <x14:formula1>
            <xm:f>項目!C17:$FUE$786433</xm:f>
          </x14:formula1>
          <xm:sqref>FUM786437:FUM786460</xm:sqref>
        </x14:dataValidation>
        <x14:dataValidation type="list" allowBlank="1" showInputMessage="1" showErrorMessage="1" xr:uid="{00000000-0002-0000-0300-000006030000}">
          <x14:formula1>
            <xm:f>項目!C17:$GEA$786433</xm:f>
          </x14:formula1>
          <xm:sqref>GEI786437:GEI786460</xm:sqref>
        </x14:dataValidation>
        <x14:dataValidation type="list" allowBlank="1" showInputMessage="1" showErrorMessage="1" xr:uid="{00000000-0002-0000-0300-000007030000}">
          <x14:formula1>
            <xm:f>項目!C17:$GNW$786433</xm:f>
          </x14:formula1>
          <xm:sqref>GOE786437:GOE786460</xm:sqref>
        </x14:dataValidation>
        <x14:dataValidation type="list" allowBlank="1" showInputMessage="1" showErrorMessage="1" xr:uid="{00000000-0002-0000-0300-000008030000}">
          <x14:formula1>
            <xm:f>項目!C17:$GXS$786433</xm:f>
          </x14:formula1>
          <xm:sqref>GYA786437:GYA786460</xm:sqref>
        </x14:dataValidation>
        <x14:dataValidation type="list" allowBlank="1" showInputMessage="1" showErrorMessage="1" xr:uid="{00000000-0002-0000-0300-000009030000}">
          <x14:formula1>
            <xm:f>項目!C17:$HHO$786433</xm:f>
          </x14:formula1>
          <xm:sqref>HHW786437:HHW786460</xm:sqref>
        </x14:dataValidation>
        <x14:dataValidation type="list" allowBlank="1" showInputMessage="1" showErrorMessage="1" xr:uid="{00000000-0002-0000-0300-00000A030000}">
          <x14:formula1>
            <xm:f>項目!C17:$HRK$786433</xm:f>
          </x14:formula1>
          <xm:sqref>HRS786437:HRS786460</xm:sqref>
        </x14:dataValidation>
        <x14:dataValidation type="list" allowBlank="1" showInputMessage="1" showErrorMessage="1" xr:uid="{00000000-0002-0000-0300-00000B030000}">
          <x14:formula1>
            <xm:f>項目!C17:$IBG$786433</xm:f>
          </x14:formula1>
          <xm:sqref>IBO786437:IBO786460</xm:sqref>
        </x14:dataValidation>
        <x14:dataValidation type="list" allowBlank="1" showInputMessage="1" showErrorMessage="1" xr:uid="{00000000-0002-0000-0300-00000C030000}">
          <x14:formula1>
            <xm:f>項目!C17:$ILC$786433</xm:f>
          </x14:formula1>
          <xm:sqref>ILK786437:ILK786460</xm:sqref>
        </x14:dataValidation>
        <x14:dataValidation type="list" allowBlank="1" showInputMessage="1" showErrorMessage="1" xr:uid="{00000000-0002-0000-0300-00000D030000}">
          <x14:formula1>
            <xm:f>項目!C17:$IUY$786433</xm:f>
          </x14:formula1>
          <xm:sqref>IVG786437:IVG786460</xm:sqref>
        </x14:dataValidation>
        <x14:dataValidation type="list" allowBlank="1" showInputMessage="1" showErrorMessage="1" xr:uid="{00000000-0002-0000-0300-00000E030000}">
          <x14:formula1>
            <xm:f>項目!C17:$JEU$786433</xm:f>
          </x14:formula1>
          <xm:sqref>JFC786437:JFC786460</xm:sqref>
        </x14:dataValidation>
        <x14:dataValidation type="list" allowBlank="1" showInputMessage="1" showErrorMessage="1" xr:uid="{00000000-0002-0000-0300-00000F030000}">
          <x14:formula1>
            <xm:f>項目!C17:$JOQ$786433</xm:f>
          </x14:formula1>
          <xm:sqref>JOY786437:JOY786460</xm:sqref>
        </x14:dataValidation>
        <x14:dataValidation type="list" allowBlank="1" showInputMessage="1" showErrorMessage="1" xr:uid="{00000000-0002-0000-0300-000010030000}">
          <x14:formula1>
            <xm:f>項目!C17:$JYM$786433</xm:f>
          </x14:formula1>
          <xm:sqref>JYU786437:JYU786460</xm:sqref>
        </x14:dataValidation>
        <x14:dataValidation type="list" allowBlank="1" showInputMessage="1" showErrorMessage="1" xr:uid="{00000000-0002-0000-0300-000011030000}">
          <x14:formula1>
            <xm:f>項目!C17:$KII$786433</xm:f>
          </x14:formula1>
          <xm:sqref>KIQ786437:KIQ786460</xm:sqref>
        </x14:dataValidation>
        <x14:dataValidation type="list" allowBlank="1" showInputMessage="1" showErrorMessage="1" xr:uid="{00000000-0002-0000-0300-000012030000}">
          <x14:formula1>
            <xm:f>項目!C17:$KSE$786433</xm:f>
          </x14:formula1>
          <xm:sqref>KSM786437:KSM786460</xm:sqref>
        </x14:dataValidation>
        <x14:dataValidation type="list" allowBlank="1" showInputMessage="1" showErrorMessage="1" xr:uid="{00000000-0002-0000-0300-000013030000}">
          <x14:formula1>
            <xm:f>項目!C17:$LCA$786433</xm:f>
          </x14:formula1>
          <xm:sqref>LCI786437:LCI786460</xm:sqref>
        </x14:dataValidation>
        <x14:dataValidation type="list" allowBlank="1" showInputMessage="1" showErrorMessage="1" xr:uid="{00000000-0002-0000-0300-000014030000}">
          <x14:formula1>
            <xm:f>項目!C17:$LLW$786433</xm:f>
          </x14:formula1>
          <xm:sqref>LME786437:LME786460</xm:sqref>
        </x14:dataValidation>
        <x14:dataValidation type="list" allowBlank="1" showInputMessage="1" showErrorMessage="1" xr:uid="{00000000-0002-0000-0300-000015030000}">
          <x14:formula1>
            <xm:f>項目!C17:$LVS$786433</xm:f>
          </x14:formula1>
          <xm:sqref>LWA786437:LWA786460</xm:sqref>
        </x14:dataValidation>
        <x14:dataValidation type="list" allowBlank="1" showInputMessage="1" showErrorMessage="1" xr:uid="{00000000-0002-0000-0300-000016030000}">
          <x14:formula1>
            <xm:f>項目!C17:$MFO$786433</xm:f>
          </x14:formula1>
          <xm:sqref>MFW786437:MFW786460</xm:sqref>
        </x14:dataValidation>
        <x14:dataValidation type="list" allowBlank="1" showInputMessage="1" showErrorMessage="1" xr:uid="{00000000-0002-0000-0300-000017030000}">
          <x14:formula1>
            <xm:f>項目!C17:$MPK$786433</xm:f>
          </x14:formula1>
          <xm:sqref>MPS786437:MPS786460</xm:sqref>
        </x14:dataValidation>
        <x14:dataValidation type="list" allowBlank="1" showInputMessage="1" showErrorMessage="1" xr:uid="{00000000-0002-0000-0300-000018030000}">
          <x14:formula1>
            <xm:f>項目!C17:$MZG$786433</xm:f>
          </x14:formula1>
          <xm:sqref>MZO786437:MZO786460</xm:sqref>
        </x14:dataValidation>
        <x14:dataValidation type="list" allowBlank="1" showInputMessage="1" showErrorMessage="1" xr:uid="{00000000-0002-0000-0300-000019030000}">
          <x14:formula1>
            <xm:f>項目!C17:$NJC$786433</xm:f>
          </x14:formula1>
          <xm:sqref>NJK786437:NJK786460</xm:sqref>
        </x14:dataValidation>
        <x14:dataValidation type="list" allowBlank="1" showInputMessage="1" showErrorMessage="1" xr:uid="{00000000-0002-0000-0300-00001A030000}">
          <x14:formula1>
            <xm:f>項目!C17:$NSY$786433</xm:f>
          </x14:formula1>
          <xm:sqref>NTG786437:NTG786460</xm:sqref>
        </x14:dataValidation>
        <x14:dataValidation type="list" allowBlank="1" showInputMessage="1" showErrorMessage="1" xr:uid="{00000000-0002-0000-0300-00001B030000}">
          <x14:formula1>
            <xm:f>項目!C17:$OCU$786433</xm:f>
          </x14:formula1>
          <xm:sqref>ODC786437:ODC786460</xm:sqref>
        </x14:dataValidation>
        <x14:dataValidation type="list" allowBlank="1" showInputMessage="1" showErrorMessage="1" xr:uid="{00000000-0002-0000-0300-00001C030000}">
          <x14:formula1>
            <xm:f>項目!C17:$OMQ$786433</xm:f>
          </x14:formula1>
          <xm:sqref>OMY786437:OMY786460</xm:sqref>
        </x14:dataValidation>
        <x14:dataValidation type="list" allowBlank="1" showInputMessage="1" showErrorMessage="1" xr:uid="{00000000-0002-0000-0300-00001D030000}">
          <x14:formula1>
            <xm:f>項目!C17:$OWM$786433</xm:f>
          </x14:formula1>
          <xm:sqref>OWU786437:OWU786460</xm:sqref>
        </x14:dataValidation>
        <x14:dataValidation type="list" allowBlank="1" showInputMessage="1" showErrorMessage="1" xr:uid="{00000000-0002-0000-0300-00001E030000}">
          <x14:formula1>
            <xm:f>項目!C17:$PGI$786433</xm:f>
          </x14:formula1>
          <xm:sqref>PGQ786437:PGQ786460</xm:sqref>
        </x14:dataValidation>
        <x14:dataValidation type="list" allowBlank="1" showInputMessage="1" showErrorMessage="1" xr:uid="{00000000-0002-0000-0300-00001F030000}">
          <x14:formula1>
            <xm:f>項目!C17:$PQE$786433</xm:f>
          </x14:formula1>
          <xm:sqref>PQM786437:PQM786460</xm:sqref>
        </x14:dataValidation>
        <x14:dataValidation type="list" allowBlank="1" showInputMessage="1" showErrorMessage="1" xr:uid="{00000000-0002-0000-0300-000020030000}">
          <x14:formula1>
            <xm:f>項目!C17:$QAA$786433</xm:f>
          </x14:formula1>
          <xm:sqref>QAI786437:QAI786460</xm:sqref>
        </x14:dataValidation>
        <x14:dataValidation type="list" allowBlank="1" showInputMessage="1" showErrorMessage="1" xr:uid="{00000000-0002-0000-0300-000021030000}">
          <x14:formula1>
            <xm:f>項目!C17:$QJW$786433</xm:f>
          </x14:formula1>
          <xm:sqref>QKE786437:QKE786460</xm:sqref>
        </x14:dataValidation>
        <x14:dataValidation type="list" allowBlank="1" showInputMessage="1" showErrorMessage="1" xr:uid="{00000000-0002-0000-0300-000022030000}">
          <x14:formula1>
            <xm:f>項目!C17:$QTS$786433</xm:f>
          </x14:formula1>
          <xm:sqref>QUA786437:QUA786460</xm:sqref>
        </x14:dataValidation>
        <x14:dataValidation type="list" allowBlank="1" showInputMessage="1" showErrorMessage="1" xr:uid="{00000000-0002-0000-0300-000023030000}">
          <x14:formula1>
            <xm:f>項目!C17:$RDO$786433</xm:f>
          </x14:formula1>
          <xm:sqref>RDW786437:RDW786460</xm:sqref>
        </x14:dataValidation>
        <x14:dataValidation type="list" allowBlank="1" showInputMessage="1" showErrorMessage="1" xr:uid="{00000000-0002-0000-0300-000024030000}">
          <x14:formula1>
            <xm:f>項目!C17:$RNK$786433</xm:f>
          </x14:formula1>
          <xm:sqref>RNS786437:RNS786460</xm:sqref>
        </x14:dataValidation>
        <x14:dataValidation type="list" allowBlank="1" showInputMessage="1" showErrorMessage="1" xr:uid="{00000000-0002-0000-0300-000025030000}">
          <x14:formula1>
            <xm:f>項目!C17:$RXG$786433</xm:f>
          </x14:formula1>
          <xm:sqref>RXO786437:RXO786460</xm:sqref>
        </x14:dataValidation>
        <x14:dataValidation type="list" allowBlank="1" showInputMessage="1" showErrorMessage="1" xr:uid="{00000000-0002-0000-0300-000026030000}">
          <x14:formula1>
            <xm:f>項目!C17:$SHC$786433</xm:f>
          </x14:formula1>
          <xm:sqref>SHK786437:SHK786460</xm:sqref>
        </x14:dataValidation>
        <x14:dataValidation type="list" allowBlank="1" showInputMessage="1" showErrorMessage="1" xr:uid="{00000000-0002-0000-0300-000027030000}">
          <x14:formula1>
            <xm:f>項目!C17:$SQY$786433</xm:f>
          </x14:formula1>
          <xm:sqref>SRG786437:SRG786460</xm:sqref>
        </x14:dataValidation>
        <x14:dataValidation type="list" allowBlank="1" showInputMessage="1" showErrorMessage="1" xr:uid="{00000000-0002-0000-0300-000028030000}">
          <x14:formula1>
            <xm:f>項目!C17:$TAU$786433</xm:f>
          </x14:formula1>
          <xm:sqref>TBC786437:TBC786460</xm:sqref>
        </x14:dataValidation>
        <x14:dataValidation type="list" allowBlank="1" showInputMessage="1" showErrorMessage="1" xr:uid="{00000000-0002-0000-0300-000029030000}">
          <x14:formula1>
            <xm:f>項目!C17:$TKQ$786433</xm:f>
          </x14:formula1>
          <xm:sqref>TKY786437:TKY786460</xm:sqref>
        </x14:dataValidation>
        <x14:dataValidation type="list" allowBlank="1" showInputMessage="1" showErrorMessage="1" xr:uid="{00000000-0002-0000-0300-00002A030000}">
          <x14:formula1>
            <xm:f>項目!C17:$TUM$786433</xm:f>
          </x14:formula1>
          <xm:sqref>TUU786437:TUU786460</xm:sqref>
        </x14:dataValidation>
        <x14:dataValidation type="list" allowBlank="1" showInputMessage="1" showErrorMessage="1" xr:uid="{00000000-0002-0000-0300-00002B030000}">
          <x14:formula1>
            <xm:f>項目!C17:$UEI$786433</xm:f>
          </x14:formula1>
          <xm:sqref>UEQ786437:UEQ786460</xm:sqref>
        </x14:dataValidation>
        <x14:dataValidation type="list" allowBlank="1" showInputMessage="1" showErrorMessage="1" xr:uid="{00000000-0002-0000-0300-00002C030000}">
          <x14:formula1>
            <xm:f>項目!C17:$UOE$786433</xm:f>
          </x14:formula1>
          <xm:sqref>UOM786437:UOM786460</xm:sqref>
        </x14:dataValidation>
        <x14:dataValidation type="list" allowBlank="1" showInputMessage="1" showErrorMessage="1" xr:uid="{00000000-0002-0000-0300-00002D030000}">
          <x14:formula1>
            <xm:f>項目!C17:$UYA$786433</xm:f>
          </x14:formula1>
          <xm:sqref>UYI786437:UYI786460</xm:sqref>
        </x14:dataValidation>
        <x14:dataValidation type="list" allowBlank="1" showInputMessage="1" showErrorMessage="1" xr:uid="{00000000-0002-0000-0300-00002E030000}">
          <x14:formula1>
            <xm:f>項目!C17:$VHW$786433</xm:f>
          </x14:formula1>
          <xm:sqref>VIE786437:VIE786460</xm:sqref>
        </x14:dataValidation>
        <x14:dataValidation type="list" allowBlank="1" showInputMessage="1" showErrorMessage="1" xr:uid="{00000000-0002-0000-0300-00002F030000}">
          <x14:formula1>
            <xm:f>項目!C17:$VRS$786433</xm:f>
          </x14:formula1>
          <xm:sqref>VSA786437:VSA786460</xm:sqref>
        </x14:dataValidation>
        <x14:dataValidation type="list" allowBlank="1" showInputMessage="1" showErrorMessage="1" xr:uid="{00000000-0002-0000-0300-000030030000}">
          <x14:formula1>
            <xm:f>項目!C17:$WBO$786433</xm:f>
          </x14:formula1>
          <xm:sqref>WBW786437:WBW786460</xm:sqref>
        </x14:dataValidation>
        <x14:dataValidation type="list" allowBlank="1" showInputMessage="1" showErrorMessage="1" xr:uid="{00000000-0002-0000-0300-000031030000}">
          <x14:formula1>
            <xm:f>項目!C17:$WLK$786433</xm:f>
          </x14:formula1>
          <xm:sqref>WLS786437:WLS786460</xm:sqref>
        </x14:dataValidation>
        <x14:dataValidation type="list" allowBlank="1" showInputMessage="1" showErrorMessage="1" xr:uid="{00000000-0002-0000-0300-000032030000}">
          <x14:formula1>
            <xm:f>項目!C17:$WVG$786433</xm:f>
          </x14:formula1>
          <xm:sqref>WVO786437:WVO786460</xm:sqref>
        </x14:dataValidation>
        <x14:dataValidation type="list" allowBlank="1" showInputMessage="1" showErrorMessage="1" xr:uid="{00000000-0002-0000-0300-000033030000}">
          <x14:formula1>
            <xm:f>項目!C17:$IU$851969</xm:f>
          </x14:formula1>
          <xm:sqref>JC851973:JC851996</xm:sqref>
        </x14:dataValidation>
        <x14:dataValidation type="list" allowBlank="1" showInputMessage="1" showErrorMessage="1" xr:uid="{00000000-0002-0000-0300-000034030000}">
          <x14:formula1>
            <xm:f>項目!C17:$SQ$851969</xm:f>
          </x14:formula1>
          <xm:sqref>SY851973:SY851996</xm:sqref>
        </x14:dataValidation>
        <x14:dataValidation type="list" allowBlank="1" showInputMessage="1" showErrorMessage="1" xr:uid="{00000000-0002-0000-0300-000035030000}">
          <x14:formula1>
            <xm:f>項目!C17:$ACM$851969</xm:f>
          </x14:formula1>
          <xm:sqref>ACU851973:ACU851996</xm:sqref>
        </x14:dataValidation>
        <x14:dataValidation type="list" allowBlank="1" showInputMessage="1" showErrorMessage="1" xr:uid="{00000000-0002-0000-0300-000036030000}">
          <x14:formula1>
            <xm:f>項目!C17:$AMI$851969</xm:f>
          </x14:formula1>
          <xm:sqref>AMQ851973:AMQ851996</xm:sqref>
        </x14:dataValidation>
        <x14:dataValidation type="list" allowBlank="1" showInputMessage="1" showErrorMessage="1" xr:uid="{00000000-0002-0000-0300-000037030000}">
          <x14:formula1>
            <xm:f>項目!C17:$AWE$851969</xm:f>
          </x14:formula1>
          <xm:sqref>AWM851973:AWM851996</xm:sqref>
        </x14:dataValidation>
        <x14:dataValidation type="list" allowBlank="1" showInputMessage="1" showErrorMessage="1" xr:uid="{00000000-0002-0000-0300-000038030000}">
          <x14:formula1>
            <xm:f>項目!C17:$BGA$851969</xm:f>
          </x14:formula1>
          <xm:sqref>BGI851973:BGI851996</xm:sqref>
        </x14:dataValidation>
        <x14:dataValidation type="list" allowBlank="1" showInputMessage="1" showErrorMessage="1" xr:uid="{00000000-0002-0000-0300-000039030000}">
          <x14:formula1>
            <xm:f>項目!C17:$BPW$851969</xm:f>
          </x14:formula1>
          <xm:sqref>BQE851973:BQE851996</xm:sqref>
        </x14:dataValidation>
        <x14:dataValidation type="list" allowBlank="1" showInputMessage="1" showErrorMessage="1" xr:uid="{00000000-0002-0000-0300-00003A030000}">
          <x14:formula1>
            <xm:f>項目!C17:$BZS$851969</xm:f>
          </x14:formula1>
          <xm:sqref>CAA851973:CAA851996</xm:sqref>
        </x14:dataValidation>
        <x14:dataValidation type="list" allowBlank="1" showInputMessage="1" showErrorMessage="1" xr:uid="{00000000-0002-0000-0300-00003B030000}">
          <x14:formula1>
            <xm:f>項目!C17:$CJO$851969</xm:f>
          </x14:formula1>
          <xm:sqref>CJW851973:CJW851996</xm:sqref>
        </x14:dataValidation>
        <x14:dataValidation type="list" allowBlank="1" showInputMessage="1" showErrorMessage="1" xr:uid="{00000000-0002-0000-0300-00003C030000}">
          <x14:formula1>
            <xm:f>項目!C17:$CTK$851969</xm:f>
          </x14:formula1>
          <xm:sqref>CTS851973:CTS851996</xm:sqref>
        </x14:dataValidation>
        <x14:dataValidation type="list" allowBlank="1" showInputMessage="1" showErrorMessage="1" xr:uid="{00000000-0002-0000-0300-00003D030000}">
          <x14:formula1>
            <xm:f>項目!C17:$DDG$851969</xm:f>
          </x14:formula1>
          <xm:sqref>DDO851973:DDO851996</xm:sqref>
        </x14:dataValidation>
        <x14:dataValidation type="list" allowBlank="1" showInputMessage="1" showErrorMessage="1" xr:uid="{00000000-0002-0000-0300-00003E030000}">
          <x14:formula1>
            <xm:f>項目!C17:$DNC$851969</xm:f>
          </x14:formula1>
          <xm:sqref>DNK851973:DNK851996</xm:sqref>
        </x14:dataValidation>
        <x14:dataValidation type="list" allowBlank="1" showInputMessage="1" showErrorMessage="1" xr:uid="{00000000-0002-0000-0300-00003F030000}">
          <x14:formula1>
            <xm:f>項目!C17:$DWY$851969</xm:f>
          </x14:formula1>
          <xm:sqref>DXG851973:DXG851996</xm:sqref>
        </x14:dataValidation>
        <x14:dataValidation type="list" allowBlank="1" showInputMessage="1" showErrorMessage="1" xr:uid="{00000000-0002-0000-0300-000040030000}">
          <x14:formula1>
            <xm:f>項目!C17:$EGU$851969</xm:f>
          </x14:formula1>
          <xm:sqref>EHC851973:EHC851996</xm:sqref>
        </x14:dataValidation>
        <x14:dataValidation type="list" allowBlank="1" showInputMessage="1" showErrorMessage="1" xr:uid="{00000000-0002-0000-0300-000041030000}">
          <x14:formula1>
            <xm:f>項目!C17:$EQQ$851969</xm:f>
          </x14:formula1>
          <xm:sqref>EQY851973:EQY851996</xm:sqref>
        </x14:dataValidation>
        <x14:dataValidation type="list" allowBlank="1" showInputMessage="1" showErrorMessage="1" xr:uid="{00000000-0002-0000-0300-000042030000}">
          <x14:formula1>
            <xm:f>項目!C17:$FAM$851969</xm:f>
          </x14:formula1>
          <xm:sqref>FAU851973:FAU851996</xm:sqref>
        </x14:dataValidation>
        <x14:dataValidation type="list" allowBlank="1" showInputMessage="1" showErrorMessage="1" xr:uid="{00000000-0002-0000-0300-000043030000}">
          <x14:formula1>
            <xm:f>項目!C17:$FKI$851969</xm:f>
          </x14:formula1>
          <xm:sqref>FKQ851973:FKQ851996</xm:sqref>
        </x14:dataValidation>
        <x14:dataValidation type="list" allowBlank="1" showInputMessage="1" showErrorMessage="1" xr:uid="{00000000-0002-0000-0300-000044030000}">
          <x14:formula1>
            <xm:f>項目!C17:$FUE$851969</xm:f>
          </x14:formula1>
          <xm:sqref>FUM851973:FUM851996</xm:sqref>
        </x14:dataValidation>
        <x14:dataValidation type="list" allowBlank="1" showInputMessage="1" showErrorMessage="1" xr:uid="{00000000-0002-0000-0300-000045030000}">
          <x14:formula1>
            <xm:f>項目!C17:$GEA$851969</xm:f>
          </x14:formula1>
          <xm:sqref>GEI851973:GEI851996</xm:sqref>
        </x14:dataValidation>
        <x14:dataValidation type="list" allowBlank="1" showInputMessage="1" showErrorMessage="1" xr:uid="{00000000-0002-0000-0300-000046030000}">
          <x14:formula1>
            <xm:f>項目!C17:$GNW$851969</xm:f>
          </x14:formula1>
          <xm:sqref>GOE851973:GOE851996</xm:sqref>
        </x14:dataValidation>
        <x14:dataValidation type="list" allowBlank="1" showInputMessage="1" showErrorMessage="1" xr:uid="{00000000-0002-0000-0300-000047030000}">
          <x14:formula1>
            <xm:f>項目!C17:$GXS$851969</xm:f>
          </x14:formula1>
          <xm:sqref>GYA851973:GYA851996</xm:sqref>
        </x14:dataValidation>
        <x14:dataValidation type="list" allowBlank="1" showInputMessage="1" showErrorMessage="1" xr:uid="{00000000-0002-0000-0300-000048030000}">
          <x14:formula1>
            <xm:f>項目!C17:$HHO$851969</xm:f>
          </x14:formula1>
          <xm:sqref>HHW851973:HHW851996</xm:sqref>
        </x14:dataValidation>
        <x14:dataValidation type="list" allowBlank="1" showInputMessage="1" showErrorMessage="1" xr:uid="{00000000-0002-0000-0300-000049030000}">
          <x14:formula1>
            <xm:f>項目!C17:$HRK$851969</xm:f>
          </x14:formula1>
          <xm:sqref>HRS851973:HRS851996</xm:sqref>
        </x14:dataValidation>
        <x14:dataValidation type="list" allowBlank="1" showInputMessage="1" showErrorMessage="1" xr:uid="{00000000-0002-0000-0300-00004A030000}">
          <x14:formula1>
            <xm:f>項目!C17:$IBG$851969</xm:f>
          </x14:formula1>
          <xm:sqref>IBO851973:IBO851996</xm:sqref>
        </x14:dataValidation>
        <x14:dataValidation type="list" allowBlank="1" showInputMessage="1" showErrorMessage="1" xr:uid="{00000000-0002-0000-0300-00004B030000}">
          <x14:formula1>
            <xm:f>項目!C17:$ILC$851969</xm:f>
          </x14:formula1>
          <xm:sqref>ILK851973:ILK851996</xm:sqref>
        </x14:dataValidation>
        <x14:dataValidation type="list" allowBlank="1" showInputMessage="1" showErrorMessage="1" xr:uid="{00000000-0002-0000-0300-00004C030000}">
          <x14:formula1>
            <xm:f>項目!C17:$IUY$851969</xm:f>
          </x14:formula1>
          <xm:sqref>IVG851973:IVG851996</xm:sqref>
        </x14:dataValidation>
        <x14:dataValidation type="list" allowBlank="1" showInputMessage="1" showErrorMessage="1" xr:uid="{00000000-0002-0000-0300-00004D030000}">
          <x14:formula1>
            <xm:f>項目!C17:$JEU$851969</xm:f>
          </x14:formula1>
          <xm:sqref>JFC851973:JFC851996</xm:sqref>
        </x14:dataValidation>
        <x14:dataValidation type="list" allowBlank="1" showInputMessage="1" showErrorMessage="1" xr:uid="{00000000-0002-0000-0300-00004E030000}">
          <x14:formula1>
            <xm:f>項目!C17:$JOQ$851969</xm:f>
          </x14:formula1>
          <xm:sqref>JOY851973:JOY851996</xm:sqref>
        </x14:dataValidation>
        <x14:dataValidation type="list" allowBlank="1" showInputMessage="1" showErrorMessage="1" xr:uid="{00000000-0002-0000-0300-00004F030000}">
          <x14:formula1>
            <xm:f>項目!C17:$JYM$851969</xm:f>
          </x14:formula1>
          <xm:sqref>JYU851973:JYU851996</xm:sqref>
        </x14:dataValidation>
        <x14:dataValidation type="list" allowBlank="1" showInputMessage="1" showErrorMessage="1" xr:uid="{00000000-0002-0000-0300-000050030000}">
          <x14:formula1>
            <xm:f>項目!C17:$KII$851969</xm:f>
          </x14:formula1>
          <xm:sqref>KIQ851973:KIQ851996</xm:sqref>
        </x14:dataValidation>
        <x14:dataValidation type="list" allowBlank="1" showInputMessage="1" showErrorMessage="1" xr:uid="{00000000-0002-0000-0300-000051030000}">
          <x14:formula1>
            <xm:f>項目!C17:$KSE$851969</xm:f>
          </x14:formula1>
          <xm:sqref>KSM851973:KSM851996</xm:sqref>
        </x14:dataValidation>
        <x14:dataValidation type="list" allowBlank="1" showInputMessage="1" showErrorMessage="1" xr:uid="{00000000-0002-0000-0300-000052030000}">
          <x14:formula1>
            <xm:f>項目!C17:$LCA$851969</xm:f>
          </x14:formula1>
          <xm:sqref>LCI851973:LCI851996</xm:sqref>
        </x14:dataValidation>
        <x14:dataValidation type="list" allowBlank="1" showInputMessage="1" showErrorMessage="1" xr:uid="{00000000-0002-0000-0300-000053030000}">
          <x14:formula1>
            <xm:f>項目!C17:$LLW$851969</xm:f>
          </x14:formula1>
          <xm:sqref>LME851973:LME851996</xm:sqref>
        </x14:dataValidation>
        <x14:dataValidation type="list" allowBlank="1" showInputMessage="1" showErrorMessage="1" xr:uid="{00000000-0002-0000-0300-000054030000}">
          <x14:formula1>
            <xm:f>項目!C17:$LVS$851969</xm:f>
          </x14:formula1>
          <xm:sqref>LWA851973:LWA851996</xm:sqref>
        </x14:dataValidation>
        <x14:dataValidation type="list" allowBlank="1" showInputMessage="1" showErrorMessage="1" xr:uid="{00000000-0002-0000-0300-000055030000}">
          <x14:formula1>
            <xm:f>項目!C17:$MFO$851969</xm:f>
          </x14:formula1>
          <xm:sqref>MFW851973:MFW851996</xm:sqref>
        </x14:dataValidation>
        <x14:dataValidation type="list" allowBlank="1" showInputMessage="1" showErrorMessage="1" xr:uid="{00000000-0002-0000-0300-000056030000}">
          <x14:formula1>
            <xm:f>項目!C17:$MPK$851969</xm:f>
          </x14:formula1>
          <xm:sqref>MPS851973:MPS851996</xm:sqref>
        </x14:dataValidation>
        <x14:dataValidation type="list" allowBlank="1" showInputMessage="1" showErrorMessage="1" xr:uid="{00000000-0002-0000-0300-000057030000}">
          <x14:formula1>
            <xm:f>項目!C17:$MZG$851969</xm:f>
          </x14:formula1>
          <xm:sqref>MZO851973:MZO851996</xm:sqref>
        </x14:dataValidation>
        <x14:dataValidation type="list" allowBlank="1" showInputMessage="1" showErrorMessage="1" xr:uid="{00000000-0002-0000-0300-000058030000}">
          <x14:formula1>
            <xm:f>項目!C17:$NJC$851969</xm:f>
          </x14:formula1>
          <xm:sqref>NJK851973:NJK851996</xm:sqref>
        </x14:dataValidation>
        <x14:dataValidation type="list" allowBlank="1" showInputMessage="1" showErrorMessage="1" xr:uid="{00000000-0002-0000-0300-000059030000}">
          <x14:formula1>
            <xm:f>項目!C17:$NSY$851969</xm:f>
          </x14:formula1>
          <xm:sqref>NTG851973:NTG851996</xm:sqref>
        </x14:dataValidation>
        <x14:dataValidation type="list" allowBlank="1" showInputMessage="1" showErrorMessage="1" xr:uid="{00000000-0002-0000-0300-00005A030000}">
          <x14:formula1>
            <xm:f>項目!C17:$OCU$851969</xm:f>
          </x14:formula1>
          <xm:sqref>ODC851973:ODC851996</xm:sqref>
        </x14:dataValidation>
        <x14:dataValidation type="list" allowBlank="1" showInputMessage="1" showErrorMessage="1" xr:uid="{00000000-0002-0000-0300-00005B030000}">
          <x14:formula1>
            <xm:f>項目!C17:$OMQ$851969</xm:f>
          </x14:formula1>
          <xm:sqref>OMY851973:OMY851996</xm:sqref>
        </x14:dataValidation>
        <x14:dataValidation type="list" allowBlank="1" showInputMessage="1" showErrorMessage="1" xr:uid="{00000000-0002-0000-0300-00005C030000}">
          <x14:formula1>
            <xm:f>項目!C17:$OWM$851969</xm:f>
          </x14:formula1>
          <xm:sqref>OWU851973:OWU851996</xm:sqref>
        </x14:dataValidation>
        <x14:dataValidation type="list" allowBlank="1" showInputMessage="1" showErrorMessage="1" xr:uid="{00000000-0002-0000-0300-00005D030000}">
          <x14:formula1>
            <xm:f>項目!C17:$PGI$851969</xm:f>
          </x14:formula1>
          <xm:sqref>PGQ851973:PGQ851996</xm:sqref>
        </x14:dataValidation>
        <x14:dataValidation type="list" allowBlank="1" showInputMessage="1" showErrorMessage="1" xr:uid="{00000000-0002-0000-0300-00005E030000}">
          <x14:formula1>
            <xm:f>項目!C17:$PQE$851969</xm:f>
          </x14:formula1>
          <xm:sqref>PQM851973:PQM851996</xm:sqref>
        </x14:dataValidation>
        <x14:dataValidation type="list" allowBlank="1" showInputMessage="1" showErrorMessage="1" xr:uid="{00000000-0002-0000-0300-00005F030000}">
          <x14:formula1>
            <xm:f>項目!C17:$QAA$851969</xm:f>
          </x14:formula1>
          <xm:sqref>QAI851973:QAI851996</xm:sqref>
        </x14:dataValidation>
        <x14:dataValidation type="list" allowBlank="1" showInputMessage="1" showErrorMessage="1" xr:uid="{00000000-0002-0000-0300-000060030000}">
          <x14:formula1>
            <xm:f>項目!C17:$QJW$851969</xm:f>
          </x14:formula1>
          <xm:sqref>QKE851973:QKE851996</xm:sqref>
        </x14:dataValidation>
        <x14:dataValidation type="list" allowBlank="1" showInputMessage="1" showErrorMessage="1" xr:uid="{00000000-0002-0000-0300-000061030000}">
          <x14:formula1>
            <xm:f>項目!C17:$QTS$851969</xm:f>
          </x14:formula1>
          <xm:sqref>QUA851973:QUA851996</xm:sqref>
        </x14:dataValidation>
        <x14:dataValidation type="list" allowBlank="1" showInputMessage="1" showErrorMessage="1" xr:uid="{00000000-0002-0000-0300-000062030000}">
          <x14:formula1>
            <xm:f>項目!C17:$RDO$851969</xm:f>
          </x14:formula1>
          <xm:sqref>RDW851973:RDW851996</xm:sqref>
        </x14:dataValidation>
        <x14:dataValidation type="list" allowBlank="1" showInputMessage="1" showErrorMessage="1" xr:uid="{00000000-0002-0000-0300-000063030000}">
          <x14:formula1>
            <xm:f>項目!C17:$RNK$851969</xm:f>
          </x14:formula1>
          <xm:sqref>RNS851973:RNS851996</xm:sqref>
        </x14:dataValidation>
        <x14:dataValidation type="list" allowBlank="1" showInputMessage="1" showErrorMessage="1" xr:uid="{00000000-0002-0000-0300-000064030000}">
          <x14:formula1>
            <xm:f>項目!C17:$RXG$851969</xm:f>
          </x14:formula1>
          <xm:sqref>RXO851973:RXO851996</xm:sqref>
        </x14:dataValidation>
        <x14:dataValidation type="list" allowBlank="1" showInputMessage="1" showErrorMessage="1" xr:uid="{00000000-0002-0000-0300-000065030000}">
          <x14:formula1>
            <xm:f>項目!C17:$SHC$851969</xm:f>
          </x14:formula1>
          <xm:sqref>SHK851973:SHK851996</xm:sqref>
        </x14:dataValidation>
        <x14:dataValidation type="list" allowBlank="1" showInputMessage="1" showErrorMessage="1" xr:uid="{00000000-0002-0000-0300-000066030000}">
          <x14:formula1>
            <xm:f>項目!C17:$SQY$851969</xm:f>
          </x14:formula1>
          <xm:sqref>SRG851973:SRG851996</xm:sqref>
        </x14:dataValidation>
        <x14:dataValidation type="list" allowBlank="1" showInputMessage="1" showErrorMessage="1" xr:uid="{00000000-0002-0000-0300-000067030000}">
          <x14:formula1>
            <xm:f>項目!C17:$TAU$851969</xm:f>
          </x14:formula1>
          <xm:sqref>TBC851973:TBC851996</xm:sqref>
        </x14:dataValidation>
        <x14:dataValidation type="list" allowBlank="1" showInputMessage="1" showErrorMessage="1" xr:uid="{00000000-0002-0000-0300-000068030000}">
          <x14:formula1>
            <xm:f>項目!C17:$TKQ$851969</xm:f>
          </x14:formula1>
          <xm:sqref>TKY851973:TKY851996</xm:sqref>
        </x14:dataValidation>
        <x14:dataValidation type="list" allowBlank="1" showInputMessage="1" showErrorMessage="1" xr:uid="{00000000-0002-0000-0300-000069030000}">
          <x14:formula1>
            <xm:f>項目!C17:$TUM$851969</xm:f>
          </x14:formula1>
          <xm:sqref>TUU851973:TUU851996</xm:sqref>
        </x14:dataValidation>
        <x14:dataValidation type="list" allowBlank="1" showInputMessage="1" showErrorMessage="1" xr:uid="{00000000-0002-0000-0300-00006A030000}">
          <x14:formula1>
            <xm:f>項目!C17:$UEI$851969</xm:f>
          </x14:formula1>
          <xm:sqref>UEQ851973:UEQ851996</xm:sqref>
        </x14:dataValidation>
        <x14:dataValidation type="list" allowBlank="1" showInputMessage="1" showErrorMessage="1" xr:uid="{00000000-0002-0000-0300-00006B030000}">
          <x14:formula1>
            <xm:f>項目!C17:$UOE$851969</xm:f>
          </x14:formula1>
          <xm:sqref>UOM851973:UOM851996</xm:sqref>
        </x14:dataValidation>
        <x14:dataValidation type="list" allowBlank="1" showInputMessage="1" showErrorMessage="1" xr:uid="{00000000-0002-0000-0300-00006C030000}">
          <x14:formula1>
            <xm:f>項目!C17:$UYA$851969</xm:f>
          </x14:formula1>
          <xm:sqref>UYI851973:UYI851996</xm:sqref>
        </x14:dataValidation>
        <x14:dataValidation type="list" allowBlank="1" showInputMessage="1" showErrorMessage="1" xr:uid="{00000000-0002-0000-0300-00006D030000}">
          <x14:formula1>
            <xm:f>項目!C17:$VHW$851969</xm:f>
          </x14:formula1>
          <xm:sqref>VIE851973:VIE851996</xm:sqref>
        </x14:dataValidation>
        <x14:dataValidation type="list" allowBlank="1" showInputMessage="1" showErrorMessage="1" xr:uid="{00000000-0002-0000-0300-00006E030000}">
          <x14:formula1>
            <xm:f>項目!C17:$VRS$851969</xm:f>
          </x14:formula1>
          <xm:sqref>VSA851973:VSA851996</xm:sqref>
        </x14:dataValidation>
        <x14:dataValidation type="list" allowBlank="1" showInputMessage="1" showErrorMessage="1" xr:uid="{00000000-0002-0000-0300-00006F030000}">
          <x14:formula1>
            <xm:f>項目!C17:$WBO$851969</xm:f>
          </x14:formula1>
          <xm:sqref>WBW851973:WBW851996</xm:sqref>
        </x14:dataValidation>
        <x14:dataValidation type="list" allowBlank="1" showInputMessage="1" showErrorMessage="1" xr:uid="{00000000-0002-0000-0300-000070030000}">
          <x14:formula1>
            <xm:f>項目!C17:$WLK$851969</xm:f>
          </x14:formula1>
          <xm:sqref>WLS851973:WLS851996</xm:sqref>
        </x14:dataValidation>
        <x14:dataValidation type="list" allowBlank="1" showInputMessage="1" showErrorMessage="1" xr:uid="{00000000-0002-0000-0300-000071030000}">
          <x14:formula1>
            <xm:f>項目!C17:$WVG$851969</xm:f>
          </x14:formula1>
          <xm:sqref>WVO851973:WVO851996</xm:sqref>
        </x14:dataValidation>
        <x14:dataValidation type="list" allowBlank="1" showInputMessage="1" showErrorMessage="1" xr:uid="{00000000-0002-0000-0300-000072030000}">
          <x14:formula1>
            <xm:f>項目!C17:$IU$917505</xm:f>
          </x14:formula1>
          <xm:sqref>JC917509:JC917532</xm:sqref>
        </x14:dataValidation>
        <x14:dataValidation type="list" allowBlank="1" showInputMessage="1" showErrorMessage="1" xr:uid="{00000000-0002-0000-0300-000073030000}">
          <x14:formula1>
            <xm:f>項目!C17:$SQ$917505</xm:f>
          </x14:formula1>
          <xm:sqref>SY917509:SY917532</xm:sqref>
        </x14:dataValidation>
        <x14:dataValidation type="list" allowBlank="1" showInputMessage="1" showErrorMessage="1" xr:uid="{00000000-0002-0000-0300-000074030000}">
          <x14:formula1>
            <xm:f>項目!C17:$ACM$917505</xm:f>
          </x14:formula1>
          <xm:sqref>ACU917509:ACU917532</xm:sqref>
        </x14:dataValidation>
        <x14:dataValidation type="list" allowBlank="1" showInputMessage="1" showErrorMessage="1" xr:uid="{00000000-0002-0000-0300-000075030000}">
          <x14:formula1>
            <xm:f>項目!C17:$AMI$917505</xm:f>
          </x14:formula1>
          <xm:sqref>AMQ917509:AMQ917532</xm:sqref>
        </x14:dataValidation>
        <x14:dataValidation type="list" allowBlank="1" showInputMessage="1" showErrorMessage="1" xr:uid="{00000000-0002-0000-0300-000076030000}">
          <x14:formula1>
            <xm:f>項目!C17:$AWE$917505</xm:f>
          </x14:formula1>
          <xm:sqref>AWM917509:AWM917532</xm:sqref>
        </x14:dataValidation>
        <x14:dataValidation type="list" allowBlank="1" showInputMessage="1" showErrorMessage="1" xr:uid="{00000000-0002-0000-0300-000077030000}">
          <x14:formula1>
            <xm:f>項目!C17:$BGA$917505</xm:f>
          </x14:formula1>
          <xm:sqref>BGI917509:BGI917532</xm:sqref>
        </x14:dataValidation>
        <x14:dataValidation type="list" allowBlank="1" showInputMessage="1" showErrorMessage="1" xr:uid="{00000000-0002-0000-0300-000078030000}">
          <x14:formula1>
            <xm:f>項目!C17:$BPW$917505</xm:f>
          </x14:formula1>
          <xm:sqref>BQE917509:BQE917532</xm:sqref>
        </x14:dataValidation>
        <x14:dataValidation type="list" allowBlank="1" showInputMessage="1" showErrorMessage="1" xr:uid="{00000000-0002-0000-0300-000079030000}">
          <x14:formula1>
            <xm:f>項目!C17:$BZS$917505</xm:f>
          </x14:formula1>
          <xm:sqref>CAA917509:CAA917532</xm:sqref>
        </x14:dataValidation>
        <x14:dataValidation type="list" allowBlank="1" showInputMessage="1" showErrorMessage="1" xr:uid="{00000000-0002-0000-0300-00007A030000}">
          <x14:formula1>
            <xm:f>項目!C17:$CJO$917505</xm:f>
          </x14:formula1>
          <xm:sqref>CJW917509:CJW917532</xm:sqref>
        </x14:dataValidation>
        <x14:dataValidation type="list" allowBlank="1" showInputMessage="1" showErrorMessage="1" xr:uid="{00000000-0002-0000-0300-00007B030000}">
          <x14:formula1>
            <xm:f>項目!C17:$CTK$917505</xm:f>
          </x14:formula1>
          <xm:sqref>CTS917509:CTS917532</xm:sqref>
        </x14:dataValidation>
        <x14:dataValidation type="list" allowBlank="1" showInputMessage="1" showErrorMessage="1" xr:uid="{00000000-0002-0000-0300-00007C030000}">
          <x14:formula1>
            <xm:f>項目!C17:$DDG$917505</xm:f>
          </x14:formula1>
          <xm:sqref>DDO917509:DDO917532</xm:sqref>
        </x14:dataValidation>
        <x14:dataValidation type="list" allowBlank="1" showInputMessage="1" showErrorMessage="1" xr:uid="{00000000-0002-0000-0300-00007D030000}">
          <x14:formula1>
            <xm:f>項目!C17:$DNC$917505</xm:f>
          </x14:formula1>
          <xm:sqref>DNK917509:DNK917532</xm:sqref>
        </x14:dataValidation>
        <x14:dataValidation type="list" allowBlank="1" showInputMessage="1" showErrorMessage="1" xr:uid="{00000000-0002-0000-0300-00007E030000}">
          <x14:formula1>
            <xm:f>項目!C17:$DWY$917505</xm:f>
          </x14:formula1>
          <xm:sqref>DXG917509:DXG917532</xm:sqref>
        </x14:dataValidation>
        <x14:dataValidation type="list" allowBlank="1" showInputMessage="1" showErrorMessage="1" xr:uid="{00000000-0002-0000-0300-00007F030000}">
          <x14:formula1>
            <xm:f>項目!C17:$EGU$917505</xm:f>
          </x14:formula1>
          <xm:sqref>EHC917509:EHC917532</xm:sqref>
        </x14:dataValidation>
        <x14:dataValidation type="list" allowBlank="1" showInputMessage="1" showErrorMessage="1" xr:uid="{00000000-0002-0000-0300-000080030000}">
          <x14:formula1>
            <xm:f>項目!C17:$EQQ$917505</xm:f>
          </x14:formula1>
          <xm:sqref>EQY917509:EQY917532</xm:sqref>
        </x14:dataValidation>
        <x14:dataValidation type="list" allowBlank="1" showInputMessage="1" showErrorMessage="1" xr:uid="{00000000-0002-0000-0300-000081030000}">
          <x14:formula1>
            <xm:f>項目!C17:$FAM$917505</xm:f>
          </x14:formula1>
          <xm:sqref>FAU917509:FAU917532</xm:sqref>
        </x14:dataValidation>
        <x14:dataValidation type="list" allowBlank="1" showInputMessage="1" showErrorMessage="1" xr:uid="{00000000-0002-0000-0300-000082030000}">
          <x14:formula1>
            <xm:f>項目!C17:$FKI$917505</xm:f>
          </x14:formula1>
          <xm:sqref>FKQ917509:FKQ917532</xm:sqref>
        </x14:dataValidation>
        <x14:dataValidation type="list" allowBlank="1" showInputMessage="1" showErrorMessage="1" xr:uid="{00000000-0002-0000-0300-000083030000}">
          <x14:formula1>
            <xm:f>項目!C17:$FUE$917505</xm:f>
          </x14:formula1>
          <xm:sqref>FUM917509:FUM917532</xm:sqref>
        </x14:dataValidation>
        <x14:dataValidation type="list" allowBlank="1" showInputMessage="1" showErrorMessage="1" xr:uid="{00000000-0002-0000-0300-000084030000}">
          <x14:formula1>
            <xm:f>項目!C17:$GEA$917505</xm:f>
          </x14:formula1>
          <xm:sqref>GEI917509:GEI917532</xm:sqref>
        </x14:dataValidation>
        <x14:dataValidation type="list" allowBlank="1" showInputMessage="1" showErrorMessage="1" xr:uid="{00000000-0002-0000-0300-000085030000}">
          <x14:formula1>
            <xm:f>項目!C17:$GNW$917505</xm:f>
          </x14:formula1>
          <xm:sqref>GOE917509:GOE917532</xm:sqref>
        </x14:dataValidation>
        <x14:dataValidation type="list" allowBlank="1" showInputMessage="1" showErrorMessage="1" xr:uid="{00000000-0002-0000-0300-000086030000}">
          <x14:formula1>
            <xm:f>項目!C17:$GXS$917505</xm:f>
          </x14:formula1>
          <xm:sqref>GYA917509:GYA917532</xm:sqref>
        </x14:dataValidation>
        <x14:dataValidation type="list" allowBlank="1" showInputMessage="1" showErrorMessage="1" xr:uid="{00000000-0002-0000-0300-000087030000}">
          <x14:formula1>
            <xm:f>項目!C17:$HHO$917505</xm:f>
          </x14:formula1>
          <xm:sqref>HHW917509:HHW917532</xm:sqref>
        </x14:dataValidation>
        <x14:dataValidation type="list" allowBlank="1" showInputMessage="1" showErrorMessage="1" xr:uid="{00000000-0002-0000-0300-000088030000}">
          <x14:formula1>
            <xm:f>項目!C17:$HRK$917505</xm:f>
          </x14:formula1>
          <xm:sqref>HRS917509:HRS917532</xm:sqref>
        </x14:dataValidation>
        <x14:dataValidation type="list" allowBlank="1" showInputMessage="1" showErrorMessage="1" xr:uid="{00000000-0002-0000-0300-000089030000}">
          <x14:formula1>
            <xm:f>項目!C17:$IBG$917505</xm:f>
          </x14:formula1>
          <xm:sqref>IBO917509:IBO917532</xm:sqref>
        </x14:dataValidation>
        <x14:dataValidation type="list" allowBlank="1" showInputMessage="1" showErrorMessage="1" xr:uid="{00000000-0002-0000-0300-00008A030000}">
          <x14:formula1>
            <xm:f>項目!C17:$ILC$917505</xm:f>
          </x14:formula1>
          <xm:sqref>ILK917509:ILK917532</xm:sqref>
        </x14:dataValidation>
        <x14:dataValidation type="list" allowBlank="1" showInputMessage="1" showErrorMessage="1" xr:uid="{00000000-0002-0000-0300-00008B030000}">
          <x14:formula1>
            <xm:f>項目!C17:$IUY$917505</xm:f>
          </x14:formula1>
          <xm:sqref>IVG917509:IVG917532</xm:sqref>
        </x14:dataValidation>
        <x14:dataValidation type="list" allowBlank="1" showInputMessage="1" showErrorMessage="1" xr:uid="{00000000-0002-0000-0300-00008C030000}">
          <x14:formula1>
            <xm:f>項目!C17:$JEU$917505</xm:f>
          </x14:formula1>
          <xm:sqref>JFC917509:JFC917532</xm:sqref>
        </x14:dataValidation>
        <x14:dataValidation type="list" allowBlank="1" showInputMessage="1" showErrorMessage="1" xr:uid="{00000000-0002-0000-0300-00008D030000}">
          <x14:formula1>
            <xm:f>項目!C17:$JOQ$917505</xm:f>
          </x14:formula1>
          <xm:sqref>JOY917509:JOY917532</xm:sqref>
        </x14:dataValidation>
        <x14:dataValidation type="list" allowBlank="1" showInputMessage="1" showErrorMessage="1" xr:uid="{00000000-0002-0000-0300-00008E030000}">
          <x14:formula1>
            <xm:f>項目!C17:$JYM$917505</xm:f>
          </x14:formula1>
          <xm:sqref>JYU917509:JYU917532</xm:sqref>
        </x14:dataValidation>
        <x14:dataValidation type="list" allowBlank="1" showInputMessage="1" showErrorMessage="1" xr:uid="{00000000-0002-0000-0300-00008F030000}">
          <x14:formula1>
            <xm:f>項目!C17:$KII$917505</xm:f>
          </x14:formula1>
          <xm:sqref>KIQ917509:KIQ917532</xm:sqref>
        </x14:dataValidation>
        <x14:dataValidation type="list" allowBlank="1" showInputMessage="1" showErrorMessage="1" xr:uid="{00000000-0002-0000-0300-000090030000}">
          <x14:formula1>
            <xm:f>項目!C17:$KSE$917505</xm:f>
          </x14:formula1>
          <xm:sqref>KSM917509:KSM917532</xm:sqref>
        </x14:dataValidation>
        <x14:dataValidation type="list" allowBlank="1" showInputMessage="1" showErrorMessage="1" xr:uid="{00000000-0002-0000-0300-000091030000}">
          <x14:formula1>
            <xm:f>項目!C17:$LCA$917505</xm:f>
          </x14:formula1>
          <xm:sqref>LCI917509:LCI917532</xm:sqref>
        </x14:dataValidation>
        <x14:dataValidation type="list" allowBlank="1" showInputMessage="1" showErrorMessage="1" xr:uid="{00000000-0002-0000-0300-000092030000}">
          <x14:formula1>
            <xm:f>項目!C17:$LLW$917505</xm:f>
          </x14:formula1>
          <xm:sqref>LME917509:LME917532</xm:sqref>
        </x14:dataValidation>
        <x14:dataValidation type="list" allowBlank="1" showInputMessage="1" showErrorMessage="1" xr:uid="{00000000-0002-0000-0300-000093030000}">
          <x14:formula1>
            <xm:f>項目!C17:$LVS$917505</xm:f>
          </x14:formula1>
          <xm:sqref>LWA917509:LWA917532</xm:sqref>
        </x14:dataValidation>
        <x14:dataValidation type="list" allowBlank="1" showInputMessage="1" showErrorMessage="1" xr:uid="{00000000-0002-0000-0300-000094030000}">
          <x14:formula1>
            <xm:f>項目!C17:$MFO$917505</xm:f>
          </x14:formula1>
          <xm:sqref>MFW917509:MFW917532</xm:sqref>
        </x14:dataValidation>
        <x14:dataValidation type="list" allowBlank="1" showInputMessage="1" showErrorMessage="1" xr:uid="{00000000-0002-0000-0300-000095030000}">
          <x14:formula1>
            <xm:f>項目!C17:$MPK$917505</xm:f>
          </x14:formula1>
          <xm:sqref>MPS917509:MPS917532</xm:sqref>
        </x14:dataValidation>
        <x14:dataValidation type="list" allowBlank="1" showInputMessage="1" showErrorMessage="1" xr:uid="{00000000-0002-0000-0300-000096030000}">
          <x14:formula1>
            <xm:f>項目!C17:$MZG$917505</xm:f>
          </x14:formula1>
          <xm:sqref>MZO917509:MZO917532</xm:sqref>
        </x14:dataValidation>
        <x14:dataValidation type="list" allowBlank="1" showInputMessage="1" showErrorMessage="1" xr:uid="{00000000-0002-0000-0300-000097030000}">
          <x14:formula1>
            <xm:f>項目!C17:$NJC$917505</xm:f>
          </x14:formula1>
          <xm:sqref>NJK917509:NJK917532</xm:sqref>
        </x14:dataValidation>
        <x14:dataValidation type="list" allowBlank="1" showInputMessage="1" showErrorMessage="1" xr:uid="{00000000-0002-0000-0300-000098030000}">
          <x14:formula1>
            <xm:f>項目!C17:$NSY$917505</xm:f>
          </x14:formula1>
          <xm:sqref>NTG917509:NTG917532</xm:sqref>
        </x14:dataValidation>
        <x14:dataValidation type="list" allowBlank="1" showInputMessage="1" showErrorMessage="1" xr:uid="{00000000-0002-0000-0300-000099030000}">
          <x14:formula1>
            <xm:f>項目!C17:$OCU$917505</xm:f>
          </x14:formula1>
          <xm:sqref>ODC917509:ODC917532</xm:sqref>
        </x14:dataValidation>
        <x14:dataValidation type="list" allowBlank="1" showInputMessage="1" showErrorMessage="1" xr:uid="{00000000-0002-0000-0300-00009A030000}">
          <x14:formula1>
            <xm:f>項目!C17:$OMQ$917505</xm:f>
          </x14:formula1>
          <xm:sqref>OMY917509:OMY917532</xm:sqref>
        </x14:dataValidation>
        <x14:dataValidation type="list" allowBlank="1" showInputMessage="1" showErrorMessage="1" xr:uid="{00000000-0002-0000-0300-00009B030000}">
          <x14:formula1>
            <xm:f>項目!C17:$OWM$917505</xm:f>
          </x14:formula1>
          <xm:sqref>OWU917509:OWU917532</xm:sqref>
        </x14:dataValidation>
        <x14:dataValidation type="list" allowBlank="1" showInputMessage="1" showErrorMessage="1" xr:uid="{00000000-0002-0000-0300-00009C030000}">
          <x14:formula1>
            <xm:f>項目!C17:$PGI$917505</xm:f>
          </x14:formula1>
          <xm:sqref>PGQ917509:PGQ917532</xm:sqref>
        </x14:dataValidation>
        <x14:dataValidation type="list" allowBlank="1" showInputMessage="1" showErrorMessage="1" xr:uid="{00000000-0002-0000-0300-00009D030000}">
          <x14:formula1>
            <xm:f>項目!C17:$PQE$917505</xm:f>
          </x14:formula1>
          <xm:sqref>PQM917509:PQM917532</xm:sqref>
        </x14:dataValidation>
        <x14:dataValidation type="list" allowBlank="1" showInputMessage="1" showErrorMessage="1" xr:uid="{00000000-0002-0000-0300-00009E030000}">
          <x14:formula1>
            <xm:f>項目!C17:$QAA$917505</xm:f>
          </x14:formula1>
          <xm:sqref>QAI917509:QAI917532</xm:sqref>
        </x14:dataValidation>
        <x14:dataValidation type="list" allowBlank="1" showInputMessage="1" showErrorMessage="1" xr:uid="{00000000-0002-0000-0300-00009F030000}">
          <x14:formula1>
            <xm:f>項目!C17:$QJW$917505</xm:f>
          </x14:formula1>
          <xm:sqref>QKE917509:QKE917532</xm:sqref>
        </x14:dataValidation>
        <x14:dataValidation type="list" allowBlank="1" showInputMessage="1" showErrorMessage="1" xr:uid="{00000000-0002-0000-0300-0000A0030000}">
          <x14:formula1>
            <xm:f>項目!C17:$QTS$917505</xm:f>
          </x14:formula1>
          <xm:sqref>QUA917509:QUA917532</xm:sqref>
        </x14:dataValidation>
        <x14:dataValidation type="list" allowBlank="1" showInputMessage="1" showErrorMessage="1" xr:uid="{00000000-0002-0000-0300-0000A1030000}">
          <x14:formula1>
            <xm:f>項目!C17:$RDO$917505</xm:f>
          </x14:formula1>
          <xm:sqref>RDW917509:RDW917532</xm:sqref>
        </x14:dataValidation>
        <x14:dataValidation type="list" allowBlank="1" showInputMessage="1" showErrorMessage="1" xr:uid="{00000000-0002-0000-0300-0000A2030000}">
          <x14:formula1>
            <xm:f>項目!C17:$RNK$917505</xm:f>
          </x14:formula1>
          <xm:sqref>RNS917509:RNS917532</xm:sqref>
        </x14:dataValidation>
        <x14:dataValidation type="list" allowBlank="1" showInputMessage="1" showErrorMessage="1" xr:uid="{00000000-0002-0000-0300-0000A3030000}">
          <x14:formula1>
            <xm:f>項目!C17:$RXG$917505</xm:f>
          </x14:formula1>
          <xm:sqref>RXO917509:RXO917532</xm:sqref>
        </x14:dataValidation>
        <x14:dataValidation type="list" allowBlank="1" showInputMessage="1" showErrorMessage="1" xr:uid="{00000000-0002-0000-0300-0000A4030000}">
          <x14:formula1>
            <xm:f>項目!C17:$SHC$917505</xm:f>
          </x14:formula1>
          <xm:sqref>SHK917509:SHK917532</xm:sqref>
        </x14:dataValidation>
        <x14:dataValidation type="list" allowBlank="1" showInputMessage="1" showErrorMessage="1" xr:uid="{00000000-0002-0000-0300-0000A5030000}">
          <x14:formula1>
            <xm:f>項目!C17:$SQY$917505</xm:f>
          </x14:formula1>
          <xm:sqref>SRG917509:SRG917532</xm:sqref>
        </x14:dataValidation>
        <x14:dataValidation type="list" allowBlank="1" showInputMessage="1" showErrorMessage="1" xr:uid="{00000000-0002-0000-0300-0000A6030000}">
          <x14:formula1>
            <xm:f>項目!C17:$TAU$917505</xm:f>
          </x14:formula1>
          <xm:sqref>TBC917509:TBC917532</xm:sqref>
        </x14:dataValidation>
        <x14:dataValidation type="list" allowBlank="1" showInputMessage="1" showErrorMessage="1" xr:uid="{00000000-0002-0000-0300-0000A7030000}">
          <x14:formula1>
            <xm:f>項目!C17:$TKQ$917505</xm:f>
          </x14:formula1>
          <xm:sqref>TKY917509:TKY917532</xm:sqref>
        </x14:dataValidation>
        <x14:dataValidation type="list" allowBlank="1" showInputMessage="1" showErrorMessage="1" xr:uid="{00000000-0002-0000-0300-0000A8030000}">
          <x14:formula1>
            <xm:f>項目!C17:$TUM$917505</xm:f>
          </x14:formula1>
          <xm:sqref>TUU917509:TUU917532</xm:sqref>
        </x14:dataValidation>
        <x14:dataValidation type="list" allowBlank="1" showInputMessage="1" showErrorMessage="1" xr:uid="{00000000-0002-0000-0300-0000A9030000}">
          <x14:formula1>
            <xm:f>項目!C17:$UEI$917505</xm:f>
          </x14:formula1>
          <xm:sqref>UEQ917509:UEQ917532</xm:sqref>
        </x14:dataValidation>
        <x14:dataValidation type="list" allowBlank="1" showInputMessage="1" showErrorMessage="1" xr:uid="{00000000-0002-0000-0300-0000AA030000}">
          <x14:formula1>
            <xm:f>項目!C17:$UOE$917505</xm:f>
          </x14:formula1>
          <xm:sqref>UOM917509:UOM917532</xm:sqref>
        </x14:dataValidation>
        <x14:dataValidation type="list" allowBlank="1" showInputMessage="1" showErrorMessage="1" xr:uid="{00000000-0002-0000-0300-0000AB030000}">
          <x14:formula1>
            <xm:f>項目!C17:$UYA$917505</xm:f>
          </x14:formula1>
          <xm:sqref>UYI917509:UYI917532</xm:sqref>
        </x14:dataValidation>
        <x14:dataValidation type="list" allowBlank="1" showInputMessage="1" showErrorMessage="1" xr:uid="{00000000-0002-0000-0300-0000AC030000}">
          <x14:formula1>
            <xm:f>項目!C17:$VHW$917505</xm:f>
          </x14:formula1>
          <xm:sqref>VIE917509:VIE917532</xm:sqref>
        </x14:dataValidation>
        <x14:dataValidation type="list" allowBlank="1" showInputMessage="1" showErrorMessage="1" xr:uid="{00000000-0002-0000-0300-0000AD030000}">
          <x14:formula1>
            <xm:f>項目!C17:$VRS$917505</xm:f>
          </x14:formula1>
          <xm:sqref>VSA917509:VSA917532</xm:sqref>
        </x14:dataValidation>
        <x14:dataValidation type="list" allowBlank="1" showInputMessage="1" showErrorMessage="1" xr:uid="{00000000-0002-0000-0300-0000AE030000}">
          <x14:formula1>
            <xm:f>項目!C17:$WBO$917505</xm:f>
          </x14:formula1>
          <xm:sqref>WBW917509:WBW917532</xm:sqref>
        </x14:dataValidation>
        <x14:dataValidation type="list" allowBlank="1" showInputMessage="1" showErrorMessage="1" xr:uid="{00000000-0002-0000-0300-0000AF030000}">
          <x14:formula1>
            <xm:f>項目!C17:$WLK$917505</xm:f>
          </x14:formula1>
          <xm:sqref>WLS917509:WLS917532</xm:sqref>
        </x14:dataValidation>
        <x14:dataValidation type="list" allowBlank="1" showInputMessage="1" showErrorMessage="1" xr:uid="{00000000-0002-0000-0300-0000B0030000}">
          <x14:formula1>
            <xm:f>項目!C17:$WVG$917505</xm:f>
          </x14:formula1>
          <xm:sqref>WVO917509:WVO917532</xm:sqref>
        </x14:dataValidation>
        <x14:dataValidation type="list" allowBlank="1" showInputMessage="1" showErrorMessage="1" xr:uid="{00000000-0002-0000-0300-0000B1030000}">
          <x14:formula1>
            <xm:f>項目!C17:$IU$983041</xm:f>
          </x14:formula1>
          <xm:sqref>JC983045:JC983068</xm:sqref>
        </x14:dataValidation>
        <x14:dataValidation type="list" allowBlank="1" showInputMessage="1" showErrorMessage="1" xr:uid="{00000000-0002-0000-0300-0000B2030000}">
          <x14:formula1>
            <xm:f>項目!C17:$SQ$983041</xm:f>
          </x14:formula1>
          <xm:sqref>SY983045:SY983068</xm:sqref>
        </x14:dataValidation>
        <x14:dataValidation type="list" allowBlank="1" showInputMessage="1" showErrorMessage="1" xr:uid="{00000000-0002-0000-0300-0000B3030000}">
          <x14:formula1>
            <xm:f>項目!C17:$ACM$983041</xm:f>
          </x14:formula1>
          <xm:sqref>ACU983045:ACU983068</xm:sqref>
        </x14:dataValidation>
        <x14:dataValidation type="list" allowBlank="1" showInputMessage="1" showErrorMessage="1" xr:uid="{00000000-0002-0000-0300-0000B4030000}">
          <x14:formula1>
            <xm:f>項目!C17:$AMI$983041</xm:f>
          </x14:formula1>
          <xm:sqref>AMQ983045:AMQ983068</xm:sqref>
        </x14:dataValidation>
        <x14:dataValidation type="list" allowBlank="1" showInputMessage="1" showErrorMessage="1" xr:uid="{00000000-0002-0000-0300-0000B5030000}">
          <x14:formula1>
            <xm:f>項目!C17:$AWE$983041</xm:f>
          </x14:formula1>
          <xm:sqref>AWM983045:AWM983068</xm:sqref>
        </x14:dataValidation>
        <x14:dataValidation type="list" allowBlank="1" showInputMessage="1" showErrorMessage="1" xr:uid="{00000000-0002-0000-0300-0000B6030000}">
          <x14:formula1>
            <xm:f>項目!C17:$BGA$983041</xm:f>
          </x14:formula1>
          <xm:sqref>BGI983045:BGI983068</xm:sqref>
        </x14:dataValidation>
        <x14:dataValidation type="list" allowBlank="1" showInputMessage="1" showErrorMessage="1" xr:uid="{00000000-0002-0000-0300-0000B7030000}">
          <x14:formula1>
            <xm:f>項目!C17:$BPW$983041</xm:f>
          </x14:formula1>
          <xm:sqref>BQE983045:BQE983068</xm:sqref>
        </x14:dataValidation>
        <x14:dataValidation type="list" allowBlank="1" showInputMessage="1" showErrorMessage="1" xr:uid="{00000000-0002-0000-0300-0000B8030000}">
          <x14:formula1>
            <xm:f>項目!C17:$BZS$983041</xm:f>
          </x14:formula1>
          <xm:sqref>CAA983045:CAA983068</xm:sqref>
        </x14:dataValidation>
        <x14:dataValidation type="list" allowBlank="1" showInputMessage="1" showErrorMessage="1" xr:uid="{00000000-0002-0000-0300-0000B9030000}">
          <x14:formula1>
            <xm:f>項目!C17:$CJO$983041</xm:f>
          </x14:formula1>
          <xm:sqref>CJW983045:CJW983068</xm:sqref>
        </x14:dataValidation>
        <x14:dataValidation type="list" allowBlank="1" showInputMessage="1" showErrorMessage="1" xr:uid="{00000000-0002-0000-0300-0000BA030000}">
          <x14:formula1>
            <xm:f>項目!C17:$CTK$983041</xm:f>
          </x14:formula1>
          <xm:sqref>CTS983045:CTS983068</xm:sqref>
        </x14:dataValidation>
        <x14:dataValidation type="list" allowBlank="1" showInputMessage="1" showErrorMessage="1" xr:uid="{00000000-0002-0000-0300-0000BB030000}">
          <x14:formula1>
            <xm:f>項目!C17:$DDG$983041</xm:f>
          </x14:formula1>
          <xm:sqref>DDO983045:DDO983068</xm:sqref>
        </x14:dataValidation>
        <x14:dataValidation type="list" allowBlank="1" showInputMessage="1" showErrorMessage="1" xr:uid="{00000000-0002-0000-0300-0000BC030000}">
          <x14:formula1>
            <xm:f>項目!C17:$DNC$983041</xm:f>
          </x14:formula1>
          <xm:sqref>DNK983045:DNK983068</xm:sqref>
        </x14:dataValidation>
        <x14:dataValidation type="list" allowBlank="1" showInputMessage="1" showErrorMessage="1" xr:uid="{00000000-0002-0000-0300-0000BD030000}">
          <x14:formula1>
            <xm:f>項目!C17:$DWY$983041</xm:f>
          </x14:formula1>
          <xm:sqref>DXG983045:DXG983068</xm:sqref>
        </x14:dataValidation>
        <x14:dataValidation type="list" allowBlank="1" showInputMessage="1" showErrorMessage="1" xr:uid="{00000000-0002-0000-0300-0000BE030000}">
          <x14:formula1>
            <xm:f>項目!C17:$EGU$983041</xm:f>
          </x14:formula1>
          <xm:sqref>EHC983045:EHC983068</xm:sqref>
        </x14:dataValidation>
        <x14:dataValidation type="list" allowBlank="1" showInputMessage="1" showErrorMessage="1" xr:uid="{00000000-0002-0000-0300-0000BF030000}">
          <x14:formula1>
            <xm:f>項目!C17:$EQQ$983041</xm:f>
          </x14:formula1>
          <xm:sqref>EQY983045:EQY983068</xm:sqref>
        </x14:dataValidation>
        <x14:dataValidation type="list" allowBlank="1" showInputMessage="1" showErrorMessage="1" xr:uid="{00000000-0002-0000-0300-0000C0030000}">
          <x14:formula1>
            <xm:f>項目!C17:$FAM$983041</xm:f>
          </x14:formula1>
          <xm:sqref>FAU983045:FAU983068</xm:sqref>
        </x14:dataValidation>
        <x14:dataValidation type="list" allowBlank="1" showInputMessage="1" showErrorMessage="1" xr:uid="{00000000-0002-0000-0300-0000C1030000}">
          <x14:formula1>
            <xm:f>項目!C17:$FKI$983041</xm:f>
          </x14:formula1>
          <xm:sqref>FKQ983045:FKQ983068</xm:sqref>
        </x14:dataValidation>
        <x14:dataValidation type="list" allowBlank="1" showInputMessage="1" showErrorMessage="1" xr:uid="{00000000-0002-0000-0300-0000C2030000}">
          <x14:formula1>
            <xm:f>項目!C17:$FUE$983041</xm:f>
          </x14:formula1>
          <xm:sqref>FUM983045:FUM983068</xm:sqref>
        </x14:dataValidation>
        <x14:dataValidation type="list" allowBlank="1" showInputMessage="1" showErrorMessage="1" xr:uid="{00000000-0002-0000-0300-0000C3030000}">
          <x14:formula1>
            <xm:f>項目!C17:$GEA$983041</xm:f>
          </x14:formula1>
          <xm:sqref>GEI983045:GEI983068</xm:sqref>
        </x14:dataValidation>
        <x14:dataValidation type="list" allowBlank="1" showInputMessage="1" showErrorMessage="1" xr:uid="{00000000-0002-0000-0300-0000C4030000}">
          <x14:formula1>
            <xm:f>項目!C17:$GNW$983041</xm:f>
          </x14:formula1>
          <xm:sqref>GOE983045:GOE983068</xm:sqref>
        </x14:dataValidation>
        <x14:dataValidation type="list" allowBlank="1" showInputMessage="1" showErrorMessage="1" xr:uid="{00000000-0002-0000-0300-0000C5030000}">
          <x14:formula1>
            <xm:f>項目!C17:$GXS$983041</xm:f>
          </x14:formula1>
          <xm:sqref>GYA983045:GYA983068</xm:sqref>
        </x14:dataValidation>
        <x14:dataValidation type="list" allowBlank="1" showInputMessage="1" showErrorMessage="1" xr:uid="{00000000-0002-0000-0300-0000C6030000}">
          <x14:formula1>
            <xm:f>項目!C17:$HHO$983041</xm:f>
          </x14:formula1>
          <xm:sqref>HHW983045:HHW983068</xm:sqref>
        </x14:dataValidation>
        <x14:dataValidation type="list" allowBlank="1" showInputMessage="1" showErrorMessage="1" xr:uid="{00000000-0002-0000-0300-0000C7030000}">
          <x14:formula1>
            <xm:f>項目!C17:$HRK$983041</xm:f>
          </x14:formula1>
          <xm:sqref>HRS983045:HRS983068</xm:sqref>
        </x14:dataValidation>
        <x14:dataValidation type="list" allowBlank="1" showInputMessage="1" showErrorMessage="1" xr:uid="{00000000-0002-0000-0300-0000C8030000}">
          <x14:formula1>
            <xm:f>項目!C17:$IBG$983041</xm:f>
          </x14:formula1>
          <xm:sqref>IBO983045:IBO983068</xm:sqref>
        </x14:dataValidation>
        <x14:dataValidation type="list" allowBlank="1" showInputMessage="1" showErrorMessage="1" xr:uid="{00000000-0002-0000-0300-0000C9030000}">
          <x14:formula1>
            <xm:f>項目!C17:$ILC$983041</xm:f>
          </x14:formula1>
          <xm:sqref>ILK983045:ILK983068</xm:sqref>
        </x14:dataValidation>
        <x14:dataValidation type="list" allowBlank="1" showInputMessage="1" showErrorMessage="1" xr:uid="{00000000-0002-0000-0300-0000CA030000}">
          <x14:formula1>
            <xm:f>項目!C17:$IUY$983041</xm:f>
          </x14:formula1>
          <xm:sqref>IVG983045:IVG983068</xm:sqref>
        </x14:dataValidation>
        <x14:dataValidation type="list" allowBlank="1" showInputMessage="1" showErrorMessage="1" xr:uid="{00000000-0002-0000-0300-0000CB030000}">
          <x14:formula1>
            <xm:f>項目!C17:$JEU$983041</xm:f>
          </x14:formula1>
          <xm:sqref>JFC983045:JFC983068</xm:sqref>
        </x14:dataValidation>
        <x14:dataValidation type="list" allowBlank="1" showInputMessage="1" showErrorMessage="1" xr:uid="{00000000-0002-0000-0300-0000CC030000}">
          <x14:formula1>
            <xm:f>項目!C17:$JOQ$983041</xm:f>
          </x14:formula1>
          <xm:sqref>JOY983045:JOY983068</xm:sqref>
        </x14:dataValidation>
        <x14:dataValidation type="list" allowBlank="1" showInputMessage="1" showErrorMessage="1" xr:uid="{00000000-0002-0000-0300-0000CD030000}">
          <x14:formula1>
            <xm:f>項目!C17:$JYM$983041</xm:f>
          </x14:formula1>
          <xm:sqref>JYU983045:JYU983068</xm:sqref>
        </x14:dataValidation>
        <x14:dataValidation type="list" allowBlank="1" showInputMessage="1" showErrorMessage="1" xr:uid="{00000000-0002-0000-0300-0000CE030000}">
          <x14:formula1>
            <xm:f>項目!C17:$KII$983041</xm:f>
          </x14:formula1>
          <xm:sqref>KIQ983045:KIQ983068</xm:sqref>
        </x14:dataValidation>
        <x14:dataValidation type="list" allowBlank="1" showInputMessage="1" showErrorMessage="1" xr:uid="{00000000-0002-0000-0300-0000CF030000}">
          <x14:formula1>
            <xm:f>項目!C17:$KSE$983041</xm:f>
          </x14:formula1>
          <xm:sqref>KSM983045:KSM983068</xm:sqref>
        </x14:dataValidation>
        <x14:dataValidation type="list" allowBlank="1" showInputMessage="1" showErrorMessage="1" xr:uid="{00000000-0002-0000-0300-0000D0030000}">
          <x14:formula1>
            <xm:f>項目!C17:$LCA$983041</xm:f>
          </x14:formula1>
          <xm:sqref>LCI983045:LCI983068</xm:sqref>
        </x14:dataValidation>
        <x14:dataValidation type="list" allowBlank="1" showInputMessage="1" showErrorMessage="1" xr:uid="{00000000-0002-0000-0300-0000D1030000}">
          <x14:formula1>
            <xm:f>項目!C17:$LLW$983041</xm:f>
          </x14:formula1>
          <xm:sqref>LME983045:LME983068</xm:sqref>
        </x14:dataValidation>
        <x14:dataValidation type="list" allowBlank="1" showInputMessage="1" showErrorMessage="1" xr:uid="{00000000-0002-0000-0300-0000D2030000}">
          <x14:formula1>
            <xm:f>項目!C17:$LVS$983041</xm:f>
          </x14:formula1>
          <xm:sqref>LWA983045:LWA983068</xm:sqref>
        </x14:dataValidation>
        <x14:dataValidation type="list" allowBlank="1" showInputMessage="1" showErrorMessage="1" xr:uid="{00000000-0002-0000-0300-0000D3030000}">
          <x14:formula1>
            <xm:f>項目!C17:$MFO$983041</xm:f>
          </x14:formula1>
          <xm:sqref>MFW983045:MFW983068</xm:sqref>
        </x14:dataValidation>
        <x14:dataValidation type="list" allowBlank="1" showInputMessage="1" showErrorMessage="1" xr:uid="{00000000-0002-0000-0300-0000D4030000}">
          <x14:formula1>
            <xm:f>項目!C17:$MPK$983041</xm:f>
          </x14:formula1>
          <xm:sqref>MPS983045:MPS983068</xm:sqref>
        </x14:dataValidation>
        <x14:dataValidation type="list" allowBlank="1" showInputMessage="1" showErrorMessage="1" xr:uid="{00000000-0002-0000-0300-0000D5030000}">
          <x14:formula1>
            <xm:f>項目!C17:$MZG$983041</xm:f>
          </x14:formula1>
          <xm:sqref>MZO983045:MZO983068</xm:sqref>
        </x14:dataValidation>
        <x14:dataValidation type="list" allowBlank="1" showInputMessage="1" showErrorMessage="1" xr:uid="{00000000-0002-0000-0300-0000D6030000}">
          <x14:formula1>
            <xm:f>項目!C17:$NJC$983041</xm:f>
          </x14:formula1>
          <xm:sqref>NJK983045:NJK983068</xm:sqref>
        </x14:dataValidation>
        <x14:dataValidation type="list" allowBlank="1" showInputMessage="1" showErrorMessage="1" xr:uid="{00000000-0002-0000-0300-0000D7030000}">
          <x14:formula1>
            <xm:f>項目!C17:$NSY$983041</xm:f>
          </x14:formula1>
          <xm:sqref>NTG983045:NTG983068</xm:sqref>
        </x14:dataValidation>
        <x14:dataValidation type="list" allowBlank="1" showInputMessage="1" showErrorMessage="1" xr:uid="{00000000-0002-0000-0300-0000D8030000}">
          <x14:formula1>
            <xm:f>項目!C17:$OCU$983041</xm:f>
          </x14:formula1>
          <xm:sqref>ODC983045:ODC983068</xm:sqref>
        </x14:dataValidation>
        <x14:dataValidation type="list" allowBlank="1" showInputMessage="1" showErrorMessage="1" xr:uid="{00000000-0002-0000-0300-0000D9030000}">
          <x14:formula1>
            <xm:f>項目!C17:$OMQ$983041</xm:f>
          </x14:formula1>
          <xm:sqref>OMY983045:OMY983068</xm:sqref>
        </x14:dataValidation>
        <x14:dataValidation type="list" allowBlank="1" showInputMessage="1" showErrorMessage="1" xr:uid="{00000000-0002-0000-0300-0000DA030000}">
          <x14:formula1>
            <xm:f>項目!C17:$OWM$983041</xm:f>
          </x14:formula1>
          <xm:sqref>OWU983045:OWU983068</xm:sqref>
        </x14:dataValidation>
        <x14:dataValidation type="list" allowBlank="1" showInputMessage="1" showErrorMessage="1" xr:uid="{00000000-0002-0000-0300-0000DB030000}">
          <x14:formula1>
            <xm:f>項目!C17:$PGI$983041</xm:f>
          </x14:formula1>
          <xm:sqref>PGQ983045:PGQ983068</xm:sqref>
        </x14:dataValidation>
        <x14:dataValidation type="list" allowBlank="1" showInputMessage="1" showErrorMessage="1" xr:uid="{00000000-0002-0000-0300-0000DC030000}">
          <x14:formula1>
            <xm:f>項目!C17:$PQE$983041</xm:f>
          </x14:formula1>
          <xm:sqref>PQM983045:PQM983068</xm:sqref>
        </x14:dataValidation>
        <x14:dataValidation type="list" allowBlank="1" showInputMessage="1" showErrorMessage="1" xr:uid="{00000000-0002-0000-0300-0000DD030000}">
          <x14:formula1>
            <xm:f>項目!C17:$QAA$983041</xm:f>
          </x14:formula1>
          <xm:sqref>QAI983045:QAI983068</xm:sqref>
        </x14:dataValidation>
        <x14:dataValidation type="list" allowBlank="1" showInputMessage="1" showErrorMessage="1" xr:uid="{00000000-0002-0000-0300-0000DE030000}">
          <x14:formula1>
            <xm:f>項目!C17:$QJW$983041</xm:f>
          </x14:formula1>
          <xm:sqref>QKE983045:QKE983068</xm:sqref>
        </x14:dataValidation>
        <x14:dataValidation type="list" allowBlank="1" showInputMessage="1" showErrorMessage="1" xr:uid="{00000000-0002-0000-0300-0000DF030000}">
          <x14:formula1>
            <xm:f>項目!C17:$QTS$983041</xm:f>
          </x14:formula1>
          <xm:sqref>QUA983045:QUA983068</xm:sqref>
        </x14:dataValidation>
        <x14:dataValidation type="list" allowBlank="1" showInputMessage="1" showErrorMessage="1" xr:uid="{00000000-0002-0000-0300-0000E0030000}">
          <x14:formula1>
            <xm:f>項目!C17:$RDO$983041</xm:f>
          </x14:formula1>
          <xm:sqref>RDW983045:RDW983068</xm:sqref>
        </x14:dataValidation>
        <x14:dataValidation type="list" allowBlank="1" showInputMessage="1" showErrorMessage="1" xr:uid="{00000000-0002-0000-0300-0000E1030000}">
          <x14:formula1>
            <xm:f>項目!C17:$RNK$983041</xm:f>
          </x14:formula1>
          <xm:sqref>RNS983045:RNS983068</xm:sqref>
        </x14:dataValidation>
        <x14:dataValidation type="list" allowBlank="1" showInputMessage="1" showErrorMessage="1" xr:uid="{00000000-0002-0000-0300-0000E2030000}">
          <x14:formula1>
            <xm:f>項目!C17:$RXG$983041</xm:f>
          </x14:formula1>
          <xm:sqref>RXO983045:RXO983068</xm:sqref>
        </x14:dataValidation>
        <x14:dataValidation type="list" allowBlank="1" showInputMessage="1" showErrorMessage="1" xr:uid="{00000000-0002-0000-0300-0000E3030000}">
          <x14:formula1>
            <xm:f>項目!C17:$SHC$983041</xm:f>
          </x14:formula1>
          <xm:sqref>SHK983045:SHK983068</xm:sqref>
        </x14:dataValidation>
        <x14:dataValidation type="list" allowBlank="1" showInputMessage="1" showErrorMessage="1" xr:uid="{00000000-0002-0000-0300-0000E4030000}">
          <x14:formula1>
            <xm:f>項目!C17:$SQY$983041</xm:f>
          </x14:formula1>
          <xm:sqref>SRG983045:SRG983068</xm:sqref>
        </x14:dataValidation>
        <x14:dataValidation type="list" allowBlank="1" showInputMessage="1" showErrorMessage="1" xr:uid="{00000000-0002-0000-0300-0000E5030000}">
          <x14:formula1>
            <xm:f>項目!C17:$TAU$983041</xm:f>
          </x14:formula1>
          <xm:sqref>TBC983045:TBC983068</xm:sqref>
        </x14:dataValidation>
        <x14:dataValidation type="list" allowBlank="1" showInputMessage="1" showErrorMessage="1" xr:uid="{00000000-0002-0000-0300-0000E6030000}">
          <x14:formula1>
            <xm:f>項目!C17:$TKQ$983041</xm:f>
          </x14:formula1>
          <xm:sqref>TKY983045:TKY983068</xm:sqref>
        </x14:dataValidation>
        <x14:dataValidation type="list" allowBlank="1" showInputMessage="1" showErrorMessage="1" xr:uid="{00000000-0002-0000-0300-0000E7030000}">
          <x14:formula1>
            <xm:f>項目!C17:$TUM$983041</xm:f>
          </x14:formula1>
          <xm:sqref>TUU983045:TUU983068</xm:sqref>
        </x14:dataValidation>
        <x14:dataValidation type="list" allowBlank="1" showInputMessage="1" showErrorMessage="1" xr:uid="{00000000-0002-0000-0300-0000E8030000}">
          <x14:formula1>
            <xm:f>項目!C17:$UEI$983041</xm:f>
          </x14:formula1>
          <xm:sqref>UEQ983045:UEQ983068</xm:sqref>
        </x14:dataValidation>
        <x14:dataValidation type="list" allowBlank="1" showInputMessage="1" showErrorMessage="1" xr:uid="{00000000-0002-0000-0300-0000E9030000}">
          <x14:formula1>
            <xm:f>項目!C17:$UOE$983041</xm:f>
          </x14:formula1>
          <xm:sqref>UOM983045:UOM983068</xm:sqref>
        </x14:dataValidation>
        <x14:dataValidation type="list" allowBlank="1" showInputMessage="1" showErrorMessage="1" xr:uid="{00000000-0002-0000-0300-0000EA030000}">
          <x14:formula1>
            <xm:f>項目!C17:$UYA$983041</xm:f>
          </x14:formula1>
          <xm:sqref>UYI983045:UYI983068</xm:sqref>
        </x14:dataValidation>
        <x14:dataValidation type="list" allowBlank="1" showInputMessage="1" showErrorMessage="1" xr:uid="{00000000-0002-0000-0300-0000EB030000}">
          <x14:formula1>
            <xm:f>項目!C17:$VHW$983041</xm:f>
          </x14:formula1>
          <xm:sqref>VIE983045:VIE983068</xm:sqref>
        </x14:dataValidation>
        <x14:dataValidation type="list" allowBlank="1" showInputMessage="1" showErrorMessage="1" xr:uid="{00000000-0002-0000-0300-0000EC030000}">
          <x14:formula1>
            <xm:f>項目!C17:$VRS$983041</xm:f>
          </x14:formula1>
          <xm:sqref>VSA983045:VSA983068</xm:sqref>
        </x14:dataValidation>
        <x14:dataValidation type="list" allowBlank="1" showInputMessage="1" showErrorMessage="1" xr:uid="{00000000-0002-0000-0300-0000ED030000}">
          <x14:formula1>
            <xm:f>項目!C17:$WBO$983041</xm:f>
          </x14:formula1>
          <xm:sqref>WBW983045:WBW983068</xm:sqref>
        </x14:dataValidation>
        <x14:dataValidation type="list" allowBlank="1" showInputMessage="1" showErrorMessage="1" xr:uid="{00000000-0002-0000-0300-0000EE030000}">
          <x14:formula1>
            <xm:f>項目!C17:$WLK$983041</xm:f>
          </x14:formula1>
          <xm:sqref>WLS983045:WLS983068</xm:sqref>
        </x14:dataValidation>
        <x14:dataValidation type="list" allowBlank="1" showInputMessage="1" showErrorMessage="1" xr:uid="{00000000-0002-0000-0300-0000EF030000}">
          <x14:formula1>
            <xm:f>項目!C17:$WVG$983041</xm:f>
          </x14:formula1>
          <xm:sqref>WVO983045:WVO983068</xm:sqref>
        </x14:dataValidation>
        <x14:dataValidation type="list" allowBlank="1" showInputMessage="1" showErrorMessage="1" xr:uid="{00000000-0002-0000-0300-0000F0030000}">
          <x14:formula1>
            <xm:f>項目!C1:$IY$17</xm:f>
          </x14:formula1>
          <xm:sqref>JG5:JG28</xm:sqref>
        </x14:dataValidation>
        <x14:dataValidation type="list" allowBlank="1" showInputMessage="1" showErrorMessage="1" xr:uid="{00000000-0002-0000-0300-0000F1030000}">
          <x14:formula1>
            <xm:f>項目!C1:$SU$17</xm:f>
          </x14:formula1>
          <xm:sqref>TC5:TC28</xm:sqref>
        </x14:dataValidation>
        <x14:dataValidation type="list" allowBlank="1" showInputMessage="1" showErrorMessage="1" xr:uid="{00000000-0002-0000-0300-0000F2030000}">
          <x14:formula1>
            <xm:f>項目!C1:$ACQ$17</xm:f>
          </x14:formula1>
          <xm:sqref>ACY5:ACY28</xm:sqref>
        </x14:dataValidation>
        <x14:dataValidation type="list" allowBlank="1" showInputMessage="1" showErrorMessage="1" xr:uid="{00000000-0002-0000-0300-0000F3030000}">
          <x14:formula1>
            <xm:f>項目!C1:$AMM$17</xm:f>
          </x14:formula1>
          <xm:sqref>AMU5:AMU28</xm:sqref>
        </x14:dataValidation>
        <x14:dataValidation type="list" allowBlank="1" showInputMessage="1" showErrorMessage="1" xr:uid="{00000000-0002-0000-0300-0000F4030000}">
          <x14:formula1>
            <xm:f>項目!C1:$AWI$17</xm:f>
          </x14:formula1>
          <xm:sqref>AWQ5:AWQ28</xm:sqref>
        </x14:dataValidation>
        <x14:dataValidation type="list" allowBlank="1" showInputMessage="1" showErrorMessage="1" xr:uid="{00000000-0002-0000-0300-0000F5030000}">
          <x14:formula1>
            <xm:f>項目!C1:$BGE$17</xm:f>
          </x14:formula1>
          <xm:sqref>BGM5:BGM28</xm:sqref>
        </x14:dataValidation>
        <x14:dataValidation type="list" allowBlank="1" showInputMessage="1" showErrorMessage="1" xr:uid="{00000000-0002-0000-0300-0000F6030000}">
          <x14:formula1>
            <xm:f>項目!C1:$BQA$17</xm:f>
          </x14:formula1>
          <xm:sqref>BQI5:BQI28</xm:sqref>
        </x14:dataValidation>
        <x14:dataValidation type="list" allowBlank="1" showInputMessage="1" showErrorMessage="1" xr:uid="{00000000-0002-0000-0300-0000F7030000}">
          <x14:formula1>
            <xm:f>項目!C1:$BZW$17</xm:f>
          </x14:formula1>
          <xm:sqref>CAE5:CAE28</xm:sqref>
        </x14:dataValidation>
        <x14:dataValidation type="list" allowBlank="1" showInputMessage="1" showErrorMessage="1" xr:uid="{00000000-0002-0000-0300-0000F8030000}">
          <x14:formula1>
            <xm:f>項目!C1:$CJS$17</xm:f>
          </x14:formula1>
          <xm:sqref>CKA5:CKA28</xm:sqref>
        </x14:dataValidation>
        <x14:dataValidation type="list" allowBlank="1" showInputMessage="1" showErrorMessage="1" xr:uid="{00000000-0002-0000-0300-0000F9030000}">
          <x14:formula1>
            <xm:f>項目!C1:$CTO$17</xm:f>
          </x14:formula1>
          <xm:sqref>CTW5:CTW28</xm:sqref>
        </x14:dataValidation>
        <x14:dataValidation type="list" allowBlank="1" showInputMessage="1" showErrorMessage="1" xr:uid="{00000000-0002-0000-0300-0000FA030000}">
          <x14:formula1>
            <xm:f>項目!C1:$DDK$17</xm:f>
          </x14:formula1>
          <xm:sqref>DDS5:DDS28</xm:sqref>
        </x14:dataValidation>
        <x14:dataValidation type="list" allowBlank="1" showInputMessage="1" showErrorMessage="1" xr:uid="{00000000-0002-0000-0300-0000FB030000}">
          <x14:formula1>
            <xm:f>項目!C1:$DNG$17</xm:f>
          </x14:formula1>
          <xm:sqref>DNO5:DNO28</xm:sqref>
        </x14:dataValidation>
        <x14:dataValidation type="list" allowBlank="1" showInputMessage="1" showErrorMessage="1" xr:uid="{00000000-0002-0000-0300-0000FC030000}">
          <x14:formula1>
            <xm:f>項目!C1:$DXC$17</xm:f>
          </x14:formula1>
          <xm:sqref>DXK5:DXK28</xm:sqref>
        </x14:dataValidation>
        <x14:dataValidation type="list" allowBlank="1" showInputMessage="1" showErrorMessage="1" xr:uid="{00000000-0002-0000-0300-0000FD030000}">
          <x14:formula1>
            <xm:f>項目!C1:$EGY$17</xm:f>
          </x14:formula1>
          <xm:sqref>EHG5:EHG28</xm:sqref>
        </x14:dataValidation>
        <x14:dataValidation type="list" allowBlank="1" showInputMessage="1" showErrorMessage="1" xr:uid="{00000000-0002-0000-0300-0000FE030000}">
          <x14:formula1>
            <xm:f>項目!C1:$EQU$17</xm:f>
          </x14:formula1>
          <xm:sqref>ERC5:ERC28</xm:sqref>
        </x14:dataValidation>
        <x14:dataValidation type="list" allowBlank="1" showInputMessage="1" showErrorMessage="1" xr:uid="{00000000-0002-0000-0300-0000FF030000}">
          <x14:formula1>
            <xm:f>項目!C1:$FAQ$17</xm:f>
          </x14:formula1>
          <xm:sqref>FAY5:FAY28</xm:sqref>
        </x14:dataValidation>
        <x14:dataValidation type="list" allowBlank="1" showInputMessage="1" showErrorMessage="1" xr:uid="{00000000-0002-0000-0300-000000040000}">
          <x14:formula1>
            <xm:f>項目!C1:$FKM$17</xm:f>
          </x14:formula1>
          <xm:sqref>FKU5:FKU28</xm:sqref>
        </x14:dataValidation>
        <x14:dataValidation type="list" allowBlank="1" showInputMessage="1" showErrorMessage="1" xr:uid="{00000000-0002-0000-0300-000001040000}">
          <x14:formula1>
            <xm:f>項目!C1:$FUI$17</xm:f>
          </x14:formula1>
          <xm:sqref>FUQ5:FUQ28</xm:sqref>
        </x14:dataValidation>
        <x14:dataValidation type="list" allowBlank="1" showInputMessage="1" showErrorMessage="1" xr:uid="{00000000-0002-0000-0300-000002040000}">
          <x14:formula1>
            <xm:f>項目!C1:$GEE$17</xm:f>
          </x14:formula1>
          <xm:sqref>GEM5:GEM28</xm:sqref>
        </x14:dataValidation>
        <x14:dataValidation type="list" allowBlank="1" showInputMessage="1" showErrorMessage="1" xr:uid="{00000000-0002-0000-0300-000003040000}">
          <x14:formula1>
            <xm:f>項目!C1:$GOA$17</xm:f>
          </x14:formula1>
          <xm:sqref>GOI5:GOI28</xm:sqref>
        </x14:dataValidation>
        <x14:dataValidation type="list" allowBlank="1" showInputMessage="1" showErrorMessage="1" xr:uid="{00000000-0002-0000-0300-000004040000}">
          <x14:formula1>
            <xm:f>項目!C1:$GXW$17</xm:f>
          </x14:formula1>
          <xm:sqref>GYE5:GYE28</xm:sqref>
        </x14:dataValidation>
        <x14:dataValidation type="list" allowBlank="1" showInputMessage="1" showErrorMessage="1" xr:uid="{00000000-0002-0000-0300-000005040000}">
          <x14:formula1>
            <xm:f>項目!C1:$HHS$17</xm:f>
          </x14:formula1>
          <xm:sqref>HIA5:HIA28</xm:sqref>
        </x14:dataValidation>
        <x14:dataValidation type="list" allowBlank="1" showInputMessage="1" showErrorMessage="1" xr:uid="{00000000-0002-0000-0300-000006040000}">
          <x14:formula1>
            <xm:f>項目!C1:$HRO$17</xm:f>
          </x14:formula1>
          <xm:sqref>HRW5:HRW28</xm:sqref>
        </x14:dataValidation>
        <x14:dataValidation type="list" allowBlank="1" showInputMessage="1" showErrorMessage="1" xr:uid="{00000000-0002-0000-0300-000007040000}">
          <x14:formula1>
            <xm:f>項目!C1:$IBK$17</xm:f>
          </x14:formula1>
          <xm:sqref>IBS5:IBS28</xm:sqref>
        </x14:dataValidation>
        <x14:dataValidation type="list" allowBlank="1" showInputMessage="1" showErrorMessage="1" xr:uid="{00000000-0002-0000-0300-000008040000}">
          <x14:formula1>
            <xm:f>項目!C1:$ILG$17</xm:f>
          </x14:formula1>
          <xm:sqref>ILO5:ILO28</xm:sqref>
        </x14:dataValidation>
        <x14:dataValidation type="list" allowBlank="1" showInputMessage="1" showErrorMessage="1" xr:uid="{00000000-0002-0000-0300-000009040000}">
          <x14:formula1>
            <xm:f>項目!C1:$IVC$17</xm:f>
          </x14:formula1>
          <xm:sqref>IVK5:IVK28</xm:sqref>
        </x14:dataValidation>
        <x14:dataValidation type="list" allowBlank="1" showInputMessage="1" showErrorMessage="1" xr:uid="{00000000-0002-0000-0300-00000A040000}">
          <x14:formula1>
            <xm:f>項目!C1:$JEY$17</xm:f>
          </x14:formula1>
          <xm:sqref>JFG5:JFG28</xm:sqref>
        </x14:dataValidation>
        <x14:dataValidation type="list" allowBlank="1" showInputMessage="1" showErrorMessage="1" xr:uid="{00000000-0002-0000-0300-00000B040000}">
          <x14:formula1>
            <xm:f>項目!C1:$JOU$17</xm:f>
          </x14:formula1>
          <xm:sqref>JPC5:JPC28</xm:sqref>
        </x14:dataValidation>
        <x14:dataValidation type="list" allowBlank="1" showInputMessage="1" showErrorMessage="1" xr:uid="{00000000-0002-0000-0300-00000C040000}">
          <x14:formula1>
            <xm:f>項目!C1:$JYQ$17</xm:f>
          </x14:formula1>
          <xm:sqref>JYY5:JYY28</xm:sqref>
        </x14:dataValidation>
        <x14:dataValidation type="list" allowBlank="1" showInputMessage="1" showErrorMessage="1" xr:uid="{00000000-0002-0000-0300-00000D040000}">
          <x14:formula1>
            <xm:f>項目!C1:$KIM$17</xm:f>
          </x14:formula1>
          <xm:sqref>KIU5:KIU28</xm:sqref>
        </x14:dataValidation>
        <x14:dataValidation type="list" allowBlank="1" showInputMessage="1" showErrorMessage="1" xr:uid="{00000000-0002-0000-0300-00000E040000}">
          <x14:formula1>
            <xm:f>項目!C1:$KSI$17</xm:f>
          </x14:formula1>
          <xm:sqref>KSQ5:KSQ28</xm:sqref>
        </x14:dataValidation>
        <x14:dataValidation type="list" allowBlank="1" showInputMessage="1" showErrorMessage="1" xr:uid="{00000000-0002-0000-0300-00000F040000}">
          <x14:formula1>
            <xm:f>項目!C1:$LCE$17</xm:f>
          </x14:formula1>
          <xm:sqref>LCM5:LCM28</xm:sqref>
        </x14:dataValidation>
        <x14:dataValidation type="list" allowBlank="1" showInputMessage="1" showErrorMessage="1" xr:uid="{00000000-0002-0000-0300-000010040000}">
          <x14:formula1>
            <xm:f>項目!C1:$LMA$17</xm:f>
          </x14:formula1>
          <xm:sqref>LMI5:LMI28</xm:sqref>
        </x14:dataValidation>
        <x14:dataValidation type="list" allowBlank="1" showInputMessage="1" showErrorMessage="1" xr:uid="{00000000-0002-0000-0300-000011040000}">
          <x14:formula1>
            <xm:f>項目!C1:$LVW$17</xm:f>
          </x14:formula1>
          <xm:sqref>LWE5:LWE28</xm:sqref>
        </x14:dataValidation>
        <x14:dataValidation type="list" allowBlank="1" showInputMessage="1" showErrorMessage="1" xr:uid="{00000000-0002-0000-0300-000012040000}">
          <x14:formula1>
            <xm:f>項目!C1:$MFS$17</xm:f>
          </x14:formula1>
          <xm:sqref>MGA5:MGA28</xm:sqref>
        </x14:dataValidation>
        <x14:dataValidation type="list" allowBlank="1" showInputMessage="1" showErrorMessage="1" xr:uid="{00000000-0002-0000-0300-000013040000}">
          <x14:formula1>
            <xm:f>項目!C1:$MPO$17</xm:f>
          </x14:formula1>
          <xm:sqref>MPW5:MPW28</xm:sqref>
        </x14:dataValidation>
        <x14:dataValidation type="list" allowBlank="1" showInputMessage="1" showErrorMessage="1" xr:uid="{00000000-0002-0000-0300-000014040000}">
          <x14:formula1>
            <xm:f>項目!C1:$MZK$17</xm:f>
          </x14:formula1>
          <xm:sqref>MZS5:MZS28</xm:sqref>
        </x14:dataValidation>
        <x14:dataValidation type="list" allowBlank="1" showInputMessage="1" showErrorMessage="1" xr:uid="{00000000-0002-0000-0300-000015040000}">
          <x14:formula1>
            <xm:f>項目!C1:$NJG$17</xm:f>
          </x14:formula1>
          <xm:sqref>NJO5:NJO28</xm:sqref>
        </x14:dataValidation>
        <x14:dataValidation type="list" allowBlank="1" showInputMessage="1" showErrorMessage="1" xr:uid="{00000000-0002-0000-0300-000016040000}">
          <x14:formula1>
            <xm:f>項目!C1:$NTC$17</xm:f>
          </x14:formula1>
          <xm:sqref>NTK5:NTK28</xm:sqref>
        </x14:dataValidation>
        <x14:dataValidation type="list" allowBlank="1" showInputMessage="1" showErrorMessage="1" xr:uid="{00000000-0002-0000-0300-000017040000}">
          <x14:formula1>
            <xm:f>項目!C1:$OCY$17</xm:f>
          </x14:formula1>
          <xm:sqref>ODG5:ODG28</xm:sqref>
        </x14:dataValidation>
        <x14:dataValidation type="list" allowBlank="1" showInputMessage="1" showErrorMessage="1" xr:uid="{00000000-0002-0000-0300-000018040000}">
          <x14:formula1>
            <xm:f>項目!C1:$OMU$17</xm:f>
          </x14:formula1>
          <xm:sqref>ONC5:ONC28</xm:sqref>
        </x14:dataValidation>
        <x14:dataValidation type="list" allowBlank="1" showInputMessage="1" showErrorMessage="1" xr:uid="{00000000-0002-0000-0300-000019040000}">
          <x14:formula1>
            <xm:f>項目!C1:$OWQ$17</xm:f>
          </x14:formula1>
          <xm:sqref>OWY5:OWY28</xm:sqref>
        </x14:dataValidation>
        <x14:dataValidation type="list" allowBlank="1" showInputMessage="1" showErrorMessage="1" xr:uid="{00000000-0002-0000-0300-00001A040000}">
          <x14:formula1>
            <xm:f>項目!C1:$PGM$17</xm:f>
          </x14:formula1>
          <xm:sqref>PGU5:PGU28</xm:sqref>
        </x14:dataValidation>
        <x14:dataValidation type="list" allowBlank="1" showInputMessage="1" showErrorMessage="1" xr:uid="{00000000-0002-0000-0300-00001B040000}">
          <x14:formula1>
            <xm:f>項目!C1:$PQI$17</xm:f>
          </x14:formula1>
          <xm:sqref>PQQ5:PQQ28</xm:sqref>
        </x14:dataValidation>
        <x14:dataValidation type="list" allowBlank="1" showInputMessage="1" showErrorMessage="1" xr:uid="{00000000-0002-0000-0300-00001C040000}">
          <x14:formula1>
            <xm:f>項目!C1:$QAE$17</xm:f>
          </x14:formula1>
          <xm:sqref>QAM5:QAM28</xm:sqref>
        </x14:dataValidation>
        <x14:dataValidation type="list" allowBlank="1" showInputMessage="1" showErrorMessage="1" xr:uid="{00000000-0002-0000-0300-00001D040000}">
          <x14:formula1>
            <xm:f>項目!C1:$QKA$17</xm:f>
          </x14:formula1>
          <xm:sqref>QKI5:QKI28</xm:sqref>
        </x14:dataValidation>
        <x14:dataValidation type="list" allowBlank="1" showInputMessage="1" showErrorMessage="1" xr:uid="{00000000-0002-0000-0300-00001E040000}">
          <x14:formula1>
            <xm:f>項目!C1:$QTW$17</xm:f>
          </x14:formula1>
          <xm:sqref>QUE5:QUE28</xm:sqref>
        </x14:dataValidation>
        <x14:dataValidation type="list" allowBlank="1" showInputMessage="1" showErrorMessage="1" xr:uid="{00000000-0002-0000-0300-00001F040000}">
          <x14:formula1>
            <xm:f>項目!C1:$RDS$17</xm:f>
          </x14:formula1>
          <xm:sqref>REA5:REA28</xm:sqref>
        </x14:dataValidation>
        <x14:dataValidation type="list" allowBlank="1" showInputMessage="1" showErrorMessage="1" xr:uid="{00000000-0002-0000-0300-000020040000}">
          <x14:formula1>
            <xm:f>項目!C1:$RNO$17</xm:f>
          </x14:formula1>
          <xm:sqref>RNW5:RNW28</xm:sqref>
        </x14:dataValidation>
        <x14:dataValidation type="list" allowBlank="1" showInputMessage="1" showErrorMessage="1" xr:uid="{00000000-0002-0000-0300-000021040000}">
          <x14:formula1>
            <xm:f>項目!C1:$RXK$17</xm:f>
          </x14:formula1>
          <xm:sqref>RXS5:RXS28</xm:sqref>
        </x14:dataValidation>
        <x14:dataValidation type="list" allowBlank="1" showInputMessage="1" showErrorMessage="1" xr:uid="{00000000-0002-0000-0300-000022040000}">
          <x14:formula1>
            <xm:f>項目!C1:$SHG$17</xm:f>
          </x14:formula1>
          <xm:sqref>SHO5:SHO28</xm:sqref>
        </x14:dataValidation>
        <x14:dataValidation type="list" allowBlank="1" showInputMessage="1" showErrorMessage="1" xr:uid="{00000000-0002-0000-0300-000023040000}">
          <x14:formula1>
            <xm:f>項目!C1:$SRC$17</xm:f>
          </x14:formula1>
          <xm:sqref>SRK5:SRK28</xm:sqref>
        </x14:dataValidation>
        <x14:dataValidation type="list" allowBlank="1" showInputMessage="1" showErrorMessage="1" xr:uid="{00000000-0002-0000-0300-000024040000}">
          <x14:formula1>
            <xm:f>項目!C1:$TAY$17</xm:f>
          </x14:formula1>
          <xm:sqref>TBG5:TBG28</xm:sqref>
        </x14:dataValidation>
        <x14:dataValidation type="list" allowBlank="1" showInputMessage="1" showErrorMessage="1" xr:uid="{00000000-0002-0000-0300-000025040000}">
          <x14:formula1>
            <xm:f>項目!C1:$TKU$17</xm:f>
          </x14:formula1>
          <xm:sqref>TLC5:TLC28</xm:sqref>
        </x14:dataValidation>
        <x14:dataValidation type="list" allowBlank="1" showInputMessage="1" showErrorMessage="1" xr:uid="{00000000-0002-0000-0300-000026040000}">
          <x14:formula1>
            <xm:f>項目!C1:$TUQ$17</xm:f>
          </x14:formula1>
          <xm:sqref>TUY5:TUY28</xm:sqref>
        </x14:dataValidation>
        <x14:dataValidation type="list" allowBlank="1" showInputMessage="1" showErrorMessage="1" xr:uid="{00000000-0002-0000-0300-000027040000}">
          <x14:formula1>
            <xm:f>項目!C1:$UEM$17</xm:f>
          </x14:formula1>
          <xm:sqref>UEU5:UEU28</xm:sqref>
        </x14:dataValidation>
        <x14:dataValidation type="list" allowBlank="1" showInputMessage="1" showErrorMessage="1" xr:uid="{00000000-0002-0000-0300-000028040000}">
          <x14:formula1>
            <xm:f>項目!C1:$UOI$17</xm:f>
          </x14:formula1>
          <xm:sqref>UOQ5:UOQ28</xm:sqref>
        </x14:dataValidation>
        <x14:dataValidation type="list" allowBlank="1" showInputMessage="1" showErrorMessage="1" xr:uid="{00000000-0002-0000-0300-000029040000}">
          <x14:formula1>
            <xm:f>項目!C1:$UYE$17</xm:f>
          </x14:formula1>
          <xm:sqref>UYM5:UYM28</xm:sqref>
        </x14:dataValidation>
        <x14:dataValidation type="list" allowBlank="1" showInputMessage="1" showErrorMessage="1" xr:uid="{00000000-0002-0000-0300-00002A040000}">
          <x14:formula1>
            <xm:f>項目!C1:$VIA$17</xm:f>
          </x14:formula1>
          <xm:sqref>VII5:VII28</xm:sqref>
        </x14:dataValidation>
        <x14:dataValidation type="list" allowBlank="1" showInputMessage="1" showErrorMessage="1" xr:uid="{00000000-0002-0000-0300-00002B040000}">
          <x14:formula1>
            <xm:f>項目!C1:$VRW$17</xm:f>
          </x14:formula1>
          <xm:sqref>VSE5:VSE28</xm:sqref>
        </x14:dataValidation>
        <x14:dataValidation type="list" allowBlank="1" showInputMessage="1" showErrorMessage="1" xr:uid="{00000000-0002-0000-0300-00002C040000}">
          <x14:formula1>
            <xm:f>項目!C1:$WBS$17</xm:f>
          </x14:formula1>
          <xm:sqref>WCA5:WCA28</xm:sqref>
        </x14:dataValidation>
        <x14:dataValidation type="list" allowBlank="1" showInputMessage="1" showErrorMessage="1" xr:uid="{00000000-0002-0000-0300-00002D040000}">
          <x14:formula1>
            <xm:f>項目!C1:$WLO$17</xm:f>
          </x14:formula1>
          <xm:sqref>WLW5:WLW28</xm:sqref>
        </x14:dataValidation>
        <x14:dataValidation type="list" allowBlank="1" showInputMessage="1" showErrorMessage="1" xr:uid="{00000000-0002-0000-0300-00002E040000}">
          <x14:formula1>
            <xm:f>項目!C1:$WVK$17</xm:f>
          </x14:formula1>
          <xm:sqref>WVS5:WVS28</xm:sqref>
        </x14:dataValidation>
        <x14:dataValidation type="list" allowBlank="1" showInputMessage="1" showErrorMessage="1" xr:uid="{00000000-0002-0000-0300-00002F040000}">
          <x14:formula1>
            <xm:f>項目!C17:$IY$65537</xm:f>
          </x14:formula1>
          <xm:sqref>JG65541:JG65564</xm:sqref>
        </x14:dataValidation>
        <x14:dataValidation type="list" allowBlank="1" showInputMessage="1" showErrorMessage="1" xr:uid="{00000000-0002-0000-0300-000030040000}">
          <x14:formula1>
            <xm:f>項目!C17:$SU$65537</xm:f>
          </x14:formula1>
          <xm:sqref>TC65541:TC65564</xm:sqref>
        </x14:dataValidation>
        <x14:dataValidation type="list" allowBlank="1" showInputMessage="1" showErrorMessage="1" xr:uid="{00000000-0002-0000-0300-000031040000}">
          <x14:formula1>
            <xm:f>項目!C17:$ACQ$65537</xm:f>
          </x14:formula1>
          <xm:sqref>ACY65541:ACY65564</xm:sqref>
        </x14:dataValidation>
        <x14:dataValidation type="list" allowBlank="1" showInputMessage="1" showErrorMessage="1" xr:uid="{00000000-0002-0000-0300-000032040000}">
          <x14:formula1>
            <xm:f>項目!C17:$AMM$65537</xm:f>
          </x14:formula1>
          <xm:sqref>AMU65541:AMU65564</xm:sqref>
        </x14:dataValidation>
        <x14:dataValidation type="list" allowBlank="1" showInputMessage="1" showErrorMessage="1" xr:uid="{00000000-0002-0000-0300-000033040000}">
          <x14:formula1>
            <xm:f>項目!C17:$AWI$65537</xm:f>
          </x14:formula1>
          <xm:sqref>AWQ65541:AWQ65564</xm:sqref>
        </x14:dataValidation>
        <x14:dataValidation type="list" allowBlank="1" showInputMessage="1" showErrorMessage="1" xr:uid="{00000000-0002-0000-0300-000034040000}">
          <x14:formula1>
            <xm:f>項目!C17:$BGE$65537</xm:f>
          </x14:formula1>
          <xm:sqref>BGM65541:BGM65564</xm:sqref>
        </x14:dataValidation>
        <x14:dataValidation type="list" allowBlank="1" showInputMessage="1" showErrorMessage="1" xr:uid="{00000000-0002-0000-0300-000035040000}">
          <x14:formula1>
            <xm:f>項目!C17:$BQA$65537</xm:f>
          </x14:formula1>
          <xm:sqref>BQI65541:BQI65564</xm:sqref>
        </x14:dataValidation>
        <x14:dataValidation type="list" allowBlank="1" showInputMessage="1" showErrorMessage="1" xr:uid="{00000000-0002-0000-0300-000036040000}">
          <x14:formula1>
            <xm:f>項目!C17:$BZW$65537</xm:f>
          </x14:formula1>
          <xm:sqref>CAE65541:CAE65564</xm:sqref>
        </x14:dataValidation>
        <x14:dataValidation type="list" allowBlank="1" showInputMessage="1" showErrorMessage="1" xr:uid="{00000000-0002-0000-0300-000037040000}">
          <x14:formula1>
            <xm:f>項目!C17:$CJS$65537</xm:f>
          </x14:formula1>
          <xm:sqref>CKA65541:CKA65564</xm:sqref>
        </x14:dataValidation>
        <x14:dataValidation type="list" allowBlank="1" showInputMessage="1" showErrorMessage="1" xr:uid="{00000000-0002-0000-0300-000038040000}">
          <x14:formula1>
            <xm:f>項目!C17:$CTO$65537</xm:f>
          </x14:formula1>
          <xm:sqref>CTW65541:CTW65564</xm:sqref>
        </x14:dataValidation>
        <x14:dataValidation type="list" allowBlank="1" showInputMessage="1" showErrorMessage="1" xr:uid="{00000000-0002-0000-0300-000039040000}">
          <x14:formula1>
            <xm:f>項目!C17:$DDK$65537</xm:f>
          </x14:formula1>
          <xm:sqref>DDS65541:DDS65564</xm:sqref>
        </x14:dataValidation>
        <x14:dataValidation type="list" allowBlank="1" showInputMessage="1" showErrorMessage="1" xr:uid="{00000000-0002-0000-0300-00003A040000}">
          <x14:formula1>
            <xm:f>項目!C17:$DNG$65537</xm:f>
          </x14:formula1>
          <xm:sqref>DNO65541:DNO65564</xm:sqref>
        </x14:dataValidation>
        <x14:dataValidation type="list" allowBlank="1" showInputMessage="1" showErrorMessage="1" xr:uid="{00000000-0002-0000-0300-00003B040000}">
          <x14:formula1>
            <xm:f>項目!C17:$DXC$65537</xm:f>
          </x14:formula1>
          <xm:sqref>DXK65541:DXK65564</xm:sqref>
        </x14:dataValidation>
        <x14:dataValidation type="list" allowBlank="1" showInputMessage="1" showErrorMessage="1" xr:uid="{00000000-0002-0000-0300-00003C040000}">
          <x14:formula1>
            <xm:f>項目!C17:$EGY$65537</xm:f>
          </x14:formula1>
          <xm:sqref>EHG65541:EHG65564</xm:sqref>
        </x14:dataValidation>
        <x14:dataValidation type="list" allowBlank="1" showInputMessage="1" showErrorMessage="1" xr:uid="{00000000-0002-0000-0300-00003D040000}">
          <x14:formula1>
            <xm:f>項目!C17:$EQU$65537</xm:f>
          </x14:formula1>
          <xm:sqref>ERC65541:ERC65564</xm:sqref>
        </x14:dataValidation>
        <x14:dataValidation type="list" allowBlank="1" showInputMessage="1" showErrorMessage="1" xr:uid="{00000000-0002-0000-0300-00003E040000}">
          <x14:formula1>
            <xm:f>項目!C17:$FAQ$65537</xm:f>
          </x14:formula1>
          <xm:sqref>FAY65541:FAY65564</xm:sqref>
        </x14:dataValidation>
        <x14:dataValidation type="list" allowBlank="1" showInputMessage="1" showErrorMessage="1" xr:uid="{00000000-0002-0000-0300-00003F040000}">
          <x14:formula1>
            <xm:f>項目!C17:$FKM$65537</xm:f>
          </x14:formula1>
          <xm:sqref>FKU65541:FKU65564</xm:sqref>
        </x14:dataValidation>
        <x14:dataValidation type="list" allowBlank="1" showInputMessage="1" showErrorMessage="1" xr:uid="{00000000-0002-0000-0300-000040040000}">
          <x14:formula1>
            <xm:f>項目!C17:$FUI$65537</xm:f>
          </x14:formula1>
          <xm:sqref>FUQ65541:FUQ65564</xm:sqref>
        </x14:dataValidation>
        <x14:dataValidation type="list" allowBlank="1" showInputMessage="1" showErrorMessage="1" xr:uid="{00000000-0002-0000-0300-000041040000}">
          <x14:formula1>
            <xm:f>項目!C17:$GEE$65537</xm:f>
          </x14:formula1>
          <xm:sqref>GEM65541:GEM65564</xm:sqref>
        </x14:dataValidation>
        <x14:dataValidation type="list" allowBlank="1" showInputMessage="1" showErrorMessage="1" xr:uid="{00000000-0002-0000-0300-000042040000}">
          <x14:formula1>
            <xm:f>項目!C17:$GOA$65537</xm:f>
          </x14:formula1>
          <xm:sqref>GOI65541:GOI65564</xm:sqref>
        </x14:dataValidation>
        <x14:dataValidation type="list" allowBlank="1" showInputMessage="1" showErrorMessage="1" xr:uid="{00000000-0002-0000-0300-000043040000}">
          <x14:formula1>
            <xm:f>項目!C17:$GXW$65537</xm:f>
          </x14:formula1>
          <xm:sqref>GYE65541:GYE65564</xm:sqref>
        </x14:dataValidation>
        <x14:dataValidation type="list" allowBlank="1" showInputMessage="1" showErrorMessage="1" xr:uid="{00000000-0002-0000-0300-000044040000}">
          <x14:formula1>
            <xm:f>項目!C17:$HHS$65537</xm:f>
          </x14:formula1>
          <xm:sqref>HIA65541:HIA65564</xm:sqref>
        </x14:dataValidation>
        <x14:dataValidation type="list" allowBlank="1" showInputMessage="1" showErrorMessage="1" xr:uid="{00000000-0002-0000-0300-000045040000}">
          <x14:formula1>
            <xm:f>項目!C17:$HRO$65537</xm:f>
          </x14:formula1>
          <xm:sqref>HRW65541:HRW65564</xm:sqref>
        </x14:dataValidation>
        <x14:dataValidation type="list" allowBlank="1" showInputMessage="1" showErrorMessage="1" xr:uid="{00000000-0002-0000-0300-000046040000}">
          <x14:formula1>
            <xm:f>項目!C17:$IBK$65537</xm:f>
          </x14:formula1>
          <xm:sqref>IBS65541:IBS65564</xm:sqref>
        </x14:dataValidation>
        <x14:dataValidation type="list" allowBlank="1" showInputMessage="1" showErrorMessage="1" xr:uid="{00000000-0002-0000-0300-000047040000}">
          <x14:formula1>
            <xm:f>項目!C17:$ILG$65537</xm:f>
          </x14:formula1>
          <xm:sqref>ILO65541:ILO65564</xm:sqref>
        </x14:dataValidation>
        <x14:dataValidation type="list" allowBlank="1" showInputMessage="1" showErrorMessage="1" xr:uid="{00000000-0002-0000-0300-000048040000}">
          <x14:formula1>
            <xm:f>項目!C17:$IVC$65537</xm:f>
          </x14:formula1>
          <xm:sqref>IVK65541:IVK65564</xm:sqref>
        </x14:dataValidation>
        <x14:dataValidation type="list" allowBlank="1" showInputMessage="1" showErrorMessage="1" xr:uid="{00000000-0002-0000-0300-000049040000}">
          <x14:formula1>
            <xm:f>項目!C17:$JEY$65537</xm:f>
          </x14:formula1>
          <xm:sqref>JFG65541:JFG65564</xm:sqref>
        </x14:dataValidation>
        <x14:dataValidation type="list" allowBlank="1" showInputMessage="1" showErrorMessage="1" xr:uid="{00000000-0002-0000-0300-00004A040000}">
          <x14:formula1>
            <xm:f>項目!C17:$JOU$65537</xm:f>
          </x14:formula1>
          <xm:sqref>JPC65541:JPC65564</xm:sqref>
        </x14:dataValidation>
        <x14:dataValidation type="list" allowBlank="1" showInputMessage="1" showErrorMessage="1" xr:uid="{00000000-0002-0000-0300-00004B040000}">
          <x14:formula1>
            <xm:f>項目!C17:$JYQ$65537</xm:f>
          </x14:formula1>
          <xm:sqref>JYY65541:JYY65564</xm:sqref>
        </x14:dataValidation>
        <x14:dataValidation type="list" allowBlank="1" showInputMessage="1" showErrorMessage="1" xr:uid="{00000000-0002-0000-0300-00004C040000}">
          <x14:formula1>
            <xm:f>項目!C17:$KIM$65537</xm:f>
          </x14:formula1>
          <xm:sqref>KIU65541:KIU65564</xm:sqref>
        </x14:dataValidation>
        <x14:dataValidation type="list" allowBlank="1" showInputMessage="1" showErrorMessage="1" xr:uid="{00000000-0002-0000-0300-00004D040000}">
          <x14:formula1>
            <xm:f>項目!C17:$KSI$65537</xm:f>
          </x14:formula1>
          <xm:sqref>KSQ65541:KSQ65564</xm:sqref>
        </x14:dataValidation>
        <x14:dataValidation type="list" allowBlank="1" showInputMessage="1" showErrorMessage="1" xr:uid="{00000000-0002-0000-0300-00004E040000}">
          <x14:formula1>
            <xm:f>項目!C17:$LCE$65537</xm:f>
          </x14:formula1>
          <xm:sqref>LCM65541:LCM65564</xm:sqref>
        </x14:dataValidation>
        <x14:dataValidation type="list" allowBlank="1" showInputMessage="1" showErrorMessage="1" xr:uid="{00000000-0002-0000-0300-00004F040000}">
          <x14:formula1>
            <xm:f>項目!C17:$LMA$65537</xm:f>
          </x14:formula1>
          <xm:sqref>LMI65541:LMI65564</xm:sqref>
        </x14:dataValidation>
        <x14:dataValidation type="list" allowBlank="1" showInputMessage="1" showErrorMessage="1" xr:uid="{00000000-0002-0000-0300-000050040000}">
          <x14:formula1>
            <xm:f>項目!C17:$LVW$65537</xm:f>
          </x14:formula1>
          <xm:sqref>LWE65541:LWE65564</xm:sqref>
        </x14:dataValidation>
        <x14:dataValidation type="list" allowBlank="1" showInputMessage="1" showErrorMessage="1" xr:uid="{00000000-0002-0000-0300-000051040000}">
          <x14:formula1>
            <xm:f>項目!C17:$MFS$65537</xm:f>
          </x14:formula1>
          <xm:sqref>MGA65541:MGA65564</xm:sqref>
        </x14:dataValidation>
        <x14:dataValidation type="list" allowBlank="1" showInputMessage="1" showErrorMessage="1" xr:uid="{00000000-0002-0000-0300-000052040000}">
          <x14:formula1>
            <xm:f>項目!C17:$MPO$65537</xm:f>
          </x14:formula1>
          <xm:sqref>MPW65541:MPW65564</xm:sqref>
        </x14:dataValidation>
        <x14:dataValidation type="list" allowBlank="1" showInputMessage="1" showErrorMessage="1" xr:uid="{00000000-0002-0000-0300-000053040000}">
          <x14:formula1>
            <xm:f>項目!C17:$MZK$65537</xm:f>
          </x14:formula1>
          <xm:sqref>MZS65541:MZS65564</xm:sqref>
        </x14:dataValidation>
        <x14:dataValidation type="list" allowBlank="1" showInputMessage="1" showErrorMessage="1" xr:uid="{00000000-0002-0000-0300-000054040000}">
          <x14:formula1>
            <xm:f>項目!C17:$NJG$65537</xm:f>
          </x14:formula1>
          <xm:sqref>NJO65541:NJO65564</xm:sqref>
        </x14:dataValidation>
        <x14:dataValidation type="list" allowBlank="1" showInputMessage="1" showErrorMessage="1" xr:uid="{00000000-0002-0000-0300-000055040000}">
          <x14:formula1>
            <xm:f>項目!C17:$NTC$65537</xm:f>
          </x14:formula1>
          <xm:sqref>NTK65541:NTK65564</xm:sqref>
        </x14:dataValidation>
        <x14:dataValidation type="list" allowBlank="1" showInputMessage="1" showErrorMessage="1" xr:uid="{00000000-0002-0000-0300-000056040000}">
          <x14:formula1>
            <xm:f>項目!C17:$OCY$65537</xm:f>
          </x14:formula1>
          <xm:sqref>ODG65541:ODG65564</xm:sqref>
        </x14:dataValidation>
        <x14:dataValidation type="list" allowBlank="1" showInputMessage="1" showErrorMessage="1" xr:uid="{00000000-0002-0000-0300-000057040000}">
          <x14:formula1>
            <xm:f>項目!C17:$OMU$65537</xm:f>
          </x14:formula1>
          <xm:sqref>ONC65541:ONC65564</xm:sqref>
        </x14:dataValidation>
        <x14:dataValidation type="list" allowBlank="1" showInputMessage="1" showErrorMessage="1" xr:uid="{00000000-0002-0000-0300-000058040000}">
          <x14:formula1>
            <xm:f>項目!C17:$OWQ$65537</xm:f>
          </x14:formula1>
          <xm:sqref>OWY65541:OWY65564</xm:sqref>
        </x14:dataValidation>
        <x14:dataValidation type="list" allowBlank="1" showInputMessage="1" showErrorMessage="1" xr:uid="{00000000-0002-0000-0300-000059040000}">
          <x14:formula1>
            <xm:f>項目!C17:$PGM$65537</xm:f>
          </x14:formula1>
          <xm:sqref>PGU65541:PGU65564</xm:sqref>
        </x14:dataValidation>
        <x14:dataValidation type="list" allowBlank="1" showInputMessage="1" showErrorMessage="1" xr:uid="{00000000-0002-0000-0300-00005A040000}">
          <x14:formula1>
            <xm:f>項目!C17:$PQI$65537</xm:f>
          </x14:formula1>
          <xm:sqref>PQQ65541:PQQ65564</xm:sqref>
        </x14:dataValidation>
        <x14:dataValidation type="list" allowBlank="1" showInputMessage="1" showErrorMessage="1" xr:uid="{00000000-0002-0000-0300-00005B040000}">
          <x14:formula1>
            <xm:f>項目!C17:$QAE$65537</xm:f>
          </x14:formula1>
          <xm:sqref>QAM65541:QAM65564</xm:sqref>
        </x14:dataValidation>
        <x14:dataValidation type="list" allowBlank="1" showInputMessage="1" showErrorMessage="1" xr:uid="{00000000-0002-0000-0300-00005C040000}">
          <x14:formula1>
            <xm:f>項目!C17:$QKA$65537</xm:f>
          </x14:formula1>
          <xm:sqref>QKI65541:QKI65564</xm:sqref>
        </x14:dataValidation>
        <x14:dataValidation type="list" allowBlank="1" showInputMessage="1" showErrorMessage="1" xr:uid="{00000000-0002-0000-0300-00005D040000}">
          <x14:formula1>
            <xm:f>項目!C17:$QTW$65537</xm:f>
          </x14:formula1>
          <xm:sqref>QUE65541:QUE65564</xm:sqref>
        </x14:dataValidation>
        <x14:dataValidation type="list" allowBlank="1" showInputMessage="1" showErrorMessage="1" xr:uid="{00000000-0002-0000-0300-00005E040000}">
          <x14:formula1>
            <xm:f>項目!C17:$RDS$65537</xm:f>
          </x14:formula1>
          <xm:sqref>REA65541:REA65564</xm:sqref>
        </x14:dataValidation>
        <x14:dataValidation type="list" allowBlank="1" showInputMessage="1" showErrorMessage="1" xr:uid="{00000000-0002-0000-0300-00005F040000}">
          <x14:formula1>
            <xm:f>項目!C17:$RNO$65537</xm:f>
          </x14:formula1>
          <xm:sqref>RNW65541:RNW65564</xm:sqref>
        </x14:dataValidation>
        <x14:dataValidation type="list" allowBlank="1" showInputMessage="1" showErrorMessage="1" xr:uid="{00000000-0002-0000-0300-000060040000}">
          <x14:formula1>
            <xm:f>項目!C17:$RXK$65537</xm:f>
          </x14:formula1>
          <xm:sqref>RXS65541:RXS65564</xm:sqref>
        </x14:dataValidation>
        <x14:dataValidation type="list" allowBlank="1" showInputMessage="1" showErrorMessage="1" xr:uid="{00000000-0002-0000-0300-000061040000}">
          <x14:formula1>
            <xm:f>項目!C17:$SHG$65537</xm:f>
          </x14:formula1>
          <xm:sqref>SHO65541:SHO65564</xm:sqref>
        </x14:dataValidation>
        <x14:dataValidation type="list" allowBlank="1" showInputMessage="1" showErrorMessage="1" xr:uid="{00000000-0002-0000-0300-000062040000}">
          <x14:formula1>
            <xm:f>項目!C17:$SRC$65537</xm:f>
          </x14:formula1>
          <xm:sqref>SRK65541:SRK65564</xm:sqref>
        </x14:dataValidation>
        <x14:dataValidation type="list" allowBlank="1" showInputMessage="1" showErrorMessage="1" xr:uid="{00000000-0002-0000-0300-000063040000}">
          <x14:formula1>
            <xm:f>項目!C17:$TAY$65537</xm:f>
          </x14:formula1>
          <xm:sqref>TBG65541:TBG65564</xm:sqref>
        </x14:dataValidation>
        <x14:dataValidation type="list" allowBlank="1" showInputMessage="1" showErrorMessage="1" xr:uid="{00000000-0002-0000-0300-000064040000}">
          <x14:formula1>
            <xm:f>項目!C17:$TKU$65537</xm:f>
          </x14:formula1>
          <xm:sqref>TLC65541:TLC65564</xm:sqref>
        </x14:dataValidation>
        <x14:dataValidation type="list" allowBlank="1" showInputMessage="1" showErrorMessage="1" xr:uid="{00000000-0002-0000-0300-000065040000}">
          <x14:formula1>
            <xm:f>項目!C17:$TUQ$65537</xm:f>
          </x14:formula1>
          <xm:sqref>TUY65541:TUY65564</xm:sqref>
        </x14:dataValidation>
        <x14:dataValidation type="list" allowBlank="1" showInputMessage="1" showErrorMessage="1" xr:uid="{00000000-0002-0000-0300-000066040000}">
          <x14:formula1>
            <xm:f>項目!C17:$UEM$65537</xm:f>
          </x14:formula1>
          <xm:sqref>UEU65541:UEU65564</xm:sqref>
        </x14:dataValidation>
        <x14:dataValidation type="list" allowBlank="1" showInputMessage="1" showErrorMessage="1" xr:uid="{00000000-0002-0000-0300-000067040000}">
          <x14:formula1>
            <xm:f>項目!C17:$UOI$65537</xm:f>
          </x14:formula1>
          <xm:sqref>UOQ65541:UOQ65564</xm:sqref>
        </x14:dataValidation>
        <x14:dataValidation type="list" allowBlank="1" showInputMessage="1" showErrorMessage="1" xr:uid="{00000000-0002-0000-0300-000068040000}">
          <x14:formula1>
            <xm:f>項目!C17:$UYE$65537</xm:f>
          </x14:formula1>
          <xm:sqref>UYM65541:UYM65564</xm:sqref>
        </x14:dataValidation>
        <x14:dataValidation type="list" allowBlank="1" showInputMessage="1" showErrorMessage="1" xr:uid="{00000000-0002-0000-0300-000069040000}">
          <x14:formula1>
            <xm:f>項目!C17:$VIA$65537</xm:f>
          </x14:formula1>
          <xm:sqref>VII65541:VII65564</xm:sqref>
        </x14:dataValidation>
        <x14:dataValidation type="list" allowBlank="1" showInputMessage="1" showErrorMessage="1" xr:uid="{00000000-0002-0000-0300-00006A040000}">
          <x14:formula1>
            <xm:f>項目!C17:$VRW$65537</xm:f>
          </x14:formula1>
          <xm:sqref>VSE65541:VSE65564</xm:sqref>
        </x14:dataValidation>
        <x14:dataValidation type="list" allowBlank="1" showInputMessage="1" showErrorMessage="1" xr:uid="{00000000-0002-0000-0300-00006B040000}">
          <x14:formula1>
            <xm:f>項目!C17:$WBS$65537</xm:f>
          </x14:formula1>
          <xm:sqref>WCA65541:WCA65564</xm:sqref>
        </x14:dataValidation>
        <x14:dataValidation type="list" allowBlank="1" showInputMessage="1" showErrorMessage="1" xr:uid="{00000000-0002-0000-0300-00006C040000}">
          <x14:formula1>
            <xm:f>項目!C17:$WLO$65537</xm:f>
          </x14:formula1>
          <xm:sqref>WLW65541:WLW65564</xm:sqref>
        </x14:dataValidation>
        <x14:dataValidation type="list" allowBlank="1" showInputMessage="1" showErrorMessage="1" xr:uid="{00000000-0002-0000-0300-00006D040000}">
          <x14:formula1>
            <xm:f>項目!C17:$WVK$65537</xm:f>
          </x14:formula1>
          <xm:sqref>WVS65541:WVS65564</xm:sqref>
        </x14:dataValidation>
        <x14:dataValidation type="list" allowBlank="1" showInputMessage="1" showErrorMessage="1" xr:uid="{00000000-0002-0000-0300-00006E040000}">
          <x14:formula1>
            <xm:f>項目!C17:$IY$131073</xm:f>
          </x14:formula1>
          <xm:sqref>JG131077:JG131100</xm:sqref>
        </x14:dataValidation>
        <x14:dataValidation type="list" allowBlank="1" showInputMessage="1" showErrorMessage="1" xr:uid="{00000000-0002-0000-0300-00006F040000}">
          <x14:formula1>
            <xm:f>項目!C17:$SU$131073</xm:f>
          </x14:formula1>
          <xm:sqref>TC131077:TC131100</xm:sqref>
        </x14:dataValidation>
        <x14:dataValidation type="list" allowBlank="1" showInputMessage="1" showErrorMessage="1" xr:uid="{00000000-0002-0000-0300-000070040000}">
          <x14:formula1>
            <xm:f>項目!C17:$ACQ$131073</xm:f>
          </x14:formula1>
          <xm:sqref>ACY131077:ACY131100</xm:sqref>
        </x14:dataValidation>
        <x14:dataValidation type="list" allowBlank="1" showInputMessage="1" showErrorMessage="1" xr:uid="{00000000-0002-0000-0300-000071040000}">
          <x14:formula1>
            <xm:f>項目!C17:$AMM$131073</xm:f>
          </x14:formula1>
          <xm:sqref>AMU131077:AMU131100</xm:sqref>
        </x14:dataValidation>
        <x14:dataValidation type="list" allowBlank="1" showInputMessage="1" showErrorMessage="1" xr:uid="{00000000-0002-0000-0300-000072040000}">
          <x14:formula1>
            <xm:f>項目!C17:$AWI$131073</xm:f>
          </x14:formula1>
          <xm:sqref>AWQ131077:AWQ131100</xm:sqref>
        </x14:dataValidation>
        <x14:dataValidation type="list" allowBlank="1" showInputMessage="1" showErrorMessage="1" xr:uid="{00000000-0002-0000-0300-000073040000}">
          <x14:formula1>
            <xm:f>項目!C17:$BGE$131073</xm:f>
          </x14:formula1>
          <xm:sqref>BGM131077:BGM131100</xm:sqref>
        </x14:dataValidation>
        <x14:dataValidation type="list" allowBlank="1" showInputMessage="1" showErrorMessage="1" xr:uid="{00000000-0002-0000-0300-000074040000}">
          <x14:formula1>
            <xm:f>項目!C17:$BQA$131073</xm:f>
          </x14:formula1>
          <xm:sqref>BQI131077:BQI131100</xm:sqref>
        </x14:dataValidation>
        <x14:dataValidation type="list" allowBlank="1" showInputMessage="1" showErrorMessage="1" xr:uid="{00000000-0002-0000-0300-000075040000}">
          <x14:formula1>
            <xm:f>項目!C17:$BZW$131073</xm:f>
          </x14:formula1>
          <xm:sqref>CAE131077:CAE131100</xm:sqref>
        </x14:dataValidation>
        <x14:dataValidation type="list" allowBlank="1" showInputMessage="1" showErrorMessage="1" xr:uid="{00000000-0002-0000-0300-000076040000}">
          <x14:formula1>
            <xm:f>項目!C17:$CJS$131073</xm:f>
          </x14:formula1>
          <xm:sqref>CKA131077:CKA131100</xm:sqref>
        </x14:dataValidation>
        <x14:dataValidation type="list" allowBlank="1" showInputMessage="1" showErrorMessage="1" xr:uid="{00000000-0002-0000-0300-000077040000}">
          <x14:formula1>
            <xm:f>項目!C17:$CTO$131073</xm:f>
          </x14:formula1>
          <xm:sqref>CTW131077:CTW131100</xm:sqref>
        </x14:dataValidation>
        <x14:dataValidation type="list" allowBlank="1" showInputMessage="1" showErrorMessage="1" xr:uid="{00000000-0002-0000-0300-000078040000}">
          <x14:formula1>
            <xm:f>項目!C17:$DDK$131073</xm:f>
          </x14:formula1>
          <xm:sqref>DDS131077:DDS131100</xm:sqref>
        </x14:dataValidation>
        <x14:dataValidation type="list" allowBlank="1" showInputMessage="1" showErrorMessage="1" xr:uid="{00000000-0002-0000-0300-000079040000}">
          <x14:formula1>
            <xm:f>項目!C17:$DNG$131073</xm:f>
          </x14:formula1>
          <xm:sqref>DNO131077:DNO131100</xm:sqref>
        </x14:dataValidation>
        <x14:dataValidation type="list" allowBlank="1" showInputMessage="1" showErrorMessage="1" xr:uid="{00000000-0002-0000-0300-00007A040000}">
          <x14:formula1>
            <xm:f>項目!C17:$DXC$131073</xm:f>
          </x14:formula1>
          <xm:sqref>DXK131077:DXK131100</xm:sqref>
        </x14:dataValidation>
        <x14:dataValidation type="list" allowBlank="1" showInputMessage="1" showErrorMessage="1" xr:uid="{00000000-0002-0000-0300-00007B040000}">
          <x14:formula1>
            <xm:f>項目!C17:$EGY$131073</xm:f>
          </x14:formula1>
          <xm:sqref>EHG131077:EHG131100</xm:sqref>
        </x14:dataValidation>
        <x14:dataValidation type="list" allowBlank="1" showInputMessage="1" showErrorMessage="1" xr:uid="{00000000-0002-0000-0300-00007C040000}">
          <x14:formula1>
            <xm:f>項目!C17:$EQU$131073</xm:f>
          </x14:formula1>
          <xm:sqref>ERC131077:ERC131100</xm:sqref>
        </x14:dataValidation>
        <x14:dataValidation type="list" allowBlank="1" showInputMessage="1" showErrorMessage="1" xr:uid="{00000000-0002-0000-0300-00007D040000}">
          <x14:formula1>
            <xm:f>項目!C17:$FAQ$131073</xm:f>
          </x14:formula1>
          <xm:sqref>FAY131077:FAY131100</xm:sqref>
        </x14:dataValidation>
        <x14:dataValidation type="list" allowBlank="1" showInputMessage="1" showErrorMessage="1" xr:uid="{00000000-0002-0000-0300-00007E040000}">
          <x14:formula1>
            <xm:f>項目!C17:$FKM$131073</xm:f>
          </x14:formula1>
          <xm:sqref>FKU131077:FKU131100</xm:sqref>
        </x14:dataValidation>
        <x14:dataValidation type="list" allowBlank="1" showInputMessage="1" showErrorMessage="1" xr:uid="{00000000-0002-0000-0300-00007F040000}">
          <x14:formula1>
            <xm:f>項目!C17:$FUI$131073</xm:f>
          </x14:formula1>
          <xm:sqref>FUQ131077:FUQ131100</xm:sqref>
        </x14:dataValidation>
        <x14:dataValidation type="list" allowBlank="1" showInputMessage="1" showErrorMessage="1" xr:uid="{00000000-0002-0000-0300-000080040000}">
          <x14:formula1>
            <xm:f>項目!C17:$GEE$131073</xm:f>
          </x14:formula1>
          <xm:sqref>GEM131077:GEM131100</xm:sqref>
        </x14:dataValidation>
        <x14:dataValidation type="list" allowBlank="1" showInputMessage="1" showErrorMessage="1" xr:uid="{00000000-0002-0000-0300-000081040000}">
          <x14:formula1>
            <xm:f>項目!C17:$GOA$131073</xm:f>
          </x14:formula1>
          <xm:sqref>GOI131077:GOI131100</xm:sqref>
        </x14:dataValidation>
        <x14:dataValidation type="list" allowBlank="1" showInputMessage="1" showErrorMessage="1" xr:uid="{00000000-0002-0000-0300-000082040000}">
          <x14:formula1>
            <xm:f>項目!C17:$GXW$131073</xm:f>
          </x14:formula1>
          <xm:sqref>GYE131077:GYE131100</xm:sqref>
        </x14:dataValidation>
        <x14:dataValidation type="list" allowBlank="1" showInputMessage="1" showErrorMessage="1" xr:uid="{00000000-0002-0000-0300-000083040000}">
          <x14:formula1>
            <xm:f>項目!C17:$HHS$131073</xm:f>
          </x14:formula1>
          <xm:sqref>HIA131077:HIA131100</xm:sqref>
        </x14:dataValidation>
        <x14:dataValidation type="list" allowBlank="1" showInputMessage="1" showErrorMessage="1" xr:uid="{00000000-0002-0000-0300-000084040000}">
          <x14:formula1>
            <xm:f>項目!C17:$HRO$131073</xm:f>
          </x14:formula1>
          <xm:sqref>HRW131077:HRW131100</xm:sqref>
        </x14:dataValidation>
        <x14:dataValidation type="list" allowBlank="1" showInputMessage="1" showErrorMessage="1" xr:uid="{00000000-0002-0000-0300-000085040000}">
          <x14:formula1>
            <xm:f>項目!C17:$IBK$131073</xm:f>
          </x14:formula1>
          <xm:sqref>IBS131077:IBS131100</xm:sqref>
        </x14:dataValidation>
        <x14:dataValidation type="list" allowBlank="1" showInputMessage="1" showErrorMessage="1" xr:uid="{00000000-0002-0000-0300-000086040000}">
          <x14:formula1>
            <xm:f>項目!C17:$ILG$131073</xm:f>
          </x14:formula1>
          <xm:sqref>ILO131077:ILO131100</xm:sqref>
        </x14:dataValidation>
        <x14:dataValidation type="list" allowBlank="1" showInputMessage="1" showErrorMessage="1" xr:uid="{00000000-0002-0000-0300-000087040000}">
          <x14:formula1>
            <xm:f>項目!C17:$IVC$131073</xm:f>
          </x14:formula1>
          <xm:sqref>IVK131077:IVK131100</xm:sqref>
        </x14:dataValidation>
        <x14:dataValidation type="list" allowBlank="1" showInputMessage="1" showErrorMessage="1" xr:uid="{00000000-0002-0000-0300-000088040000}">
          <x14:formula1>
            <xm:f>項目!C17:$JEY$131073</xm:f>
          </x14:formula1>
          <xm:sqref>JFG131077:JFG131100</xm:sqref>
        </x14:dataValidation>
        <x14:dataValidation type="list" allowBlank="1" showInputMessage="1" showErrorMessage="1" xr:uid="{00000000-0002-0000-0300-000089040000}">
          <x14:formula1>
            <xm:f>項目!C17:$JOU$131073</xm:f>
          </x14:formula1>
          <xm:sqref>JPC131077:JPC131100</xm:sqref>
        </x14:dataValidation>
        <x14:dataValidation type="list" allowBlank="1" showInputMessage="1" showErrorMessage="1" xr:uid="{00000000-0002-0000-0300-00008A040000}">
          <x14:formula1>
            <xm:f>項目!C17:$JYQ$131073</xm:f>
          </x14:formula1>
          <xm:sqref>JYY131077:JYY131100</xm:sqref>
        </x14:dataValidation>
        <x14:dataValidation type="list" allowBlank="1" showInputMessage="1" showErrorMessage="1" xr:uid="{00000000-0002-0000-0300-00008B040000}">
          <x14:formula1>
            <xm:f>項目!C17:$KIM$131073</xm:f>
          </x14:formula1>
          <xm:sqref>KIU131077:KIU131100</xm:sqref>
        </x14:dataValidation>
        <x14:dataValidation type="list" allowBlank="1" showInputMessage="1" showErrorMessage="1" xr:uid="{00000000-0002-0000-0300-00008C040000}">
          <x14:formula1>
            <xm:f>項目!C17:$KSI$131073</xm:f>
          </x14:formula1>
          <xm:sqref>KSQ131077:KSQ131100</xm:sqref>
        </x14:dataValidation>
        <x14:dataValidation type="list" allowBlank="1" showInputMessage="1" showErrorMessage="1" xr:uid="{00000000-0002-0000-0300-00008D040000}">
          <x14:formula1>
            <xm:f>項目!C17:$LCE$131073</xm:f>
          </x14:formula1>
          <xm:sqref>LCM131077:LCM131100</xm:sqref>
        </x14:dataValidation>
        <x14:dataValidation type="list" allowBlank="1" showInputMessage="1" showErrorMessage="1" xr:uid="{00000000-0002-0000-0300-00008E040000}">
          <x14:formula1>
            <xm:f>項目!C17:$LMA$131073</xm:f>
          </x14:formula1>
          <xm:sqref>LMI131077:LMI131100</xm:sqref>
        </x14:dataValidation>
        <x14:dataValidation type="list" allowBlank="1" showInputMessage="1" showErrorMessage="1" xr:uid="{00000000-0002-0000-0300-00008F040000}">
          <x14:formula1>
            <xm:f>項目!C17:$LVW$131073</xm:f>
          </x14:formula1>
          <xm:sqref>LWE131077:LWE131100</xm:sqref>
        </x14:dataValidation>
        <x14:dataValidation type="list" allowBlank="1" showInputMessage="1" showErrorMessage="1" xr:uid="{00000000-0002-0000-0300-000090040000}">
          <x14:formula1>
            <xm:f>項目!C17:$MFS$131073</xm:f>
          </x14:formula1>
          <xm:sqref>MGA131077:MGA131100</xm:sqref>
        </x14:dataValidation>
        <x14:dataValidation type="list" allowBlank="1" showInputMessage="1" showErrorMessage="1" xr:uid="{00000000-0002-0000-0300-000091040000}">
          <x14:formula1>
            <xm:f>項目!C17:$MPO$131073</xm:f>
          </x14:formula1>
          <xm:sqref>MPW131077:MPW131100</xm:sqref>
        </x14:dataValidation>
        <x14:dataValidation type="list" allowBlank="1" showInputMessage="1" showErrorMessage="1" xr:uid="{00000000-0002-0000-0300-000092040000}">
          <x14:formula1>
            <xm:f>項目!C17:$MZK$131073</xm:f>
          </x14:formula1>
          <xm:sqref>MZS131077:MZS131100</xm:sqref>
        </x14:dataValidation>
        <x14:dataValidation type="list" allowBlank="1" showInputMessage="1" showErrorMessage="1" xr:uid="{00000000-0002-0000-0300-000093040000}">
          <x14:formula1>
            <xm:f>項目!C17:$NJG$131073</xm:f>
          </x14:formula1>
          <xm:sqref>NJO131077:NJO131100</xm:sqref>
        </x14:dataValidation>
        <x14:dataValidation type="list" allowBlank="1" showInputMessage="1" showErrorMessage="1" xr:uid="{00000000-0002-0000-0300-000094040000}">
          <x14:formula1>
            <xm:f>項目!C17:$NTC$131073</xm:f>
          </x14:formula1>
          <xm:sqref>NTK131077:NTK131100</xm:sqref>
        </x14:dataValidation>
        <x14:dataValidation type="list" allowBlank="1" showInputMessage="1" showErrorMessage="1" xr:uid="{00000000-0002-0000-0300-000095040000}">
          <x14:formula1>
            <xm:f>項目!C17:$OCY$131073</xm:f>
          </x14:formula1>
          <xm:sqref>ODG131077:ODG131100</xm:sqref>
        </x14:dataValidation>
        <x14:dataValidation type="list" allowBlank="1" showInputMessage="1" showErrorMessage="1" xr:uid="{00000000-0002-0000-0300-000096040000}">
          <x14:formula1>
            <xm:f>項目!C17:$OMU$131073</xm:f>
          </x14:formula1>
          <xm:sqref>ONC131077:ONC131100</xm:sqref>
        </x14:dataValidation>
        <x14:dataValidation type="list" allowBlank="1" showInputMessage="1" showErrorMessage="1" xr:uid="{00000000-0002-0000-0300-000097040000}">
          <x14:formula1>
            <xm:f>項目!C17:$OWQ$131073</xm:f>
          </x14:formula1>
          <xm:sqref>OWY131077:OWY131100</xm:sqref>
        </x14:dataValidation>
        <x14:dataValidation type="list" allowBlank="1" showInputMessage="1" showErrorMessage="1" xr:uid="{00000000-0002-0000-0300-000098040000}">
          <x14:formula1>
            <xm:f>項目!C17:$PGM$131073</xm:f>
          </x14:formula1>
          <xm:sqref>PGU131077:PGU131100</xm:sqref>
        </x14:dataValidation>
        <x14:dataValidation type="list" allowBlank="1" showInputMessage="1" showErrorMessage="1" xr:uid="{00000000-0002-0000-0300-000099040000}">
          <x14:formula1>
            <xm:f>項目!C17:$PQI$131073</xm:f>
          </x14:formula1>
          <xm:sqref>PQQ131077:PQQ131100</xm:sqref>
        </x14:dataValidation>
        <x14:dataValidation type="list" allowBlank="1" showInputMessage="1" showErrorMessage="1" xr:uid="{00000000-0002-0000-0300-00009A040000}">
          <x14:formula1>
            <xm:f>項目!C17:$QAE$131073</xm:f>
          </x14:formula1>
          <xm:sqref>QAM131077:QAM131100</xm:sqref>
        </x14:dataValidation>
        <x14:dataValidation type="list" allowBlank="1" showInputMessage="1" showErrorMessage="1" xr:uid="{00000000-0002-0000-0300-00009B040000}">
          <x14:formula1>
            <xm:f>項目!C17:$QKA$131073</xm:f>
          </x14:formula1>
          <xm:sqref>QKI131077:QKI131100</xm:sqref>
        </x14:dataValidation>
        <x14:dataValidation type="list" allowBlank="1" showInputMessage="1" showErrorMessage="1" xr:uid="{00000000-0002-0000-0300-00009C040000}">
          <x14:formula1>
            <xm:f>項目!C17:$QTW$131073</xm:f>
          </x14:formula1>
          <xm:sqref>QUE131077:QUE131100</xm:sqref>
        </x14:dataValidation>
        <x14:dataValidation type="list" allowBlank="1" showInputMessage="1" showErrorMessage="1" xr:uid="{00000000-0002-0000-0300-00009D040000}">
          <x14:formula1>
            <xm:f>項目!C17:$RDS$131073</xm:f>
          </x14:formula1>
          <xm:sqref>REA131077:REA131100</xm:sqref>
        </x14:dataValidation>
        <x14:dataValidation type="list" allowBlank="1" showInputMessage="1" showErrorMessage="1" xr:uid="{00000000-0002-0000-0300-00009E040000}">
          <x14:formula1>
            <xm:f>項目!C17:$RNO$131073</xm:f>
          </x14:formula1>
          <xm:sqref>RNW131077:RNW131100</xm:sqref>
        </x14:dataValidation>
        <x14:dataValidation type="list" allowBlank="1" showInputMessage="1" showErrorMessage="1" xr:uid="{00000000-0002-0000-0300-00009F040000}">
          <x14:formula1>
            <xm:f>項目!C17:$RXK$131073</xm:f>
          </x14:formula1>
          <xm:sqref>RXS131077:RXS131100</xm:sqref>
        </x14:dataValidation>
        <x14:dataValidation type="list" allowBlank="1" showInputMessage="1" showErrorMessage="1" xr:uid="{00000000-0002-0000-0300-0000A0040000}">
          <x14:formula1>
            <xm:f>項目!C17:$SHG$131073</xm:f>
          </x14:formula1>
          <xm:sqref>SHO131077:SHO131100</xm:sqref>
        </x14:dataValidation>
        <x14:dataValidation type="list" allowBlank="1" showInputMessage="1" showErrorMessage="1" xr:uid="{00000000-0002-0000-0300-0000A1040000}">
          <x14:formula1>
            <xm:f>項目!C17:$SRC$131073</xm:f>
          </x14:formula1>
          <xm:sqref>SRK131077:SRK131100</xm:sqref>
        </x14:dataValidation>
        <x14:dataValidation type="list" allowBlank="1" showInputMessage="1" showErrorMessage="1" xr:uid="{00000000-0002-0000-0300-0000A2040000}">
          <x14:formula1>
            <xm:f>項目!C17:$TAY$131073</xm:f>
          </x14:formula1>
          <xm:sqref>TBG131077:TBG131100</xm:sqref>
        </x14:dataValidation>
        <x14:dataValidation type="list" allowBlank="1" showInputMessage="1" showErrorMessage="1" xr:uid="{00000000-0002-0000-0300-0000A3040000}">
          <x14:formula1>
            <xm:f>項目!C17:$TKU$131073</xm:f>
          </x14:formula1>
          <xm:sqref>TLC131077:TLC131100</xm:sqref>
        </x14:dataValidation>
        <x14:dataValidation type="list" allowBlank="1" showInputMessage="1" showErrorMessage="1" xr:uid="{00000000-0002-0000-0300-0000A4040000}">
          <x14:formula1>
            <xm:f>項目!C17:$TUQ$131073</xm:f>
          </x14:formula1>
          <xm:sqref>TUY131077:TUY131100</xm:sqref>
        </x14:dataValidation>
        <x14:dataValidation type="list" allowBlank="1" showInputMessage="1" showErrorMessage="1" xr:uid="{00000000-0002-0000-0300-0000A5040000}">
          <x14:formula1>
            <xm:f>項目!C17:$UEM$131073</xm:f>
          </x14:formula1>
          <xm:sqref>UEU131077:UEU131100</xm:sqref>
        </x14:dataValidation>
        <x14:dataValidation type="list" allowBlank="1" showInputMessage="1" showErrorMessage="1" xr:uid="{00000000-0002-0000-0300-0000A6040000}">
          <x14:formula1>
            <xm:f>項目!C17:$UOI$131073</xm:f>
          </x14:formula1>
          <xm:sqref>UOQ131077:UOQ131100</xm:sqref>
        </x14:dataValidation>
        <x14:dataValidation type="list" allowBlank="1" showInputMessage="1" showErrorMessage="1" xr:uid="{00000000-0002-0000-0300-0000A7040000}">
          <x14:formula1>
            <xm:f>項目!C17:$UYE$131073</xm:f>
          </x14:formula1>
          <xm:sqref>UYM131077:UYM131100</xm:sqref>
        </x14:dataValidation>
        <x14:dataValidation type="list" allowBlank="1" showInputMessage="1" showErrorMessage="1" xr:uid="{00000000-0002-0000-0300-0000A8040000}">
          <x14:formula1>
            <xm:f>項目!C17:$VIA$131073</xm:f>
          </x14:formula1>
          <xm:sqref>VII131077:VII131100</xm:sqref>
        </x14:dataValidation>
        <x14:dataValidation type="list" allowBlank="1" showInputMessage="1" showErrorMessage="1" xr:uid="{00000000-0002-0000-0300-0000A9040000}">
          <x14:formula1>
            <xm:f>項目!C17:$VRW$131073</xm:f>
          </x14:formula1>
          <xm:sqref>VSE131077:VSE131100</xm:sqref>
        </x14:dataValidation>
        <x14:dataValidation type="list" allowBlank="1" showInputMessage="1" showErrorMessage="1" xr:uid="{00000000-0002-0000-0300-0000AA040000}">
          <x14:formula1>
            <xm:f>項目!C17:$WBS$131073</xm:f>
          </x14:formula1>
          <xm:sqref>WCA131077:WCA131100</xm:sqref>
        </x14:dataValidation>
        <x14:dataValidation type="list" allowBlank="1" showInputMessage="1" showErrorMessage="1" xr:uid="{00000000-0002-0000-0300-0000AB040000}">
          <x14:formula1>
            <xm:f>項目!C17:$WLO$131073</xm:f>
          </x14:formula1>
          <xm:sqref>WLW131077:WLW131100</xm:sqref>
        </x14:dataValidation>
        <x14:dataValidation type="list" allowBlank="1" showInputMessage="1" showErrorMessage="1" xr:uid="{00000000-0002-0000-0300-0000AC040000}">
          <x14:formula1>
            <xm:f>項目!C17:$WVK$131073</xm:f>
          </x14:formula1>
          <xm:sqref>WVS131077:WVS131100</xm:sqref>
        </x14:dataValidation>
        <x14:dataValidation type="list" allowBlank="1" showInputMessage="1" showErrorMessage="1" xr:uid="{00000000-0002-0000-0300-0000AD040000}">
          <x14:formula1>
            <xm:f>項目!C17:$IY$196609</xm:f>
          </x14:formula1>
          <xm:sqref>JG196613:JG196636</xm:sqref>
        </x14:dataValidation>
        <x14:dataValidation type="list" allowBlank="1" showInputMessage="1" showErrorMessage="1" xr:uid="{00000000-0002-0000-0300-0000AE040000}">
          <x14:formula1>
            <xm:f>項目!C17:$SU$196609</xm:f>
          </x14:formula1>
          <xm:sqref>TC196613:TC196636</xm:sqref>
        </x14:dataValidation>
        <x14:dataValidation type="list" allowBlank="1" showInputMessage="1" showErrorMessage="1" xr:uid="{00000000-0002-0000-0300-0000AF040000}">
          <x14:formula1>
            <xm:f>項目!C17:$ACQ$196609</xm:f>
          </x14:formula1>
          <xm:sqref>ACY196613:ACY196636</xm:sqref>
        </x14:dataValidation>
        <x14:dataValidation type="list" allowBlank="1" showInputMessage="1" showErrorMessage="1" xr:uid="{00000000-0002-0000-0300-0000B0040000}">
          <x14:formula1>
            <xm:f>項目!C17:$AMM$196609</xm:f>
          </x14:formula1>
          <xm:sqref>AMU196613:AMU196636</xm:sqref>
        </x14:dataValidation>
        <x14:dataValidation type="list" allowBlank="1" showInputMessage="1" showErrorMessage="1" xr:uid="{00000000-0002-0000-0300-0000B1040000}">
          <x14:formula1>
            <xm:f>項目!C17:$AWI$196609</xm:f>
          </x14:formula1>
          <xm:sqref>AWQ196613:AWQ196636</xm:sqref>
        </x14:dataValidation>
        <x14:dataValidation type="list" allowBlank="1" showInputMessage="1" showErrorMessage="1" xr:uid="{00000000-0002-0000-0300-0000B2040000}">
          <x14:formula1>
            <xm:f>項目!C17:$BGE$196609</xm:f>
          </x14:formula1>
          <xm:sqref>BGM196613:BGM196636</xm:sqref>
        </x14:dataValidation>
        <x14:dataValidation type="list" allowBlank="1" showInputMessage="1" showErrorMessage="1" xr:uid="{00000000-0002-0000-0300-0000B3040000}">
          <x14:formula1>
            <xm:f>項目!C17:$BQA$196609</xm:f>
          </x14:formula1>
          <xm:sqref>BQI196613:BQI196636</xm:sqref>
        </x14:dataValidation>
        <x14:dataValidation type="list" allowBlank="1" showInputMessage="1" showErrorMessage="1" xr:uid="{00000000-0002-0000-0300-0000B4040000}">
          <x14:formula1>
            <xm:f>項目!C17:$BZW$196609</xm:f>
          </x14:formula1>
          <xm:sqref>CAE196613:CAE196636</xm:sqref>
        </x14:dataValidation>
        <x14:dataValidation type="list" allowBlank="1" showInputMessage="1" showErrorMessage="1" xr:uid="{00000000-0002-0000-0300-0000B5040000}">
          <x14:formula1>
            <xm:f>項目!C17:$CJS$196609</xm:f>
          </x14:formula1>
          <xm:sqref>CKA196613:CKA196636</xm:sqref>
        </x14:dataValidation>
        <x14:dataValidation type="list" allowBlank="1" showInputMessage="1" showErrorMessage="1" xr:uid="{00000000-0002-0000-0300-0000B6040000}">
          <x14:formula1>
            <xm:f>項目!C17:$CTO$196609</xm:f>
          </x14:formula1>
          <xm:sqref>CTW196613:CTW196636</xm:sqref>
        </x14:dataValidation>
        <x14:dataValidation type="list" allowBlank="1" showInputMessage="1" showErrorMessage="1" xr:uid="{00000000-0002-0000-0300-0000B7040000}">
          <x14:formula1>
            <xm:f>項目!C17:$DDK$196609</xm:f>
          </x14:formula1>
          <xm:sqref>DDS196613:DDS196636</xm:sqref>
        </x14:dataValidation>
        <x14:dataValidation type="list" allowBlank="1" showInputMessage="1" showErrorMessage="1" xr:uid="{00000000-0002-0000-0300-0000B8040000}">
          <x14:formula1>
            <xm:f>項目!C17:$DNG$196609</xm:f>
          </x14:formula1>
          <xm:sqref>DNO196613:DNO196636</xm:sqref>
        </x14:dataValidation>
        <x14:dataValidation type="list" allowBlank="1" showInputMessage="1" showErrorMessage="1" xr:uid="{00000000-0002-0000-0300-0000B9040000}">
          <x14:formula1>
            <xm:f>項目!C17:$DXC$196609</xm:f>
          </x14:formula1>
          <xm:sqref>DXK196613:DXK196636</xm:sqref>
        </x14:dataValidation>
        <x14:dataValidation type="list" allowBlank="1" showInputMessage="1" showErrorMessage="1" xr:uid="{00000000-0002-0000-0300-0000BA040000}">
          <x14:formula1>
            <xm:f>項目!C17:$EGY$196609</xm:f>
          </x14:formula1>
          <xm:sqref>EHG196613:EHG196636</xm:sqref>
        </x14:dataValidation>
        <x14:dataValidation type="list" allowBlank="1" showInputMessage="1" showErrorMessage="1" xr:uid="{00000000-0002-0000-0300-0000BB040000}">
          <x14:formula1>
            <xm:f>項目!C17:$EQU$196609</xm:f>
          </x14:formula1>
          <xm:sqref>ERC196613:ERC196636</xm:sqref>
        </x14:dataValidation>
        <x14:dataValidation type="list" allowBlank="1" showInputMessage="1" showErrorMessage="1" xr:uid="{00000000-0002-0000-0300-0000BC040000}">
          <x14:formula1>
            <xm:f>項目!C17:$FAQ$196609</xm:f>
          </x14:formula1>
          <xm:sqref>FAY196613:FAY196636</xm:sqref>
        </x14:dataValidation>
        <x14:dataValidation type="list" allowBlank="1" showInputMessage="1" showErrorMessage="1" xr:uid="{00000000-0002-0000-0300-0000BD040000}">
          <x14:formula1>
            <xm:f>項目!C17:$FKM$196609</xm:f>
          </x14:formula1>
          <xm:sqref>FKU196613:FKU196636</xm:sqref>
        </x14:dataValidation>
        <x14:dataValidation type="list" allowBlank="1" showInputMessage="1" showErrorMessage="1" xr:uid="{00000000-0002-0000-0300-0000BE040000}">
          <x14:formula1>
            <xm:f>項目!C17:$FUI$196609</xm:f>
          </x14:formula1>
          <xm:sqref>FUQ196613:FUQ196636</xm:sqref>
        </x14:dataValidation>
        <x14:dataValidation type="list" allowBlank="1" showInputMessage="1" showErrorMessage="1" xr:uid="{00000000-0002-0000-0300-0000BF040000}">
          <x14:formula1>
            <xm:f>項目!C17:$GEE$196609</xm:f>
          </x14:formula1>
          <xm:sqref>GEM196613:GEM196636</xm:sqref>
        </x14:dataValidation>
        <x14:dataValidation type="list" allowBlank="1" showInputMessage="1" showErrorMessage="1" xr:uid="{00000000-0002-0000-0300-0000C0040000}">
          <x14:formula1>
            <xm:f>項目!C17:$GOA$196609</xm:f>
          </x14:formula1>
          <xm:sqref>GOI196613:GOI196636</xm:sqref>
        </x14:dataValidation>
        <x14:dataValidation type="list" allowBlank="1" showInputMessage="1" showErrorMessage="1" xr:uid="{00000000-0002-0000-0300-0000C1040000}">
          <x14:formula1>
            <xm:f>項目!C17:$GXW$196609</xm:f>
          </x14:formula1>
          <xm:sqref>GYE196613:GYE196636</xm:sqref>
        </x14:dataValidation>
        <x14:dataValidation type="list" allowBlank="1" showInputMessage="1" showErrorMessage="1" xr:uid="{00000000-0002-0000-0300-0000C2040000}">
          <x14:formula1>
            <xm:f>項目!C17:$HHS$196609</xm:f>
          </x14:formula1>
          <xm:sqref>HIA196613:HIA196636</xm:sqref>
        </x14:dataValidation>
        <x14:dataValidation type="list" allowBlank="1" showInputMessage="1" showErrorMessage="1" xr:uid="{00000000-0002-0000-0300-0000C3040000}">
          <x14:formula1>
            <xm:f>項目!C17:$HRO$196609</xm:f>
          </x14:formula1>
          <xm:sqref>HRW196613:HRW196636</xm:sqref>
        </x14:dataValidation>
        <x14:dataValidation type="list" allowBlank="1" showInputMessage="1" showErrorMessage="1" xr:uid="{00000000-0002-0000-0300-0000C4040000}">
          <x14:formula1>
            <xm:f>項目!C17:$IBK$196609</xm:f>
          </x14:formula1>
          <xm:sqref>IBS196613:IBS196636</xm:sqref>
        </x14:dataValidation>
        <x14:dataValidation type="list" allowBlank="1" showInputMessage="1" showErrorMessage="1" xr:uid="{00000000-0002-0000-0300-0000C5040000}">
          <x14:formula1>
            <xm:f>項目!C17:$ILG$196609</xm:f>
          </x14:formula1>
          <xm:sqref>ILO196613:ILO196636</xm:sqref>
        </x14:dataValidation>
        <x14:dataValidation type="list" allowBlank="1" showInputMessage="1" showErrorMessage="1" xr:uid="{00000000-0002-0000-0300-0000C6040000}">
          <x14:formula1>
            <xm:f>項目!C17:$IVC$196609</xm:f>
          </x14:formula1>
          <xm:sqref>IVK196613:IVK196636</xm:sqref>
        </x14:dataValidation>
        <x14:dataValidation type="list" allowBlank="1" showInputMessage="1" showErrorMessage="1" xr:uid="{00000000-0002-0000-0300-0000C7040000}">
          <x14:formula1>
            <xm:f>項目!C17:$JEY$196609</xm:f>
          </x14:formula1>
          <xm:sqref>JFG196613:JFG196636</xm:sqref>
        </x14:dataValidation>
        <x14:dataValidation type="list" allowBlank="1" showInputMessage="1" showErrorMessage="1" xr:uid="{00000000-0002-0000-0300-0000C8040000}">
          <x14:formula1>
            <xm:f>項目!C17:$JOU$196609</xm:f>
          </x14:formula1>
          <xm:sqref>JPC196613:JPC196636</xm:sqref>
        </x14:dataValidation>
        <x14:dataValidation type="list" allowBlank="1" showInputMessage="1" showErrorMessage="1" xr:uid="{00000000-0002-0000-0300-0000C9040000}">
          <x14:formula1>
            <xm:f>項目!C17:$JYQ$196609</xm:f>
          </x14:formula1>
          <xm:sqref>JYY196613:JYY196636</xm:sqref>
        </x14:dataValidation>
        <x14:dataValidation type="list" allowBlank="1" showInputMessage="1" showErrorMessage="1" xr:uid="{00000000-0002-0000-0300-0000CA040000}">
          <x14:formula1>
            <xm:f>項目!C17:$KIM$196609</xm:f>
          </x14:formula1>
          <xm:sqref>KIU196613:KIU196636</xm:sqref>
        </x14:dataValidation>
        <x14:dataValidation type="list" allowBlank="1" showInputMessage="1" showErrorMessage="1" xr:uid="{00000000-0002-0000-0300-0000CB040000}">
          <x14:formula1>
            <xm:f>項目!C17:$KSI$196609</xm:f>
          </x14:formula1>
          <xm:sqref>KSQ196613:KSQ196636</xm:sqref>
        </x14:dataValidation>
        <x14:dataValidation type="list" allowBlank="1" showInputMessage="1" showErrorMessage="1" xr:uid="{00000000-0002-0000-0300-0000CC040000}">
          <x14:formula1>
            <xm:f>項目!C17:$LCE$196609</xm:f>
          </x14:formula1>
          <xm:sqref>LCM196613:LCM196636</xm:sqref>
        </x14:dataValidation>
        <x14:dataValidation type="list" allowBlank="1" showInputMessage="1" showErrorMessage="1" xr:uid="{00000000-0002-0000-0300-0000CD040000}">
          <x14:formula1>
            <xm:f>項目!C17:$LMA$196609</xm:f>
          </x14:formula1>
          <xm:sqref>LMI196613:LMI196636</xm:sqref>
        </x14:dataValidation>
        <x14:dataValidation type="list" allowBlank="1" showInputMessage="1" showErrorMessage="1" xr:uid="{00000000-0002-0000-0300-0000CE040000}">
          <x14:formula1>
            <xm:f>項目!C17:$LVW$196609</xm:f>
          </x14:formula1>
          <xm:sqref>LWE196613:LWE196636</xm:sqref>
        </x14:dataValidation>
        <x14:dataValidation type="list" allowBlank="1" showInputMessage="1" showErrorMessage="1" xr:uid="{00000000-0002-0000-0300-0000CF040000}">
          <x14:formula1>
            <xm:f>項目!C17:$MFS$196609</xm:f>
          </x14:formula1>
          <xm:sqref>MGA196613:MGA196636</xm:sqref>
        </x14:dataValidation>
        <x14:dataValidation type="list" allowBlank="1" showInputMessage="1" showErrorMessage="1" xr:uid="{00000000-0002-0000-0300-0000D0040000}">
          <x14:formula1>
            <xm:f>項目!C17:$MPO$196609</xm:f>
          </x14:formula1>
          <xm:sqref>MPW196613:MPW196636</xm:sqref>
        </x14:dataValidation>
        <x14:dataValidation type="list" allowBlank="1" showInputMessage="1" showErrorMessage="1" xr:uid="{00000000-0002-0000-0300-0000D1040000}">
          <x14:formula1>
            <xm:f>項目!C17:$MZK$196609</xm:f>
          </x14:formula1>
          <xm:sqref>MZS196613:MZS196636</xm:sqref>
        </x14:dataValidation>
        <x14:dataValidation type="list" allowBlank="1" showInputMessage="1" showErrorMessage="1" xr:uid="{00000000-0002-0000-0300-0000D2040000}">
          <x14:formula1>
            <xm:f>項目!C17:$NJG$196609</xm:f>
          </x14:formula1>
          <xm:sqref>NJO196613:NJO196636</xm:sqref>
        </x14:dataValidation>
        <x14:dataValidation type="list" allowBlank="1" showInputMessage="1" showErrorMessage="1" xr:uid="{00000000-0002-0000-0300-0000D3040000}">
          <x14:formula1>
            <xm:f>項目!C17:$NTC$196609</xm:f>
          </x14:formula1>
          <xm:sqref>NTK196613:NTK196636</xm:sqref>
        </x14:dataValidation>
        <x14:dataValidation type="list" allowBlank="1" showInputMessage="1" showErrorMessage="1" xr:uid="{00000000-0002-0000-0300-0000D4040000}">
          <x14:formula1>
            <xm:f>項目!C17:$OCY$196609</xm:f>
          </x14:formula1>
          <xm:sqref>ODG196613:ODG196636</xm:sqref>
        </x14:dataValidation>
        <x14:dataValidation type="list" allowBlank="1" showInputMessage="1" showErrorMessage="1" xr:uid="{00000000-0002-0000-0300-0000D5040000}">
          <x14:formula1>
            <xm:f>項目!C17:$OMU$196609</xm:f>
          </x14:formula1>
          <xm:sqref>ONC196613:ONC196636</xm:sqref>
        </x14:dataValidation>
        <x14:dataValidation type="list" allowBlank="1" showInputMessage="1" showErrorMessage="1" xr:uid="{00000000-0002-0000-0300-0000D6040000}">
          <x14:formula1>
            <xm:f>項目!C17:$OWQ$196609</xm:f>
          </x14:formula1>
          <xm:sqref>OWY196613:OWY196636</xm:sqref>
        </x14:dataValidation>
        <x14:dataValidation type="list" allowBlank="1" showInputMessage="1" showErrorMessage="1" xr:uid="{00000000-0002-0000-0300-0000D7040000}">
          <x14:formula1>
            <xm:f>項目!C17:$PGM$196609</xm:f>
          </x14:formula1>
          <xm:sqref>PGU196613:PGU196636</xm:sqref>
        </x14:dataValidation>
        <x14:dataValidation type="list" allowBlank="1" showInputMessage="1" showErrorMessage="1" xr:uid="{00000000-0002-0000-0300-0000D8040000}">
          <x14:formula1>
            <xm:f>項目!C17:$PQI$196609</xm:f>
          </x14:formula1>
          <xm:sqref>PQQ196613:PQQ196636</xm:sqref>
        </x14:dataValidation>
        <x14:dataValidation type="list" allowBlank="1" showInputMessage="1" showErrorMessage="1" xr:uid="{00000000-0002-0000-0300-0000D9040000}">
          <x14:formula1>
            <xm:f>項目!C17:$QAE$196609</xm:f>
          </x14:formula1>
          <xm:sqref>QAM196613:QAM196636</xm:sqref>
        </x14:dataValidation>
        <x14:dataValidation type="list" allowBlank="1" showInputMessage="1" showErrorMessage="1" xr:uid="{00000000-0002-0000-0300-0000DA040000}">
          <x14:formula1>
            <xm:f>項目!C17:$QKA$196609</xm:f>
          </x14:formula1>
          <xm:sqref>QKI196613:QKI196636</xm:sqref>
        </x14:dataValidation>
        <x14:dataValidation type="list" allowBlank="1" showInputMessage="1" showErrorMessage="1" xr:uid="{00000000-0002-0000-0300-0000DB040000}">
          <x14:formula1>
            <xm:f>項目!C17:$QTW$196609</xm:f>
          </x14:formula1>
          <xm:sqref>QUE196613:QUE196636</xm:sqref>
        </x14:dataValidation>
        <x14:dataValidation type="list" allowBlank="1" showInputMessage="1" showErrorMessage="1" xr:uid="{00000000-0002-0000-0300-0000DC040000}">
          <x14:formula1>
            <xm:f>項目!C17:$RDS$196609</xm:f>
          </x14:formula1>
          <xm:sqref>REA196613:REA196636</xm:sqref>
        </x14:dataValidation>
        <x14:dataValidation type="list" allowBlank="1" showInputMessage="1" showErrorMessage="1" xr:uid="{00000000-0002-0000-0300-0000DD040000}">
          <x14:formula1>
            <xm:f>項目!C17:$RNO$196609</xm:f>
          </x14:formula1>
          <xm:sqref>RNW196613:RNW196636</xm:sqref>
        </x14:dataValidation>
        <x14:dataValidation type="list" allowBlank="1" showInputMessage="1" showErrorMessage="1" xr:uid="{00000000-0002-0000-0300-0000DE040000}">
          <x14:formula1>
            <xm:f>項目!C17:$RXK$196609</xm:f>
          </x14:formula1>
          <xm:sqref>RXS196613:RXS196636</xm:sqref>
        </x14:dataValidation>
        <x14:dataValidation type="list" allowBlank="1" showInputMessage="1" showErrorMessage="1" xr:uid="{00000000-0002-0000-0300-0000DF040000}">
          <x14:formula1>
            <xm:f>項目!C17:$SHG$196609</xm:f>
          </x14:formula1>
          <xm:sqref>SHO196613:SHO196636</xm:sqref>
        </x14:dataValidation>
        <x14:dataValidation type="list" allowBlank="1" showInputMessage="1" showErrorMessage="1" xr:uid="{00000000-0002-0000-0300-0000E0040000}">
          <x14:formula1>
            <xm:f>項目!C17:$SRC$196609</xm:f>
          </x14:formula1>
          <xm:sqref>SRK196613:SRK196636</xm:sqref>
        </x14:dataValidation>
        <x14:dataValidation type="list" allowBlank="1" showInputMessage="1" showErrorMessage="1" xr:uid="{00000000-0002-0000-0300-0000E1040000}">
          <x14:formula1>
            <xm:f>項目!C17:$TAY$196609</xm:f>
          </x14:formula1>
          <xm:sqref>TBG196613:TBG196636</xm:sqref>
        </x14:dataValidation>
        <x14:dataValidation type="list" allowBlank="1" showInputMessage="1" showErrorMessage="1" xr:uid="{00000000-0002-0000-0300-0000E2040000}">
          <x14:formula1>
            <xm:f>項目!C17:$TKU$196609</xm:f>
          </x14:formula1>
          <xm:sqref>TLC196613:TLC196636</xm:sqref>
        </x14:dataValidation>
        <x14:dataValidation type="list" allowBlank="1" showInputMessage="1" showErrorMessage="1" xr:uid="{00000000-0002-0000-0300-0000E3040000}">
          <x14:formula1>
            <xm:f>項目!C17:$TUQ$196609</xm:f>
          </x14:formula1>
          <xm:sqref>TUY196613:TUY196636</xm:sqref>
        </x14:dataValidation>
        <x14:dataValidation type="list" allowBlank="1" showInputMessage="1" showErrorMessage="1" xr:uid="{00000000-0002-0000-0300-0000E4040000}">
          <x14:formula1>
            <xm:f>項目!C17:$UEM$196609</xm:f>
          </x14:formula1>
          <xm:sqref>UEU196613:UEU196636</xm:sqref>
        </x14:dataValidation>
        <x14:dataValidation type="list" allowBlank="1" showInputMessage="1" showErrorMessage="1" xr:uid="{00000000-0002-0000-0300-0000E5040000}">
          <x14:formula1>
            <xm:f>項目!C17:$UOI$196609</xm:f>
          </x14:formula1>
          <xm:sqref>UOQ196613:UOQ196636</xm:sqref>
        </x14:dataValidation>
        <x14:dataValidation type="list" allowBlank="1" showInputMessage="1" showErrorMessage="1" xr:uid="{00000000-0002-0000-0300-0000E6040000}">
          <x14:formula1>
            <xm:f>項目!C17:$UYE$196609</xm:f>
          </x14:formula1>
          <xm:sqref>UYM196613:UYM196636</xm:sqref>
        </x14:dataValidation>
        <x14:dataValidation type="list" allowBlank="1" showInputMessage="1" showErrorMessage="1" xr:uid="{00000000-0002-0000-0300-0000E7040000}">
          <x14:formula1>
            <xm:f>項目!C17:$VIA$196609</xm:f>
          </x14:formula1>
          <xm:sqref>VII196613:VII196636</xm:sqref>
        </x14:dataValidation>
        <x14:dataValidation type="list" allowBlank="1" showInputMessage="1" showErrorMessage="1" xr:uid="{00000000-0002-0000-0300-0000E8040000}">
          <x14:formula1>
            <xm:f>項目!C17:$VRW$196609</xm:f>
          </x14:formula1>
          <xm:sqref>VSE196613:VSE196636</xm:sqref>
        </x14:dataValidation>
        <x14:dataValidation type="list" allowBlank="1" showInputMessage="1" showErrorMessage="1" xr:uid="{00000000-0002-0000-0300-0000E9040000}">
          <x14:formula1>
            <xm:f>項目!C17:$WBS$196609</xm:f>
          </x14:formula1>
          <xm:sqref>WCA196613:WCA196636</xm:sqref>
        </x14:dataValidation>
        <x14:dataValidation type="list" allowBlank="1" showInputMessage="1" showErrorMessage="1" xr:uid="{00000000-0002-0000-0300-0000EA040000}">
          <x14:formula1>
            <xm:f>項目!C17:$WLO$196609</xm:f>
          </x14:formula1>
          <xm:sqref>WLW196613:WLW196636</xm:sqref>
        </x14:dataValidation>
        <x14:dataValidation type="list" allowBlank="1" showInputMessage="1" showErrorMessage="1" xr:uid="{00000000-0002-0000-0300-0000EB040000}">
          <x14:formula1>
            <xm:f>項目!C17:$WVK$196609</xm:f>
          </x14:formula1>
          <xm:sqref>WVS196613:WVS196636</xm:sqref>
        </x14:dataValidation>
        <x14:dataValidation type="list" allowBlank="1" showInputMessage="1" showErrorMessage="1" xr:uid="{00000000-0002-0000-0300-0000EC040000}">
          <x14:formula1>
            <xm:f>項目!C17:$IY$262145</xm:f>
          </x14:formula1>
          <xm:sqref>JG262149:JG262172</xm:sqref>
        </x14:dataValidation>
        <x14:dataValidation type="list" allowBlank="1" showInputMessage="1" showErrorMessage="1" xr:uid="{00000000-0002-0000-0300-0000ED040000}">
          <x14:formula1>
            <xm:f>項目!C17:$SU$262145</xm:f>
          </x14:formula1>
          <xm:sqref>TC262149:TC262172</xm:sqref>
        </x14:dataValidation>
        <x14:dataValidation type="list" allowBlank="1" showInputMessage="1" showErrorMessage="1" xr:uid="{00000000-0002-0000-0300-0000EE040000}">
          <x14:formula1>
            <xm:f>項目!C17:$ACQ$262145</xm:f>
          </x14:formula1>
          <xm:sqref>ACY262149:ACY262172</xm:sqref>
        </x14:dataValidation>
        <x14:dataValidation type="list" allowBlank="1" showInputMessage="1" showErrorMessage="1" xr:uid="{00000000-0002-0000-0300-0000EF040000}">
          <x14:formula1>
            <xm:f>項目!C17:$AMM$262145</xm:f>
          </x14:formula1>
          <xm:sqref>AMU262149:AMU262172</xm:sqref>
        </x14:dataValidation>
        <x14:dataValidation type="list" allowBlank="1" showInputMessage="1" showErrorMessage="1" xr:uid="{00000000-0002-0000-0300-0000F0040000}">
          <x14:formula1>
            <xm:f>項目!C17:$AWI$262145</xm:f>
          </x14:formula1>
          <xm:sqref>AWQ262149:AWQ262172</xm:sqref>
        </x14:dataValidation>
        <x14:dataValidation type="list" allowBlank="1" showInputMessage="1" showErrorMessage="1" xr:uid="{00000000-0002-0000-0300-0000F1040000}">
          <x14:formula1>
            <xm:f>項目!C17:$BGE$262145</xm:f>
          </x14:formula1>
          <xm:sqref>BGM262149:BGM262172</xm:sqref>
        </x14:dataValidation>
        <x14:dataValidation type="list" allowBlank="1" showInputMessage="1" showErrorMessage="1" xr:uid="{00000000-0002-0000-0300-0000F2040000}">
          <x14:formula1>
            <xm:f>項目!C17:$BQA$262145</xm:f>
          </x14:formula1>
          <xm:sqref>BQI262149:BQI262172</xm:sqref>
        </x14:dataValidation>
        <x14:dataValidation type="list" allowBlank="1" showInputMessage="1" showErrorMessage="1" xr:uid="{00000000-0002-0000-0300-0000F3040000}">
          <x14:formula1>
            <xm:f>項目!C17:$BZW$262145</xm:f>
          </x14:formula1>
          <xm:sqref>CAE262149:CAE262172</xm:sqref>
        </x14:dataValidation>
        <x14:dataValidation type="list" allowBlank="1" showInputMessage="1" showErrorMessage="1" xr:uid="{00000000-0002-0000-0300-0000F4040000}">
          <x14:formula1>
            <xm:f>項目!C17:$CJS$262145</xm:f>
          </x14:formula1>
          <xm:sqref>CKA262149:CKA262172</xm:sqref>
        </x14:dataValidation>
        <x14:dataValidation type="list" allowBlank="1" showInputMessage="1" showErrorMessage="1" xr:uid="{00000000-0002-0000-0300-0000F5040000}">
          <x14:formula1>
            <xm:f>項目!C17:$CTO$262145</xm:f>
          </x14:formula1>
          <xm:sqref>CTW262149:CTW262172</xm:sqref>
        </x14:dataValidation>
        <x14:dataValidation type="list" allowBlank="1" showInputMessage="1" showErrorMessage="1" xr:uid="{00000000-0002-0000-0300-0000F6040000}">
          <x14:formula1>
            <xm:f>項目!C17:$DDK$262145</xm:f>
          </x14:formula1>
          <xm:sqref>DDS262149:DDS262172</xm:sqref>
        </x14:dataValidation>
        <x14:dataValidation type="list" allowBlank="1" showInputMessage="1" showErrorMessage="1" xr:uid="{00000000-0002-0000-0300-0000F7040000}">
          <x14:formula1>
            <xm:f>項目!C17:$DNG$262145</xm:f>
          </x14:formula1>
          <xm:sqref>DNO262149:DNO262172</xm:sqref>
        </x14:dataValidation>
        <x14:dataValidation type="list" allowBlank="1" showInputMessage="1" showErrorMessage="1" xr:uid="{00000000-0002-0000-0300-0000F8040000}">
          <x14:formula1>
            <xm:f>項目!C17:$DXC$262145</xm:f>
          </x14:formula1>
          <xm:sqref>DXK262149:DXK262172</xm:sqref>
        </x14:dataValidation>
        <x14:dataValidation type="list" allowBlank="1" showInputMessage="1" showErrorMessage="1" xr:uid="{00000000-0002-0000-0300-0000F9040000}">
          <x14:formula1>
            <xm:f>項目!C17:$EGY$262145</xm:f>
          </x14:formula1>
          <xm:sqref>EHG262149:EHG262172</xm:sqref>
        </x14:dataValidation>
        <x14:dataValidation type="list" allowBlank="1" showInputMessage="1" showErrorMessage="1" xr:uid="{00000000-0002-0000-0300-0000FA040000}">
          <x14:formula1>
            <xm:f>項目!C17:$EQU$262145</xm:f>
          </x14:formula1>
          <xm:sqref>ERC262149:ERC262172</xm:sqref>
        </x14:dataValidation>
        <x14:dataValidation type="list" allowBlank="1" showInputMessage="1" showErrorMessage="1" xr:uid="{00000000-0002-0000-0300-0000FB040000}">
          <x14:formula1>
            <xm:f>項目!C17:$FAQ$262145</xm:f>
          </x14:formula1>
          <xm:sqref>FAY262149:FAY262172</xm:sqref>
        </x14:dataValidation>
        <x14:dataValidation type="list" allowBlank="1" showInputMessage="1" showErrorMessage="1" xr:uid="{00000000-0002-0000-0300-0000FC040000}">
          <x14:formula1>
            <xm:f>項目!C17:$FKM$262145</xm:f>
          </x14:formula1>
          <xm:sqref>FKU262149:FKU262172</xm:sqref>
        </x14:dataValidation>
        <x14:dataValidation type="list" allowBlank="1" showInputMessage="1" showErrorMessage="1" xr:uid="{00000000-0002-0000-0300-0000FD040000}">
          <x14:formula1>
            <xm:f>項目!C17:$FUI$262145</xm:f>
          </x14:formula1>
          <xm:sqref>FUQ262149:FUQ262172</xm:sqref>
        </x14:dataValidation>
        <x14:dataValidation type="list" allowBlank="1" showInputMessage="1" showErrorMessage="1" xr:uid="{00000000-0002-0000-0300-0000FE040000}">
          <x14:formula1>
            <xm:f>項目!C17:$GEE$262145</xm:f>
          </x14:formula1>
          <xm:sqref>GEM262149:GEM262172</xm:sqref>
        </x14:dataValidation>
        <x14:dataValidation type="list" allowBlank="1" showInputMessage="1" showErrorMessage="1" xr:uid="{00000000-0002-0000-0300-0000FF040000}">
          <x14:formula1>
            <xm:f>項目!C17:$GOA$262145</xm:f>
          </x14:formula1>
          <xm:sqref>GOI262149:GOI262172</xm:sqref>
        </x14:dataValidation>
        <x14:dataValidation type="list" allowBlank="1" showInputMessage="1" showErrorMessage="1" xr:uid="{00000000-0002-0000-0300-000000050000}">
          <x14:formula1>
            <xm:f>項目!C17:$GXW$262145</xm:f>
          </x14:formula1>
          <xm:sqref>GYE262149:GYE262172</xm:sqref>
        </x14:dataValidation>
        <x14:dataValidation type="list" allowBlank="1" showInputMessage="1" showErrorMessage="1" xr:uid="{00000000-0002-0000-0300-000001050000}">
          <x14:formula1>
            <xm:f>項目!C17:$HHS$262145</xm:f>
          </x14:formula1>
          <xm:sqref>HIA262149:HIA262172</xm:sqref>
        </x14:dataValidation>
        <x14:dataValidation type="list" allowBlank="1" showInputMessage="1" showErrorMessage="1" xr:uid="{00000000-0002-0000-0300-000002050000}">
          <x14:formula1>
            <xm:f>項目!C17:$HRO$262145</xm:f>
          </x14:formula1>
          <xm:sqref>HRW262149:HRW262172</xm:sqref>
        </x14:dataValidation>
        <x14:dataValidation type="list" allowBlank="1" showInputMessage="1" showErrorMessage="1" xr:uid="{00000000-0002-0000-0300-000003050000}">
          <x14:formula1>
            <xm:f>項目!C17:$IBK$262145</xm:f>
          </x14:formula1>
          <xm:sqref>IBS262149:IBS262172</xm:sqref>
        </x14:dataValidation>
        <x14:dataValidation type="list" allowBlank="1" showInputMessage="1" showErrorMessage="1" xr:uid="{00000000-0002-0000-0300-000004050000}">
          <x14:formula1>
            <xm:f>項目!C17:$ILG$262145</xm:f>
          </x14:formula1>
          <xm:sqref>ILO262149:ILO262172</xm:sqref>
        </x14:dataValidation>
        <x14:dataValidation type="list" allowBlank="1" showInputMessage="1" showErrorMessage="1" xr:uid="{00000000-0002-0000-0300-000005050000}">
          <x14:formula1>
            <xm:f>項目!C17:$IVC$262145</xm:f>
          </x14:formula1>
          <xm:sqref>IVK262149:IVK262172</xm:sqref>
        </x14:dataValidation>
        <x14:dataValidation type="list" allowBlank="1" showInputMessage="1" showErrorMessage="1" xr:uid="{00000000-0002-0000-0300-000006050000}">
          <x14:formula1>
            <xm:f>項目!C17:$JEY$262145</xm:f>
          </x14:formula1>
          <xm:sqref>JFG262149:JFG262172</xm:sqref>
        </x14:dataValidation>
        <x14:dataValidation type="list" allowBlank="1" showInputMessage="1" showErrorMessage="1" xr:uid="{00000000-0002-0000-0300-000007050000}">
          <x14:formula1>
            <xm:f>項目!C17:$JOU$262145</xm:f>
          </x14:formula1>
          <xm:sqref>JPC262149:JPC262172</xm:sqref>
        </x14:dataValidation>
        <x14:dataValidation type="list" allowBlank="1" showInputMessage="1" showErrorMessage="1" xr:uid="{00000000-0002-0000-0300-000008050000}">
          <x14:formula1>
            <xm:f>項目!C17:$JYQ$262145</xm:f>
          </x14:formula1>
          <xm:sqref>JYY262149:JYY262172</xm:sqref>
        </x14:dataValidation>
        <x14:dataValidation type="list" allowBlank="1" showInputMessage="1" showErrorMessage="1" xr:uid="{00000000-0002-0000-0300-000009050000}">
          <x14:formula1>
            <xm:f>項目!C17:$KIM$262145</xm:f>
          </x14:formula1>
          <xm:sqref>KIU262149:KIU262172</xm:sqref>
        </x14:dataValidation>
        <x14:dataValidation type="list" allowBlank="1" showInputMessage="1" showErrorMessage="1" xr:uid="{00000000-0002-0000-0300-00000A050000}">
          <x14:formula1>
            <xm:f>項目!C17:$KSI$262145</xm:f>
          </x14:formula1>
          <xm:sqref>KSQ262149:KSQ262172</xm:sqref>
        </x14:dataValidation>
        <x14:dataValidation type="list" allowBlank="1" showInputMessage="1" showErrorMessage="1" xr:uid="{00000000-0002-0000-0300-00000B050000}">
          <x14:formula1>
            <xm:f>項目!C17:$LCE$262145</xm:f>
          </x14:formula1>
          <xm:sqref>LCM262149:LCM262172</xm:sqref>
        </x14:dataValidation>
        <x14:dataValidation type="list" allowBlank="1" showInputMessage="1" showErrorMessage="1" xr:uid="{00000000-0002-0000-0300-00000C050000}">
          <x14:formula1>
            <xm:f>項目!C17:$LMA$262145</xm:f>
          </x14:formula1>
          <xm:sqref>LMI262149:LMI262172</xm:sqref>
        </x14:dataValidation>
        <x14:dataValidation type="list" allowBlank="1" showInputMessage="1" showErrorMessage="1" xr:uid="{00000000-0002-0000-0300-00000D050000}">
          <x14:formula1>
            <xm:f>項目!C17:$LVW$262145</xm:f>
          </x14:formula1>
          <xm:sqref>LWE262149:LWE262172</xm:sqref>
        </x14:dataValidation>
        <x14:dataValidation type="list" allowBlank="1" showInputMessage="1" showErrorMessage="1" xr:uid="{00000000-0002-0000-0300-00000E050000}">
          <x14:formula1>
            <xm:f>項目!C17:$MFS$262145</xm:f>
          </x14:formula1>
          <xm:sqref>MGA262149:MGA262172</xm:sqref>
        </x14:dataValidation>
        <x14:dataValidation type="list" allowBlank="1" showInputMessage="1" showErrorMessage="1" xr:uid="{00000000-0002-0000-0300-00000F050000}">
          <x14:formula1>
            <xm:f>項目!C17:$MPO$262145</xm:f>
          </x14:formula1>
          <xm:sqref>MPW262149:MPW262172</xm:sqref>
        </x14:dataValidation>
        <x14:dataValidation type="list" allowBlank="1" showInputMessage="1" showErrorMessage="1" xr:uid="{00000000-0002-0000-0300-000010050000}">
          <x14:formula1>
            <xm:f>項目!C17:$MZK$262145</xm:f>
          </x14:formula1>
          <xm:sqref>MZS262149:MZS262172</xm:sqref>
        </x14:dataValidation>
        <x14:dataValidation type="list" allowBlank="1" showInputMessage="1" showErrorMessage="1" xr:uid="{00000000-0002-0000-0300-000011050000}">
          <x14:formula1>
            <xm:f>項目!C17:$NJG$262145</xm:f>
          </x14:formula1>
          <xm:sqref>NJO262149:NJO262172</xm:sqref>
        </x14:dataValidation>
        <x14:dataValidation type="list" allowBlank="1" showInputMessage="1" showErrorMessage="1" xr:uid="{00000000-0002-0000-0300-000012050000}">
          <x14:formula1>
            <xm:f>項目!C17:$NTC$262145</xm:f>
          </x14:formula1>
          <xm:sqref>NTK262149:NTK262172</xm:sqref>
        </x14:dataValidation>
        <x14:dataValidation type="list" allowBlank="1" showInputMessage="1" showErrorMessage="1" xr:uid="{00000000-0002-0000-0300-000013050000}">
          <x14:formula1>
            <xm:f>項目!C17:$OCY$262145</xm:f>
          </x14:formula1>
          <xm:sqref>ODG262149:ODG262172</xm:sqref>
        </x14:dataValidation>
        <x14:dataValidation type="list" allowBlank="1" showInputMessage="1" showErrorMessage="1" xr:uid="{00000000-0002-0000-0300-000014050000}">
          <x14:formula1>
            <xm:f>項目!C17:$OMU$262145</xm:f>
          </x14:formula1>
          <xm:sqref>ONC262149:ONC262172</xm:sqref>
        </x14:dataValidation>
        <x14:dataValidation type="list" allowBlank="1" showInputMessage="1" showErrorMessage="1" xr:uid="{00000000-0002-0000-0300-000015050000}">
          <x14:formula1>
            <xm:f>項目!C17:$OWQ$262145</xm:f>
          </x14:formula1>
          <xm:sqref>OWY262149:OWY262172</xm:sqref>
        </x14:dataValidation>
        <x14:dataValidation type="list" allowBlank="1" showInputMessage="1" showErrorMessage="1" xr:uid="{00000000-0002-0000-0300-000016050000}">
          <x14:formula1>
            <xm:f>項目!C17:$PGM$262145</xm:f>
          </x14:formula1>
          <xm:sqref>PGU262149:PGU262172</xm:sqref>
        </x14:dataValidation>
        <x14:dataValidation type="list" allowBlank="1" showInputMessage="1" showErrorMessage="1" xr:uid="{00000000-0002-0000-0300-000017050000}">
          <x14:formula1>
            <xm:f>項目!C17:$PQI$262145</xm:f>
          </x14:formula1>
          <xm:sqref>PQQ262149:PQQ262172</xm:sqref>
        </x14:dataValidation>
        <x14:dataValidation type="list" allowBlank="1" showInputMessage="1" showErrorMessage="1" xr:uid="{00000000-0002-0000-0300-000018050000}">
          <x14:formula1>
            <xm:f>項目!C17:$QAE$262145</xm:f>
          </x14:formula1>
          <xm:sqref>QAM262149:QAM262172</xm:sqref>
        </x14:dataValidation>
        <x14:dataValidation type="list" allowBlank="1" showInputMessage="1" showErrorMessage="1" xr:uid="{00000000-0002-0000-0300-000019050000}">
          <x14:formula1>
            <xm:f>項目!C17:$QKA$262145</xm:f>
          </x14:formula1>
          <xm:sqref>QKI262149:QKI262172</xm:sqref>
        </x14:dataValidation>
        <x14:dataValidation type="list" allowBlank="1" showInputMessage="1" showErrorMessage="1" xr:uid="{00000000-0002-0000-0300-00001A050000}">
          <x14:formula1>
            <xm:f>項目!C17:$QTW$262145</xm:f>
          </x14:formula1>
          <xm:sqref>QUE262149:QUE262172</xm:sqref>
        </x14:dataValidation>
        <x14:dataValidation type="list" allowBlank="1" showInputMessage="1" showErrorMessage="1" xr:uid="{00000000-0002-0000-0300-00001B050000}">
          <x14:formula1>
            <xm:f>項目!C17:$RDS$262145</xm:f>
          </x14:formula1>
          <xm:sqref>REA262149:REA262172</xm:sqref>
        </x14:dataValidation>
        <x14:dataValidation type="list" allowBlank="1" showInputMessage="1" showErrorMessage="1" xr:uid="{00000000-0002-0000-0300-00001C050000}">
          <x14:formula1>
            <xm:f>項目!C17:$RNO$262145</xm:f>
          </x14:formula1>
          <xm:sqref>RNW262149:RNW262172</xm:sqref>
        </x14:dataValidation>
        <x14:dataValidation type="list" allowBlank="1" showInputMessage="1" showErrorMessage="1" xr:uid="{00000000-0002-0000-0300-00001D050000}">
          <x14:formula1>
            <xm:f>項目!C17:$RXK$262145</xm:f>
          </x14:formula1>
          <xm:sqref>RXS262149:RXS262172</xm:sqref>
        </x14:dataValidation>
        <x14:dataValidation type="list" allowBlank="1" showInputMessage="1" showErrorMessage="1" xr:uid="{00000000-0002-0000-0300-00001E050000}">
          <x14:formula1>
            <xm:f>項目!C17:$SHG$262145</xm:f>
          </x14:formula1>
          <xm:sqref>SHO262149:SHO262172</xm:sqref>
        </x14:dataValidation>
        <x14:dataValidation type="list" allowBlank="1" showInputMessage="1" showErrorMessage="1" xr:uid="{00000000-0002-0000-0300-00001F050000}">
          <x14:formula1>
            <xm:f>項目!C17:$SRC$262145</xm:f>
          </x14:formula1>
          <xm:sqref>SRK262149:SRK262172</xm:sqref>
        </x14:dataValidation>
        <x14:dataValidation type="list" allowBlank="1" showInputMessage="1" showErrorMessage="1" xr:uid="{00000000-0002-0000-0300-000020050000}">
          <x14:formula1>
            <xm:f>項目!C17:$TAY$262145</xm:f>
          </x14:formula1>
          <xm:sqref>TBG262149:TBG262172</xm:sqref>
        </x14:dataValidation>
        <x14:dataValidation type="list" allowBlank="1" showInputMessage="1" showErrorMessage="1" xr:uid="{00000000-0002-0000-0300-000021050000}">
          <x14:formula1>
            <xm:f>項目!C17:$TKU$262145</xm:f>
          </x14:formula1>
          <xm:sqref>TLC262149:TLC262172</xm:sqref>
        </x14:dataValidation>
        <x14:dataValidation type="list" allowBlank="1" showInputMessage="1" showErrorMessage="1" xr:uid="{00000000-0002-0000-0300-000022050000}">
          <x14:formula1>
            <xm:f>項目!C17:$TUQ$262145</xm:f>
          </x14:formula1>
          <xm:sqref>TUY262149:TUY262172</xm:sqref>
        </x14:dataValidation>
        <x14:dataValidation type="list" allowBlank="1" showInputMessage="1" showErrorMessage="1" xr:uid="{00000000-0002-0000-0300-000023050000}">
          <x14:formula1>
            <xm:f>項目!C17:$UEM$262145</xm:f>
          </x14:formula1>
          <xm:sqref>UEU262149:UEU262172</xm:sqref>
        </x14:dataValidation>
        <x14:dataValidation type="list" allowBlank="1" showInputMessage="1" showErrorMessage="1" xr:uid="{00000000-0002-0000-0300-000024050000}">
          <x14:formula1>
            <xm:f>項目!C17:$UOI$262145</xm:f>
          </x14:formula1>
          <xm:sqref>UOQ262149:UOQ262172</xm:sqref>
        </x14:dataValidation>
        <x14:dataValidation type="list" allowBlank="1" showInputMessage="1" showErrorMessage="1" xr:uid="{00000000-0002-0000-0300-000025050000}">
          <x14:formula1>
            <xm:f>項目!C17:$UYE$262145</xm:f>
          </x14:formula1>
          <xm:sqref>UYM262149:UYM262172</xm:sqref>
        </x14:dataValidation>
        <x14:dataValidation type="list" allowBlank="1" showInputMessage="1" showErrorMessage="1" xr:uid="{00000000-0002-0000-0300-000026050000}">
          <x14:formula1>
            <xm:f>項目!C17:$VIA$262145</xm:f>
          </x14:formula1>
          <xm:sqref>VII262149:VII262172</xm:sqref>
        </x14:dataValidation>
        <x14:dataValidation type="list" allowBlank="1" showInputMessage="1" showErrorMessage="1" xr:uid="{00000000-0002-0000-0300-000027050000}">
          <x14:formula1>
            <xm:f>項目!C17:$VRW$262145</xm:f>
          </x14:formula1>
          <xm:sqref>VSE262149:VSE262172</xm:sqref>
        </x14:dataValidation>
        <x14:dataValidation type="list" allowBlank="1" showInputMessage="1" showErrorMessage="1" xr:uid="{00000000-0002-0000-0300-000028050000}">
          <x14:formula1>
            <xm:f>項目!C17:$WBS$262145</xm:f>
          </x14:formula1>
          <xm:sqref>WCA262149:WCA262172</xm:sqref>
        </x14:dataValidation>
        <x14:dataValidation type="list" allowBlank="1" showInputMessage="1" showErrorMessage="1" xr:uid="{00000000-0002-0000-0300-000029050000}">
          <x14:formula1>
            <xm:f>項目!C17:$WLO$262145</xm:f>
          </x14:formula1>
          <xm:sqref>WLW262149:WLW262172</xm:sqref>
        </x14:dataValidation>
        <x14:dataValidation type="list" allowBlank="1" showInputMessage="1" showErrorMessage="1" xr:uid="{00000000-0002-0000-0300-00002A050000}">
          <x14:formula1>
            <xm:f>項目!C17:$WVK$262145</xm:f>
          </x14:formula1>
          <xm:sqref>WVS262149:WVS262172</xm:sqref>
        </x14:dataValidation>
        <x14:dataValidation type="list" allowBlank="1" showInputMessage="1" showErrorMessage="1" xr:uid="{00000000-0002-0000-0300-00002B050000}">
          <x14:formula1>
            <xm:f>項目!C17:$IY$327681</xm:f>
          </x14:formula1>
          <xm:sqref>JG327685:JG327708</xm:sqref>
        </x14:dataValidation>
        <x14:dataValidation type="list" allowBlank="1" showInputMessage="1" showErrorMessage="1" xr:uid="{00000000-0002-0000-0300-00002C050000}">
          <x14:formula1>
            <xm:f>項目!C17:$SU$327681</xm:f>
          </x14:formula1>
          <xm:sqref>TC327685:TC327708</xm:sqref>
        </x14:dataValidation>
        <x14:dataValidation type="list" allowBlank="1" showInputMessage="1" showErrorMessage="1" xr:uid="{00000000-0002-0000-0300-00002D050000}">
          <x14:formula1>
            <xm:f>項目!C17:$ACQ$327681</xm:f>
          </x14:formula1>
          <xm:sqref>ACY327685:ACY327708</xm:sqref>
        </x14:dataValidation>
        <x14:dataValidation type="list" allowBlank="1" showInputMessage="1" showErrorMessage="1" xr:uid="{00000000-0002-0000-0300-00002E050000}">
          <x14:formula1>
            <xm:f>項目!C17:$AMM$327681</xm:f>
          </x14:formula1>
          <xm:sqref>AMU327685:AMU327708</xm:sqref>
        </x14:dataValidation>
        <x14:dataValidation type="list" allowBlank="1" showInputMessage="1" showErrorMessage="1" xr:uid="{00000000-0002-0000-0300-00002F050000}">
          <x14:formula1>
            <xm:f>項目!C17:$AWI$327681</xm:f>
          </x14:formula1>
          <xm:sqref>AWQ327685:AWQ327708</xm:sqref>
        </x14:dataValidation>
        <x14:dataValidation type="list" allowBlank="1" showInputMessage="1" showErrorMessage="1" xr:uid="{00000000-0002-0000-0300-000030050000}">
          <x14:formula1>
            <xm:f>項目!C17:$BGE$327681</xm:f>
          </x14:formula1>
          <xm:sqref>BGM327685:BGM327708</xm:sqref>
        </x14:dataValidation>
        <x14:dataValidation type="list" allowBlank="1" showInputMessage="1" showErrorMessage="1" xr:uid="{00000000-0002-0000-0300-000031050000}">
          <x14:formula1>
            <xm:f>項目!C17:$BQA$327681</xm:f>
          </x14:formula1>
          <xm:sqref>BQI327685:BQI327708</xm:sqref>
        </x14:dataValidation>
        <x14:dataValidation type="list" allowBlank="1" showInputMessage="1" showErrorMessage="1" xr:uid="{00000000-0002-0000-0300-000032050000}">
          <x14:formula1>
            <xm:f>項目!C17:$BZW$327681</xm:f>
          </x14:formula1>
          <xm:sqref>CAE327685:CAE327708</xm:sqref>
        </x14:dataValidation>
        <x14:dataValidation type="list" allowBlank="1" showInputMessage="1" showErrorMessage="1" xr:uid="{00000000-0002-0000-0300-000033050000}">
          <x14:formula1>
            <xm:f>項目!C17:$CJS$327681</xm:f>
          </x14:formula1>
          <xm:sqref>CKA327685:CKA327708</xm:sqref>
        </x14:dataValidation>
        <x14:dataValidation type="list" allowBlank="1" showInputMessage="1" showErrorMessage="1" xr:uid="{00000000-0002-0000-0300-000034050000}">
          <x14:formula1>
            <xm:f>項目!C17:$CTO$327681</xm:f>
          </x14:formula1>
          <xm:sqref>CTW327685:CTW327708</xm:sqref>
        </x14:dataValidation>
        <x14:dataValidation type="list" allowBlank="1" showInputMessage="1" showErrorMessage="1" xr:uid="{00000000-0002-0000-0300-000035050000}">
          <x14:formula1>
            <xm:f>項目!C17:$DDK$327681</xm:f>
          </x14:formula1>
          <xm:sqref>DDS327685:DDS327708</xm:sqref>
        </x14:dataValidation>
        <x14:dataValidation type="list" allowBlank="1" showInputMessage="1" showErrorMessage="1" xr:uid="{00000000-0002-0000-0300-000036050000}">
          <x14:formula1>
            <xm:f>項目!C17:$DNG$327681</xm:f>
          </x14:formula1>
          <xm:sqref>DNO327685:DNO327708</xm:sqref>
        </x14:dataValidation>
        <x14:dataValidation type="list" allowBlank="1" showInputMessage="1" showErrorMessage="1" xr:uid="{00000000-0002-0000-0300-000037050000}">
          <x14:formula1>
            <xm:f>項目!C17:$DXC$327681</xm:f>
          </x14:formula1>
          <xm:sqref>DXK327685:DXK327708</xm:sqref>
        </x14:dataValidation>
        <x14:dataValidation type="list" allowBlank="1" showInputMessage="1" showErrorMessage="1" xr:uid="{00000000-0002-0000-0300-000038050000}">
          <x14:formula1>
            <xm:f>項目!C17:$EGY$327681</xm:f>
          </x14:formula1>
          <xm:sqref>EHG327685:EHG327708</xm:sqref>
        </x14:dataValidation>
        <x14:dataValidation type="list" allowBlank="1" showInputMessage="1" showErrorMessage="1" xr:uid="{00000000-0002-0000-0300-000039050000}">
          <x14:formula1>
            <xm:f>項目!C17:$EQU$327681</xm:f>
          </x14:formula1>
          <xm:sqref>ERC327685:ERC327708</xm:sqref>
        </x14:dataValidation>
        <x14:dataValidation type="list" allowBlank="1" showInputMessage="1" showErrorMessage="1" xr:uid="{00000000-0002-0000-0300-00003A050000}">
          <x14:formula1>
            <xm:f>項目!C17:$FAQ$327681</xm:f>
          </x14:formula1>
          <xm:sqref>FAY327685:FAY327708</xm:sqref>
        </x14:dataValidation>
        <x14:dataValidation type="list" allowBlank="1" showInputMessage="1" showErrorMessage="1" xr:uid="{00000000-0002-0000-0300-00003B050000}">
          <x14:formula1>
            <xm:f>項目!C17:$FKM$327681</xm:f>
          </x14:formula1>
          <xm:sqref>FKU327685:FKU327708</xm:sqref>
        </x14:dataValidation>
        <x14:dataValidation type="list" allowBlank="1" showInputMessage="1" showErrorMessage="1" xr:uid="{00000000-0002-0000-0300-00003C050000}">
          <x14:formula1>
            <xm:f>項目!C17:$FUI$327681</xm:f>
          </x14:formula1>
          <xm:sqref>FUQ327685:FUQ327708</xm:sqref>
        </x14:dataValidation>
        <x14:dataValidation type="list" allowBlank="1" showInputMessage="1" showErrorMessage="1" xr:uid="{00000000-0002-0000-0300-00003D050000}">
          <x14:formula1>
            <xm:f>項目!C17:$GEE$327681</xm:f>
          </x14:formula1>
          <xm:sqref>GEM327685:GEM327708</xm:sqref>
        </x14:dataValidation>
        <x14:dataValidation type="list" allowBlank="1" showInputMessage="1" showErrorMessage="1" xr:uid="{00000000-0002-0000-0300-00003E050000}">
          <x14:formula1>
            <xm:f>項目!C17:$GOA$327681</xm:f>
          </x14:formula1>
          <xm:sqref>GOI327685:GOI327708</xm:sqref>
        </x14:dataValidation>
        <x14:dataValidation type="list" allowBlank="1" showInputMessage="1" showErrorMessage="1" xr:uid="{00000000-0002-0000-0300-00003F050000}">
          <x14:formula1>
            <xm:f>項目!C17:$GXW$327681</xm:f>
          </x14:formula1>
          <xm:sqref>GYE327685:GYE327708</xm:sqref>
        </x14:dataValidation>
        <x14:dataValidation type="list" allowBlank="1" showInputMessage="1" showErrorMessage="1" xr:uid="{00000000-0002-0000-0300-000040050000}">
          <x14:formula1>
            <xm:f>項目!C17:$HHS$327681</xm:f>
          </x14:formula1>
          <xm:sqref>HIA327685:HIA327708</xm:sqref>
        </x14:dataValidation>
        <x14:dataValidation type="list" allowBlank="1" showInputMessage="1" showErrorMessage="1" xr:uid="{00000000-0002-0000-0300-000041050000}">
          <x14:formula1>
            <xm:f>項目!C17:$HRO$327681</xm:f>
          </x14:formula1>
          <xm:sqref>HRW327685:HRW327708</xm:sqref>
        </x14:dataValidation>
        <x14:dataValidation type="list" allowBlank="1" showInputMessage="1" showErrorMessage="1" xr:uid="{00000000-0002-0000-0300-000042050000}">
          <x14:formula1>
            <xm:f>項目!C17:$IBK$327681</xm:f>
          </x14:formula1>
          <xm:sqref>IBS327685:IBS327708</xm:sqref>
        </x14:dataValidation>
        <x14:dataValidation type="list" allowBlank="1" showInputMessage="1" showErrorMessage="1" xr:uid="{00000000-0002-0000-0300-000043050000}">
          <x14:formula1>
            <xm:f>項目!C17:$ILG$327681</xm:f>
          </x14:formula1>
          <xm:sqref>ILO327685:ILO327708</xm:sqref>
        </x14:dataValidation>
        <x14:dataValidation type="list" allowBlank="1" showInputMessage="1" showErrorMessage="1" xr:uid="{00000000-0002-0000-0300-000044050000}">
          <x14:formula1>
            <xm:f>項目!C17:$IVC$327681</xm:f>
          </x14:formula1>
          <xm:sqref>IVK327685:IVK327708</xm:sqref>
        </x14:dataValidation>
        <x14:dataValidation type="list" allowBlank="1" showInputMessage="1" showErrorMessage="1" xr:uid="{00000000-0002-0000-0300-000045050000}">
          <x14:formula1>
            <xm:f>項目!C17:$JEY$327681</xm:f>
          </x14:formula1>
          <xm:sqref>JFG327685:JFG327708</xm:sqref>
        </x14:dataValidation>
        <x14:dataValidation type="list" allowBlank="1" showInputMessage="1" showErrorMessage="1" xr:uid="{00000000-0002-0000-0300-000046050000}">
          <x14:formula1>
            <xm:f>項目!C17:$JOU$327681</xm:f>
          </x14:formula1>
          <xm:sqref>JPC327685:JPC327708</xm:sqref>
        </x14:dataValidation>
        <x14:dataValidation type="list" allowBlank="1" showInputMessage="1" showErrorMessage="1" xr:uid="{00000000-0002-0000-0300-000047050000}">
          <x14:formula1>
            <xm:f>項目!C17:$JYQ$327681</xm:f>
          </x14:formula1>
          <xm:sqref>JYY327685:JYY327708</xm:sqref>
        </x14:dataValidation>
        <x14:dataValidation type="list" allowBlank="1" showInputMessage="1" showErrorMessage="1" xr:uid="{00000000-0002-0000-0300-000048050000}">
          <x14:formula1>
            <xm:f>項目!C17:$KIM$327681</xm:f>
          </x14:formula1>
          <xm:sqref>KIU327685:KIU327708</xm:sqref>
        </x14:dataValidation>
        <x14:dataValidation type="list" allowBlank="1" showInputMessage="1" showErrorMessage="1" xr:uid="{00000000-0002-0000-0300-000049050000}">
          <x14:formula1>
            <xm:f>項目!C17:$KSI$327681</xm:f>
          </x14:formula1>
          <xm:sqref>KSQ327685:KSQ327708</xm:sqref>
        </x14:dataValidation>
        <x14:dataValidation type="list" allowBlank="1" showInputMessage="1" showErrorMessage="1" xr:uid="{00000000-0002-0000-0300-00004A050000}">
          <x14:formula1>
            <xm:f>項目!C17:$LCE$327681</xm:f>
          </x14:formula1>
          <xm:sqref>LCM327685:LCM327708</xm:sqref>
        </x14:dataValidation>
        <x14:dataValidation type="list" allowBlank="1" showInputMessage="1" showErrorMessage="1" xr:uid="{00000000-0002-0000-0300-00004B050000}">
          <x14:formula1>
            <xm:f>項目!C17:$LMA$327681</xm:f>
          </x14:formula1>
          <xm:sqref>LMI327685:LMI327708</xm:sqref>
        </x14:dataValidation>
        <x14:dataValidation type="list" allowBlank="1" showInputMessage="1" showErrorMessage="1" xr:uid="{00000000-0002-0000-0300-00004C050000}">
          <x14:formula1>
            <xm:f>項目!C17:$LVW$327681</xm:f>
          </x14:formula1>
          <xm:sqref>LWE327685:LWE327708</xm:sqref>
        </x14:dataValidation>
        <x14:dataValidation type="list" allowBlank="1" showInputMessage="1" showErrorMessage="1" xr:uid="{00000000-0002-0000-0300-00004D050000}">
          <x14:formula1>
            <xm:f>項目!C17:$MFS$327681</xm:f>
          </x14:formula1>
          <xm:sqref>MGA327685:MGA327708</xm:sqref>
        </x14:dataValidation>
        <x14:dataValidation type="list" allowBlank="1" showInputMessage="1" showErrorMessage="1" xr:uid="{00000000-0002-0000-0300-00004E050000}">
          <x14:formula1>
            <xm:f>項目!C17:$MPO$327681</xm:f>
          </x14:formula1>
          <xm:sqref>MPW327685:MPW327708</xm:sqref>
        </x14:dataValidation>
        <x14:dataValidation type="list" allowBlank="1" showInputMessage="1" showErrorMessage="1" xr:uid="{00000000-0002-0000-0300-00004F050000}">
          <x14:formula1>
            <xm:f>項目!C17:$MZK$327681</xm:f>
          </x14:formula1>
          <xm:sqref>MZS327685:MZS327708</xm:sqref>
        </x14:dataValidation>
        <x14:dataValidation type="list" allowBlank="1" showInputMessage="1" showErrorMessage="1" xr:uid="{00000000-0002-0000-0300-000050050000}">
          <x14:formula1>
            <xm:f>項目!C17:$NJG$327681</xm:f>
          </x14:formula1>
          <xm:sqref>NJO327685:NJO327708</xm:sqref>
        </x14:dataValidation>
        <x14:dataValidation type="list" allowBlank="1" showInputMessage="1" showErrorMessage="1" xr:uid="{00000000-0002-0000-0300-000051050000}">
          <x14:formula1>
            <xm:f>項目!C17:$NTC$327681</xm:f>
          </x14:formula1>
          <xm:sqref>NTK327685:NTK327708</xm:sqref>
        </x14:dataValidation>
        <x14:dataValidation type="list" allowBlank="1" showInputMessage="1" showErrorMessage="1" xr:uid="{00000000-0002-0000-0300-000052050000}">
          <x14:formula1>
            <xm:f>項目!C17:$OCY$327681</xm:f>
          </x14:formula1>
          <xm:sqref>ODG327685:ODG327708</xm:sqref>
        </x14:dataValidation>
        <x14:dataValidation type="list" allowBlank="1" showInputMessage="1" showErrorMessage="1" xr:uid="{00000000-0002-0000-0300-000053050000}">
          <x14:formula1>
            <xm:f>項目!C17:$OMU$327681</xm:f>
          </x14:formula1>
          <xm:sqref>ONC327685:ONC327708</xm:sqref>
        </x14:dataValidation>
        <x14:dataValidation type="list" allowBlank="1" showInputMessage="1" showErrorMessage="1" xr:uid="{00000000-0002-0000-0300-000054050000}">
          <x14:formula1>
            <xm:f>項目!C17:$OWQ$327681</xm:f>
          </x14:formula1>
          <xm:sqref>OWY327685:OWY327708</xm:sqref>
        </x14:dataValidation>
        <x14:dataValidation type="list" allowBlank="1" showInputMessage="1" showErrorMessage="1" xr:uid="{00000000-0002-0000-0300-000055050000}">
          <x14:formula1>
            <xm:f>項目!C17:$PGM$327681</xm:f>
          </x14:formula1>
          <xm:sqref>PGU327685:PGU327708</xm:sqref>
        </x14:dataValidation>
        <x14:dataValidation type="list" allowBlank="1" showInputMessage="1" showErrorMessage="1" xr:uid="{00000000-0002-0000-0300-000056050000}">
          <x14:formula1>
            <xm:f>項目!C17:$PQI$327681</xm:f>
          </x14:formula1>
          <xm:sqref>PQQ327685:PQQ327708</xm:sqref>
        </x14:dataValidation>
        <x14:dataValidation type="list" allowBlank="1" showInputMessage="1" showErrorMessage="1" xr:uid="{00000000-0002-0000-0300-000057050000}">
          <x14:formula1>
            <xm:f>項目!C17:$QAE$327681</xm:f>
          </x14:formula1>
          <xm:sqref>QAM327685:QAM327708</xm:sqref>
        </x14:dataValidation>
        <x14:dataValidation type="list" allowBlank="1" showInputMessage="1" showErrorMessage="1" xr:uid="{00000000-0002-0000-0300-000058050000}">
          <x14:formula1>
            <xm:f>項目!C17:$QKA$327681</xm:f>
          </x14:formula1>
          <xm:sqref>QKI327685:QKI327708</xm:sqref>
        </x14:dataValidation>
        <x14:dataValidation type="list" allowBlank="1" showInputMessage="1" showErrorMessage="1" xr:uid="{00000000-0002-0000-0300-000059050000}">
          <x14:formula1>
            <xm:f>項目!C17:$QTW$327681</xm:f>
          </x14:formula1>
          <xm:sqref>QUE327685:QUE327708</xm:sqref>
        </x14:dataValidation>
        <x14:dataValidation type="list" allowBlank="1" showInputMessage="1" showErrorMessage="1" xr:uid="{00000000-0002-0000-0300-00005A050000}">
          <x14:formula1>
            <xm:f>項目!C17:$RDS$327681</xm:f>
          </x14:formula1>
          <xm:sqref>REA327685:REA327708</xm:sqref>
        </x14:dataValidation>
        <x14:dataValidation type="list" allowBlank="1" showInputMessage="1" showErrorMessage="1" xr:uid="{00000000-0002-0000-0300-00005B050000}">
          <x14:formula1>
            <xm:f>項目!C17:$RNO$327681</xm:f>
          </x14:formula1>
          <xm:sqref>RNW327685:RNW327708</xm:sqref>
        </x14:dataValidation>
        <x14:dataValidation type="list" allowBlank="1" showInputMessage="1" showErrorMessage="1" xr:uid="{00000000-0002-0000-0300-00005C050000}">
          <x14:formula1>
            <xm:f>項目!C17:$RXK$327681</xm:f>
          </x14:formula1>
          <xm:sqref>RXS327685:RXS327708</xm:sqref>
        </x14:dataValidation>
        <x14:dataValidation type="list" allowBlank="1" showInputMessage="1" showErrorMessage="1" xr:uid="{00000000-0002-0000-0300-00005D050000}">
          <x14:formula1>
            <xm:f>項目!C17:$SHG$327681</xm:f>
          </x14:formula1>
          <xm:sqref>SHO327685:SHO327708</xm:sqref>
        </x14:dataValidation>
        <x14:dataValidation type="list" allowBlank="1" showInputMessage="1" showErrorMessage="1" xr:uid="{00000000-0002-0000-0300-00005E050000}">
          <x14:formula1>
            <xm:f>項目!C17:$SRC$327681</xm:f>
          </x14:formula1>
          <xm:sqref>SRK327685:SRK327708</xm:sqref>
        </x14:dataValidation>
        <x14:dataValidation type="list" allowBlank="1" showInputMessage="1" showErrorMessage="1" xr:uid="{00000000-0002-0000-0300-00005F050000}">
          <x14:formula1>
            <xm:f>項目!C17:$TAY$327681</xm:f>
          </x14:formula1>
          <xm:sqref>TBG327685:TBG327708</xm:sqref>
        </x14:dataValidation>
        <x14:dataValidation type="list" allowBlank="1" showInputMessage="1" showErrorMessage="1" xr:uid="{00000000-0002-0000-0300-000060050000}">
          <x14:formula1>
            <xm:f>項目!C17:$TKU$327681</xm:f>
          </x14:formula1>
          <xm:sqref>TLC327685:TLC327708</xm:sqref>
        </x14:dataValidation>
        <x14:dataValidation type="list" allowBlank="1" showInputMessage="1" showErrorMessage="1" xr:uid="{00000000-0002-0000-0300-000061050000}">
          <x14:formula1>
            <xm:f>項目!C17:$TUQ$327681</xm:f>
          </x14:formula1>
          <xm:sqref>TUY327685:TUY327708</xm:sqref>
        </x14:dataValidation>
        <x14:dataValidation type="list" allowBlank="1" showInputMessage="1" showErrorMessage="1" xr:uid="{00000000-0002-0000-0300-000062050000}">
          <x14:formula1>
            <xm:f>項目!C17:$UEM$327681</xm:f>
          </x14:formula1>
          <xm:sqref>UEU327685:UEU327708</xm:sqref>
        </x14:dataValidation>
        <x14:dataValidation type="list" allowBlank="1" showInputMessage="1" showErrorMessage="1" xr:uid="{00000000-0002-0000-0300-000063050000}">
          <x14:formula1>
            <xm:f>項目!C17:$UOI$327681</xm:f>
          </x14:formula1>
          <xm:sqref>UOQ327685:UOQ327708</xm:sqref>
        </x14:dataValidation>
        <x14:dataValidation type="list" allowBlank="1" showInputMessage="1" showErrorMessage="1" xr:uid="{00000000-0002-0000-0300-000064050000}">
          <x14:formula1>
            <xm:f>項目!C17:$UYE$327681</xm:f>
          </x14:formula1>
          <xm:sqref>UYM327685:UYM327708</xm:sqref>
        </x14:dataValidation>
        <x14:dataValidation type="list" allowBlank="1" showInputMessage="1" showErrorMessage="1" xr:uid="{00000000-0002-0000-0300-000065050000}">
          <x14:formula1>
            <xm:f>項目!C17:$VIA$327681</xm:f>
          </x14:formula1>
          <xm:sqref>VII327685:VII327708</xm:sqref>
        </x14:dataValidation>
        <x14:dataValidation type="list" allowBlank="1" showInputMessage="1" showErrorMessage="1" xr:uid="{00000000-0002-0000-0300-000066050000}">
          <x14:formula1>
            <xm:f>項目!C17:$VRW$327681</xm:f>
          </x14:formula1>
          <xm:sqref>VSE327685:VSE327708</xm:sqref>
        </x14:dataValidation>
        <x14:dataValidation type="list" allowBlank="1" showInputMessage="1" showErrorMessage="1" xr:uid="{00000000-0002-0000-0300-000067050000}">
          <x14:formula1>
            <xm:f>項目!C17:$WBS$327681</xm:f>
          </x14:formula1>
          <xm:sqref>WCA327685:WCA327708</xm:sqref>
        </x14:dataValidation>
        <x14:dataValidation type="list" allowBlank="1" showInputMessage="1" showErrorMessage="1" xr:uid="{00000000-0002-0000-0300-000068050000}">
          <x14:formula1>
            <xm:f>項目!C17:$WLO$327681</xm:f>
          </x14:formula1>
          <xm:sqref>WLW327685:WLW327708</xm:sqref>
        </x14:dataValidation>
        <x14:dataValidation type="list" allowBlank="1" showInputMessage="1" showErrorMessage="1" xr:uid="{00000000-0002-0000-0300-000069050000}">
          <x14:formula1>
            <xm:f>項目!C17:$WVK$327681</xm:f>
          </x14:formula1>
          <xm:sqref>WVS327685:WVS327708</xm:sqref>
        </x14:dataValidation>
        <x14:dataValidation type="list" allowBlank="1" showInputMessage="1" showErrorMessage="1" xr:uid="{00000000-0002-0000-0300-00006A050000}">
          <x14:formula1>
            <xm:f>項目!C17:$IY$393217</xm:f>
          </x14:formula1>
          <xm:sqref>JG393221:JG393244</xm:sqref>
        </x14:dataValidation>
        <x14:dataValidation type="list" allowBlank="1" showInputMessage="1" showErrorMessage="1" xr:uid="{00000000-0002-0000-0300-00006B050000}">
          <x14:formula1>
            <xm:f>項目!C17:$SU$393217</xm:f>
          </x14:formula1>
          <xm:sqref>TC393221:TC393244</xm:sqref>
        </x14:dataValidation>
        <x14:dataValidation type="list" allowBlank="1" showInputMessage="1" showErrorMessage="1" xr:uid="{00000000-0002-0000-0300-00006C050000}">
          <x14:formula1>
            <xm:f>項目!C17:$ACQ$393217</xm:f>
          </x14:formula1>
          <xm:sqref>ACY393221:ACY393244</xm:sqref>
        </x14:dataValidation>
        <x14:dataValidation type="list" allowBlank="1" showInputMessage="1" showErrorMessage="1" xr:uid="{00000000-0002-0000-0300-00006D050000}">
          <x14:formula1>
            <xm:f>項目!C17:$AMM$393217</xm:f>
          </x14:formula1>
          <xm:sqref>AMU393221:AMU393244</xm:sqref>
        </x14:dataValidation>
        <x14:dataValidation type="list" allowBlank="1" showInputMessage="1" showErrorMessage="1" xr:uid="{00000000-0002-0000-0300-00006E050000}">
          <x14:formula1>
            <xm:f>項目!C17:$AWI$393217</xm:f>
          </x14:formula1>
          <xm:sqref>AWQ393221:AWQ393244</xm:sqref>
        </x14:dataValidation>
        <x14:dataValidation type="list" allowBlank="1" showInputMessage="1" showErrorMessage="1" xr:uid="{00000000-0002-0000-0300-00006F050000}">
          <x14:formula1>
            <xm:f>項目!C17:$BGE$393217</xm:f>
          </x14:formula1>
          <xm:sqref>BGM393221:BGM393244</xm:sqref>
        </x14:dataValidation>
        <x14:dataValidation type="list" allowBlank="1" showInputMessage="1" showErrorMessage="1" xr:uid="{00000000-0002-0000-0300-000070050000}">
          <x14:formula1>
            <xm:f>項目!C17:$BQA$393217</xm:f>
          </x14:formula1>
          <xm:sqref>BQI393221:BQI393244</xm:sqref>
        </x14:dataValidation>
        <x14:dataValidation type="list" allowBlank="1" showInputMessage="1" showErrorMessage="1" xr:uid="{00000000-0002-0000-0300-000071050000}">
          <x14:formula1>
            <xm:f>項目!C17:$BZW$393217</xm:f>
          </x14:formula1>
          <xm:sqref>CAE393221:CAE393244</xm:sqref>
        </x14:dataValidation>
        <x14:dataValidation type="list" allowBlank="1" showInputMessage="1" showErrorMessage="1" xr:uid="{00000000-0002-0000-0300-000072050000}">
          <x14:formula1>
            <xm:f>項目!C17:$CJS$393217</xm:f>
          </x14:formula1>
          <xm:sqref>CKA393221:CKA393244</xm:sqref>
        </x14:dataValidation>
        <x14:dataValidation type="list" allowBlank="1" showInputMessage="1" showErrorMessage="1" xr:uid="{00000000-0002-0000-0300-000073050000}">
          <x14:formula1>
            <xm:f>項目!C17:$CTO$393217</xm:f>
          </x14:formula1>
          <xm:sqref>CTW393221:CTW393244</xm:sqref>
        </x14:dataValidation>
        <x14:dataValidation type="list" allowBlank="1" showInputMessage="1" showErrorMessage="1" xr:uid="{00000000-0002-0000-0300-000074050000}">
          <x14:formula1>
            <xm:f>項目!C17:$DDK$393217</xm:f>
          </x14:formula1>
          <xm:sqref>DDS393221:DDS393244</xm:sqref>
        </x14:dataValidation>
        <x14:dataValidation type="list" allowBlank="1" showInputMessage="1" showErrorMessage="1" xr:uid="{00000000-0002-0000-0300-000075050000}">
          <x14:formula1>
            <xm:f>項目!C17:$DNG$393217</xm:f>
          </x14:formula1>
          <xm:sqref>DNO393221:DNO393244</xm:sqref>
        </x14:dataValidation>
        <x14:dataValidation type="list" allowBlank="1" showInputMessage="1" showErrorMessage="1" xr:uid="{00000000-0002-0000-0300-000076050000}">
          <x14:formula1>
            <xm:f>項目!C17:$DXC$393217</xm:f>
          </x14:formula1>
          <xm:sqref>DXK393221:DXK393244</xm:sqref>
        </x14:dataValidation>
        <x14:dataValidation type="list" allowBlank="1" showInputMessage="1" showErrorMessage="1" xr:uid="{00000000-0002-0000-0300-000077050000}">
          <x14:formula1>
            <xm:f>項目!C17:$EGY$393217</xm:f>
          </x14:formula1>
          <xm:sqref>EHG393221:EHG393244</xm:sqref>
        </x14:dataValidation>
        <x14:dataValidation type="list" allowBlank="1" showInputMessage="1" showErrorMessage="1" xr:uid="{00000000-0002-0000-0300-000078050000}">
          <x14:formula1>
            <xm:f>項目!C17:$EQU$393217</xm:f>
          </x14:formula1>
          <xm:sqref>ERC393221:ERC393244</xm:sqref>
        </x14:dataValidation>
        <x14:dataValidation type="list" allowBlank="1" showInputMessage="1" showErrorMessage="1" xr:uid="{00000000-0002-0000-0300-000079050000}">
          <x14:formula1>
            <xm:f>項目!C17:$FAQ$393217</xm:f>
          </x14:formula1>
          <xm:sqref>FAY393221:FAY393244</xm:sqref>
        </x14:dataValidation>
        <x14:dataValidation type="list" allowBlank="1" showInputMessage="1" showErrorMessage="1" xr:uid="{00000000-0002-0000-0300-00007A050000}">
          <x14:formula1>
            <xm:f>項目!C17:$FKM$393217</xm:f>
          </x14:formula1>
          <xm:sqref>FKU393221:FKU393244</xm:sqref>
        </x14:dataValidation>
        <x14:dataValidation type="list" allowBlank="1" showInputMessage="1" showErrorMessage="1" xr:uid="{00000000-0002-0000-0300-00007B050000}">
          <x14:formula1>
            <xm:f>項目!C17:$FUI$393217</xm:f>
          </x14:formula1>
          <xm:sqref>FUQ393221:FUQ393244</xm:sqref>
        </x14:dataValidation>
        <x14:dataValidation type="list" allowBlank="1" showInputMessage="1" showErrorMessage="1" xr:uid="{00000000-0002-0000-0300-00007C050000}">
          <x14:formula1>
            <xm:f>項目!C17:$GEE$393217</xm:f>
          </x14:formula1>
          <xm:sqref>GEM393221:GEM393244</xm:sqref>
        </x14:dataValidation>
        <x14:dataValidation type="list" allowBlank="1" showInputMessage="1" showErrorMessage="1" xr:uid="{00000000-0002-0000-0300-00007D050000}">
          <x14:formula1>
            <xm:f>項目!C17:$GOA$393217</xm:f>
          </x14:formula1>
          <xm:sqref>GOI393221:GOI393244</xm:sqref>
        </x14:dataValidation>
        <x14:dataValidation type="list" allowBlank="1" showInputMessage="1" showErrorMessage="1" xr:uid="{00000000-0002-0000-0300-00007E050000}">
          <x14:formula1>
            <xm:f>項目!C17:$GXW$393217</xm:f>
          </x14:formula1>
          <xm:sqref>GYE393221:GYE393244</xm:sqref>
        </x14:dataValidation>
        <x14:dataValidation type="list" allowBlank="1" showInputMessage="1" showErrorMessage="1" xr:uid="{00000000-0002-0000-0300-00007F050000}">
          <x14:formula1>
            <xm:f>項目!C17:$HHS$393217</xm:f>
          </x14:formula1>
          <xm:sqref>HIA393221:HIA393244</xm:sqref>
        </x14:dataValidation>
        <x14:dataValidation type="list" allowBlank="1" showInputMessage="1" showErrorMessage="1" xr:uid="{00000000-0002-0000-0300-000080050000}">
          <x14:formula1>
            <xm:f>項目!C17:$HRO$393217</xm:f>
          </x14:formula1>
          <xm:sqref>HRW393221:HRW393244</xm:sqref>
        </x14:dataValidation>
        <x14:dataValidation type="list" allowBlank="1" showInputMessage="1" showErrorMessage="1" xr:uid="{00000000-0002-0000-0300-000081050000}">
          <x14:formula1>
            <xm:f>項目!C17:$IBK$393217</xm:f>
          </x14:formula1>
          <xm:sqref>IBS393221:IBS393244</xm:sqref>
        </x14:dataValidation>
        <x14:dataValidation type="list" allowBlank="1" showInputMessage="1" showErrorMessage="1" xr:uid="{00000000-0002-0000-0300-000082050000}">
          <x14:formula1>
            <xm:f>項目!C17:$ILG$393217</xm:f>
          </x14:formula1>
          <xm:sqref>ILO393221:ILO393244</xm:sqref>
        </x14:dataValidation>
        <x14:dataValidation type="list" allowBlank="1" showInputMessage="1" showErrorMessage="1" xr:uid="{00000000-0002-0000-0300-000083050000}">
          <x14:formula1>
            <xm:f>項目!C17:$IVC$393217</xm:f>
          </x14:formula1>
          <xm:sqref>IVK393221:IVK393244</xm:sqref>
        </x14:dataValidation>
        <x14:dataValidation type="list" allowBlank="1" showInputMessage="1" showErrorMessage="1" xr:uid="{00000000-0002-0000-0300-000084050000}">
          <x14:formula1>
            <xm:f>項目!C17:$JEY$393217</xm:f>
          </x14:formula1>
          <xm:sqref>JFG393221:JFG393244</xm:sqref>
        </x14:dataValidation>
        <x14:dataValidation type="list" allowBlank="1" showInputMessage="1" showErrorMessage="1" xr:uid="{00000000-0002-0000-0300-000085050000}">
          <x14:formula1>
            <xm:f>項目!C17:$JOU$393217</xm:f>
          </x14:formula1>
          <xm:sqref>JPC393221:JPC393244</xm:sqref>
        </x14:dataValidation>
        <x14:dataValidation type="list" allowBlank="1" showInputMessage="1" showErrorMessage="1" xr:uid="{00000000-0002-0000-0300-000086050000}">
          <x14:formula1>
            <xm:f>項目!C17:$JYQ$393217</xm:f>
          </x14:formula1>
          <xm:sqref>JYY393221:JYY393244</xm:sqref>
        </x14:dataValidation>
        <x14:dataValidation type="list" allowBlank="1" showInputMessage="1" showErrorMessage="1" xr:uid="{00000000-0002-0000-0300-000087050000}">
          <x14:formula1>
            <xm:f>項目!C17:$KIM$393217</xm:f>
          </x14:formula1>
          <xm:sqref>KIU393221:KIU393244</xm:sqref>
        </x14:dataValidation>
        <x14:dataValidation type="list" allowBlank="1" showInputMessage="1" showErrorMessage="1" xr:uid="{00000000-0002-0000-0300-000088050000}">
          <x14:formula1>
            <xm:f>項目!C17:$KSI$393217</xm:f>
          </x14:formula1>
          <xm:sqref>KSQ393221:KSQ393244</xm:sqref>
        </x14:dataValidation>
        <x14:dataValidation type="list" allowBlank="1" showInputMessage="1" showErrorMessage="1" xr:uid="{00000000-0002-0000-0300-000089050000}">
          <x14:formula1>
            <xm:f>項目!C17:$LCE$393217</xm:f>
          </x14:formula1>
          <xm:sqref>LCM393221:LCM393244</xm:sqref>
        </x14:dataValidation>
        <x14:dataValidation type="list" allowBlank="1" showInputMessage="1" showErrorMessage="1" xr:uid="{00000000-0002-0000-0300-00008A050000}">
          <x14:formula1>
            <xm:f>項目!C17:$LMA$393217</xm:f>
          </x14:formula1>
          <xm:sqref>LMI393221:LMI393244</xm:sqref>
        </x14:dataValidation>
        <x14:dataValidation type="list" allowBlank="1" showInputMessage="1" showErrorMessage="1" xr:uid="{00000000-0002-0000-0300-00008B050000}">
          <x14:formula1>
            <xm:f>項目!C17:$LVW$393217</xm:f>
          </x14:formula1>
          <xm:sqref>LWE393221:LWE393244</xm:sqref>
        </x14:dataValidation>
        <x14:dataValidation type="list" allowBlank="1" showInputMessage="1" showErrorMessage="1" xr:uid="{00000000-0002-0000-0300-00008C050000}">
          <x14:formula1>
            <xm:f>項目!C17:$MFS$393217</xm:f>
          </x14:formula1>
          <xm:sqref>MGA393221:MGA393244</xm:sqref>
        </x14:dataValidation>
        <x14:dataValidation type="list" allowBlank="1" showInputMessage="1" showErrorMessage="1" xr:uid="{00000000-0002-0000-0300-00008D050000}">
          <x14:formula1>
            <xm:f>項目!C17:$MPO$393217</xm:f>
          </x14:formula1>
          <xm:sqref>MPW393221:MPW393244</xm:sqref>
        </x14:dataValidation>
        <x14:dataValidation type="list" allowBlank="1" showInputMessage="1" showErrorMessage="1" xr:uid="{00000000-0002-0000-0300-00008E050000}">
          <x14:formula1>
            <xm:f>項目!C17:$MZK$393217</xm:f>
          </x14:formula1>
          <xm:sqref>MZS393221:MZS393244</xm:sqref>
        </x14:dataValidation>
        <x14:dataValidation type="list" allowBlank="1" showInputMessage="1" showErrorMessage="1" xr:uid="{00000000-0002-0000-0300-00008F050000}">
          <x14:formula1>
            <xm:f>項目!C17:$NJG$393217</xm:f>
          </x14:formula1>
          <xm:sqref>NJO393221:NJO393244</xm:sqref>
        </x14:dataValidation>
        <x14:dataValidation type="list" allowBlank="1" showInputMessage="1" showErrorMessage="1" xr:uid="{00000000-0002-0000-0300-000090050000}">
          <x14:formula1>
            <xm:f>項目!C17:$NTC$393217</xm:f>
          </x14:formula1>
          <xm:sqref>NTK393221:NTK393244</xm:sqref>
        </x14:dataValidation>
        <x14:dataValidation type="list" allowBlank="1" showInputMessage="1" showErrorMessage="1" xr:uid="{00000000-0002-0000-0300-000091050000}">
          <x14:formula1>
            <xm:f>項目!C17:$OCY$393217</xm:f>
          </x14:formula1>
          <xm:sqref>ODG393221:ODG393244</xm:sqref>
        </x14:dataValidation>
        <x14:dataValidation type="list" allowBlank="1" showInputMessage="1" showErrorMessage="1" xr:uid="{00000000-0002-0000-0300-000092050000}">
          <x14:formula1>
            <xm:f>項目!C17:$OMU$393217</xm:f>
          </x14:formula1>
          <xm:sqref>ONC393221:ONC393244</xm:sqref>
        </x14:dataValidation>
        <x14:dataValidation type="list" allowBlank="1" showInputMessage="1" showErrorMessage="1" xr:uid="{00000000-0002-0000-0300-000093050000}">
          <x14:formula1>
            <xm:f>項目!C17:$OWQ$393217</xm:f>
          </x14:formula1>
          <xm:sqref>OWY393221:OWY393244</xm:sqref>
        </x14:dataValidation>
        <x14:dataValidation type="list" allowBlank="1" showInputMessage="1" showErrorMessage="1" xr:uid="{00000000-0002-0000-0300-000094050000}">
          <x14:formula1>
            <xm:f>項目!C17:$PGM$393217</xm:f>
          </x14:formula1>
          <xm:sqref>PGU393221:PGU393244</xm:sqref>
        </x14:dataValidation>
        <x14:dataValidation type="list" allowBlank="1" showInputMessage="1" showErrorMessage="1" xr:uid="{00000000-0002-0000-0300-000095050000}">
          <x14:formula1>
            <xm:f>項目!C17:$PQI$393217</xm:f>
          </x14:formula1>
          <xm:sqref>PQQ393221:PQQ393244</xm:sqref>
        </x14:dataValidation>
        <x14:dataValidation type="list" allowBlank="1" showInputMessage="1" showErrorMessage="1" xr:uid="{00000000-0002-0000-0300-000096050000}">
          <x14:formula1>
            <xm:f>項目!C17:$QAE$393217</xm:f>
          </x14:formula1>
          <xm:sqref>QAM393221:QAM393244</xm:sqref>
        </x14:dataValidation>
        <x14:dataValidation type="list" allowBlank="1" showInputMessage="1" showErrorMessage="1" xr:uid="{00000000-0002-0000-0300-000097050000}">
          <x14:formula1>
            <xm:f>項目!C17:$QKA$393217</xm:f>
          </x14:formula1>
          <xm:sqref>QKI393221:QKI393244</xm:sqref>
        </x14:dataValidation>
        <x14:dataValidation type="list" allowBlank="1" showInputMessage="1" showErrorMessage="1" xr:uid="{00000000-0002-0000-0300-000098050000}">
          <x14:formula1>
            <xm:f>項目!C17:$QTW$393217</xm:f>
          </x14:formula1>
          <xm:sqref>QUE393221:QUE393244</xm:sqref>
        </x14:dataValidation>
        <x14:dataValidation type="list" allowBlank="1" showInputMessage="1" showErrorMessage="1" xr:uid="{00000000-0002-0000-0300-000099050000}">
          <x14:formula1>
            <xm:f>項目!C17:$RDS$393217</xm:f>
          </x14:formula1>
          <xm:sqref>REA393221:REA393244</xm:sqref>
        </x14:dataValidation>
        <x14:dataValidation type="list" allowBlank="1" showInputMessage="1" showErrorMessage="1" xr:uid="{00000000-0002-0000-0300-00009A050000}">
          <x14:formula1>
            <xm:f>項目!C17:$RNO$393217</xm:f>
          </x14:formula1>
          <xm:sqref>RNW393221:RNW393244</xm:sqref>
        </x14:dataValidation>
        <x14:dataValidation type="list" allowBlank="1" showInputMessage="1" showErrorMessage="1" xr:uid="{00000000-0002-0000-0300-00009B050000}">
          <x14:formula1>
            <xm:f>項目!C17:$RXK$393217</xm:f>
          </x14:formula1>
          <xm:sqref>RXS393221:RXS393244</xm:sqref>
        </x14:dataValidation>
        <x14:dataValidation type="list" allowBlank="1" showInputMessage="1" showErrorMessage="1" xr:uid="{00000000-0002-0000-0300-00009C050000}">
          <x14:formula1>
            <xm:f>項目!C17:$SHG$393217</xm:f>
          </x14:formula1>
          <xm:sqref>SHO393221:SHO393244</xm:sqref>
        </x14:dataValidation>
        <x14:dataValidation type="list" allowBlank="1" showInputMessage="1" showErrorMessage="1" xr:uid="{00000000-0002-0000-0300-00009D050000}">
          <x14:formula1>
            <xm:f>項目!C17:$SRC$393217</xm:f>
          </x14:formula1>
          <xm:sqref>SRK393221:SRK393244</xm:sqref>
        </x14:dataValidation>
        <x14:dataValidation type="list" allowBlank="1" showInputMessage="1" showErrorMessage="1" xr:uid="{00000000-0002-0000-0300-00009E050000}">
          <x14:formula1>
            <xm:f>項目!C17:$TAY$393217</xm:f>
          </x14:formula1>
          <xm:sqref>TBG393221:TBG393244</xm:sqref>
        </x14:dataValidation>
        <x14:dataValidation type="list" allowBlank="1" showInputMessage="1" showErrorMessage="1" xr:uid="{00000000-0002-0000-0300-00009F050000}">
          <x14:formula1>
            <xm:f>項目!C17:$TKU$393217</xm:f>
          </x14:formula1>
          <xm:sqref>TLC393221:TLC393244</xm:sqref>
        </x14:dataValidation>
        <x14:dataValidation type="list" allowBlank="1" showInputMessage="1" showErrorMessage="1" xr:uid="{00000000-0002-0000-0300-0000A0050000}">
          <x14:formula1>
            <xm:f>項目!C17:$TUQ$393217</xm:f>
          </x14:formula1>
          <xm:sqref>TUY393221:TUY393244</xm:sqref>
        </x14:dataValidation>
        <x14:dataValidation type="list" allowBlank="1" showInputMessage="1" showErrorMessage="1" xr:uid="{00000000-0002-0000-0300-0000A1050000}">
          <x14:formula1>
            <xm:f>項目!C17:$UEM$393217</xm:f>
          </x14:formula1>
          <xm:sqref>UEU393221:UEU393244</xm:sqref>
        </x14:dataValidation>
        <x14:dataValidation type="list" allowBlank="1" showInputMessage="1" showErrorMessage="1" xr:uid="{00000000-0002-0000-0300-0000A2050000}">
          <x14:formula1>
            <xm:f>項目!C17:$UOI$393217</xm:f>
          </x14:formula1>
          <xm:sqref>UOQ393221:UOQ393244</xm:sqref>
        </x14:dataValidation>
        <x14:dataValidation type="list" allowBlank="1" showInputMessage="1" showErrorMessage="1" xr:uid="{00000000-0002-0000-0300-0000A3050000}">
          <x14:formula1>
            <xm:f>項目!C17:$UYE$393217</xm:f>
          </x14:formula1>
          <xm:sqref>UYM393221:UYM393244</xm:sqref>
        </x14:dataValidation>
        <x14:dataValidation type="list" allowBlank="1" showInputMessage="1" showErrorMessage="1" xr:uid="{00000000-0002-0000-0300-0000A4050000}">
          <x14:formula1>
            <xm:f>項目!C17:$VIA$393217</xm:f>
          </x14:formula1>
          <xm:sqref>VII393221:VII393244</xm:sqref>
        </x14:dataValidation>
        <x14:dataValidation type="list" allowBlank="1" showInputMessage="1" showErrorMessage="1" xr:uid="{00000000-0002-0000-0300-0000A5050000}">
          <x14:formula1>
            <xm:f>項目!C17:$VRW$393217</xm:f>
          </x14:formula1>
          <xm:sqref>VSE393221:VSE393244</xm:sqref>
        </x14:dataValidation>
        <x14:dataValidation type="list" allowBlank="1" showInputMessage="1" showErrorMessage="1" xr:uid="{00000000-0002-0000-0300-0000A6050000}">
          <x14:formula1>
            <xm:f>項目!C17:$WBS$393217</xm:f>
          </x14:formula1>
          <xm:sqref>WCA393221:WCA393244</xm:sqref>
        </x14:dataValidation>
        <x14:dataValidation type="list" allowBlank="1" showInputMessage="1" showErrorMessage="1" xr:uid="{00000000-0002-0000-0300-0000A7050000}">
          <x14:formula1>
            <xm:f>項目!C17:$WLO$393217</xm:f>
          </x14:formula1>
          <xm:sqref>WLW393221:WLW393244</xm:sqref>
        </x14:dataValidation>
        <x14:dataValidation type="list" allowBlank="1" showInputMessage="1" showErrorMessage="1" xr:uid="{00000000-0002-0000-0300-0000A8050000}">
          <x14:formula1>
            <xm:f>項目!C17:$WVK$393217</xm:f>
          </x14:formula1>
          <xm:sqref>WVS393221:WVS393244</xm:sqref>
        </x14:dataValidation>
        <x14:dataValidation type="list" allowBlank="1" showInputMessage="1" showErrorMessage="1" xr:uid="{00000000-0002-0000-0300-0000A9050000}">
          <x14:formula1>
            <xm:f>項目!C17:$IY$458753</xm:f>
          </x14:formula1>
          <xm:sqref>JG458757:JG458780</xm:sqref>
        </x14:dataValidation>
        <x14:dataValidation type="list" allowBlank="1" showInputMessage="1" showErrorMessage="1" xr:uid="{00000000-0002-0000-0300-0000AA050000}">
          <x14:formula1>
            <xm:f>項目!C17:$SU$458753</xm:f>
          </x14:formula1>
          <xm:sqref>TC458757:TC458780</xm:sqref>
        </x14:dataValidation>
        <x14:dataValidation type="list" allowBlank="1" showInputMessage="1" showErrorMessage="1" xr:uid="{00000000-0002-0000-0300-0000AB050000}">
          <x14:formula1>
            <xm:f>項目!C17:$ACQ$458753</xm:f>
          </x14:formula1>
          <xm:sqref>ACY458757:ACY458780</xm:sqref>
        </x14:dataValidation>
        <x14:dataValidation type="list" allowBlank="1" showInputMessage="1" showErrorMessage="1" xr:uid="{00000000-0002-0000-0300-0000AC050000}">
          <x14:formula1>
            <xm:f>項目!C17:$AMM$458753</xm:f>
          </x14:formula1>
          <xm:sqref>AMU458757:AMU458780</xm:sqref>
        </x14:dataValidation>
        <x14:dataValidation type="list" allowBlank="1" showInputMessage="1" showErrorMessage="1" xr:uid="{00000000-0002-0000-0300-0000AD050000}">
          <x14:formula1>
            <xm:f>項目!C17:$AWI$458753</xm:f>
          </x14:formula1>
          <xm:sqref>AWQ458757:AWQ458780</xm:sqref>
        </x14:dataValidation>
        <x14:dataValidation type="list" allowBlank="1" showInputMessage="1" showErrorMessage="1" xr:uid="{00000000-0002-0000-0300-0000AE050000}">
          <x14:formula1>
            <xm:f>項目!C17:$BGE$458753</xm:f>
          </x14:formula1>
          <xm:sqref>BGM458757:BGM458780</xm:sqref>
        </x14:dataValidation>
        <x14:dataValidation type="list" allowBlank="1" showInputMessage="1" showErrorMessage="1" xr:uid="{00000000-0002-0000-0300-0000AF050000}">
          <x14:formula1>
            <xm:f>項目!C17:$BQA$458753</xm:f>
          </x14:formula1>
          <xm:sqref>BQI458757:BQI458780</xm:sqref>
        </x14:dataValidation>
        <x14:dataValidation type="list" allowBlank="1" showInputMessage="1" showErrorMessage="1" xr:uid="{00000000-0002-0000-0300-0000B0050000}">
          <x14:formula1>
            <xm:f>項目!C17:$BZW$458753</xm:f>
          </x14:formula1>
          <xm:sqref>CAE458757:CAE458780</xm:sqref>
        </x14:dataValidation>
        <x14:dataValidation type="list" allowBlank="1" showInputMessage="1" showErrorMessage="1" xr:uid="{00000000-0002-0000-0300-0000B1050000}">
          <x14:formula1>
            <xm:f>項目!C17:$CJS$458753</xm:f>
          </x14:formula1>
          <xm:sqref>CKA458757:CKA458780</xm:sqref>
        </x14:dataValidation>
        <x14:dataValidation type="list" allowBlank="1" showInputMessage="1" showErrorMessage="1" xr:uid="{00000000-0002-0000-0300-0000B2050000}">
          <x14:formula1>
            <xm:f>項目!C17:$CTO$458753</xm:f>
          </x14:formula1>
          <xm:sqref>CTW458757:CTW458780</xm:sqref>
        </x14:dataValidation>
        <x14:dataValidation type="list" allowBlank="1" showInputMessage="1" showErrorMessage="1" xr:uid="{00000000-0002-0000-0300-0000B3050000}">
          <x14:formula1>
            <xm:f>項目!C17:$DDK$458753</xm:f>
          </x14:formula1>
          <xm:sqref>DDS458757:DDS458780</xm:sqref>
        </x14:dataValidation>
        <x14:dataValidation type="list" allowBlank="1" showInputMessage="1" showErrorMessage="1" xr:uid="{00000000-0002-0000-0300-0000B4050000}">
          <x14:formula1>
            <xm:f>項目!C17:$DNG$458753</xm:f>
          </x14:formula1>
          <xm:sqref>DNO458757:DNO458780</xm:sqref>
        </x14:dataValidation>
        <x14:dataValidation type="list" allowBlank="1" showInputMessage="1" showErrorMessage="1" xr:uid="{00000000-0002-0000-0300-0000B5050000}">
          <x14:formula1>
            <xm:f>項目!C17:$DXC$458753</xm:f>
          </x14:formula1>
          <xm:sqref>DXK458757:DXK458780</xm:sqref>
        </x14:dataValidation>
        <x14:dataValidation type="list" allowBlank="1" showInputMessage="1" showErrorMessage="1" xr:uid="{00000000-0002-0000-0300-0000B6050000}">
          <x14:formula1>
            <xm:f>項目!C17:$EGY$458753</xm:f>
          </x14:formula1>
          <xm:sqref>EHG458757:EHG458780</xm:sqref>
        </x14:dataValidation>
        <x14:dataValidation type="list" allowBlank="1" showInputMessage="1" showErrorMessage="1" xr:uid="{00000000-0002-0000-0300-0000B7050000}">
          <x14:formula1>
            <xm:f>項目!C17:$EQU$458753</xm:f>
          </x14:formula1>
          <xm:sqref>ERC458757:ERC458780</xm:sqref>
        </x14:dataValidation>
        <x14:dataValidation type="list" allowBlank="1" showInputMessage="1" showErrorMessage="1" xr:uid="{00000000-0002-0000-0300-0000B8050000}">
          <x14:formula1>
            <xm:f>項目!C17:$FAQ$458753</xm:f>
          </x14:formula1>
          <xm:sqref>FAY458757:FAY458780</xm:sqref>
        </x14:dataValidation>
        <x14:dataValidation type="list" allowBlank="1" showInputMessage="1" showErrorMessage="1" xr:uid="{00000000-0002-0000-0300-0000B9050000}">
          <x14:formula1>
            <xm:f>項目!C17:$FKM$458753</xm:f>
          </x14:formula1>
          <xm:sqref>FKU458757:FKU458780</xm:sqref>
        </x14:dataValidation>
        <x14:dataValidation type="list" allowBlank="1" showInputMessage="1" showErrorMessage="1" xr:uid="{00000000-0002-0000-0300-0000BA050000}">
          <x14:formula1>
            <xm:f>項目!C17:$FUI$458753</xm:f>
          </x14:formula1>
          <xm:sqref>FUQ458757:FUQ458780</xm:sqref>
        </x14:dataValidation>
        <x14:dataValidation type="list" allowBlank="1" showInputMessage="1" showErrorMessage="1" xr:uid="{00000000-0002-0000-0300-0000BB050000}">
          <x14:formula1>
            <xm:f>項目!C17:$GEE$458753</xm:f>
          </x14:formula1>
          <xm:sqref>GEM458757:GEM458780</xm:sqref>
        </x14:dataValidation>
        <x14:dataValidation type="list" allowBlank="1" showInputMessage="1" showErrorMessage="1" xr:uid="{00000000-0002-0000-0300-0000BC050000}">
          <x14:formula1>
            <xm:f>項目!C17:$GOA$458753</xm:f>
          </x14:formula1>
          <xm:sqref>GOI458757:GOI458780</xm:sqref>
        </x14:dataValidation>
        <x14:dataValidation type="list" allowBlank="1" showInputMessage="1" showErrorMessage="1" xr:uid="{00000000-0002-0000-0300-0000BD050000}">
          <x14:formula1>
            <xm:f>項目!C17:$GXW$458753</xm:f>
          </x14:formula1>
          <xm:sqref>GYE458757:GYE458780</xm:sqref>
        </x14:dataValidation>
        <x14:dataValidation type="list" allowBlank="1" showInputMessage="1" showErrorMessage="1" xr:uid="{00000000-0002-0000-0300-0000BE050000}">
          <x14:formula1>
            <xm:f>項目!C17:$HHS$458753</xm:f>
          </x14:formula1>
          <xm:sqref>HIA458757:HIA458780</xm:sqref>
        </x14:dataValidation>
        <x14:dataValidation type="list" allowBlank="1" showInputMessage="1" showErrorMessage="1" xr:uid="{00000000-0002-0000-0300-0000BF050000}">
          <x14:formula1>
            <xm:f>項目!C17:$HRO$458753</xm:f>
          </x14:formula1>
          <xm:sqref>HRW458757:HRW458780</xm:sqref>
        </x14:dataValidation>
        <x14:dataValidation type="list" allowBlank="1" showInputMessage="1" showErrorMessage="1" xr:uid="{00000000-0002-0000-0300-0000C0050000}">
          <x14:formula1>
            <xm:f>項目!C17:$IBK$458753</xm:f>
          </x14:formula1>
          <xm:sqref>IBS458757:IBS458780</xm:sqref>
        </x14:dataValidation>
        <x14:dataValidation type="list" allowBlank="1" showInputMessage="1" showErrorMessage="1" xr:uid="{00000000-0002-0000-0300-0000C1050000}">
          <x14:formula1>
            <xm:f>項目!C17:$ILG$458753</xm:f>
          </x14:formula1>
          <xm:sqref>ILO458757:ILO458780</xm:sqref>
        </x14:dataValidation>
        <x14:dataValidation type="list" allowBlank="1" showInputMessage="1" showErrorMessage="1" xr:uid="{00000000-0002-0000-0300-0000C2050000}">
          <x14:formula1>
            <xm:f>項目!C17:$IVC$458753</xm:f>
          </x14:formula1>
          <xm:sqref>IVK458757:IVK458780</xm:sqref>
        </x14:dataValidation>
        <x14:dataValidation type="list" allowBlank="1" showInputMessage="1" showErrorMessage="1" xr:uid="{00000000-0002-0000-0300-0000C3050000}">
          <x14:formula1>
            <xm:f>項目!C17:$JEY$458753</xm:f>
          </x14:formula1>
          <xm:sqref>JFG458757:JFG458780</xm:sqref>
        </x14:dataValidation>
        <x14:dataValidation type="list" allowBlank="1" showInputMessage="1" showErrorMessage="1" xr:uid="{00000000-0002-0000-0300-0000C4050000}">
          <x14:formula1>
            <xm:f>項目!C17:$JOU$458753</xm:f>
          </x14:formula1>
          <xm:sqref>JPC458757:JPC458780</xm:sqref>
        </x14:dataValidation>
        <x14:dataValidation type="list" allowBlank="1" showInputMessage="1" showErrorMessage="1" xr:uid="{00000000-0002-0000-0300-0000C5050000}">
          <x14:formula1>
            <xm:f>項目!C17:$JYQ$458753</xm:f>
          </x14:formula1>
          <xm:sqref>JYY458757:JYY458780</xm:sqref>
        </x14:dataValidation>
        <x14:dataValidation type="list" allowBlank="1" showInputMessage="1" showErrorMessage="1" xr:uid="{00000000-0002-0000-0300-0000C6050000}">
          <x14:formula1>
            <xm:f>項目!C17:$KIM$458753</xm:f>
          </x14:formula1>
          <xm:sqref>KIU458757:KIU458780</xm:sqref>
        </x14:dataValidation>
        <x14:dataValidation type="list" allowBlank="1" showInputMessage="1" showErrorMessage="1" xr:uid="{00000000-0002-0000-0300-0000C7050000}">
          <x14:formula1>
            <xm:f>項目!C17:$KSI$458753</xm:f>
          </x14:formula1>
          <xm:sqref>KSQ458757:KSQ458780</xm:sqref>
        </x14:dataValidation>
        <x14:dataValidation type="list" allowBlank="1" showInputMessage="1" showErrorMessage="1" xr:uid="{00000000-0002-0000-0300-0000C8050000}">
          <x14:formula1>
            <xm:f>項目!C17:$LCE$458753</xm:f>
          </x14:formula1>
          <xm:sqref>LCM458757:LCM458780</xm:sqref>
        </x14:dataValidation>
        <x14:dataValidation type="list" allowBlank="1" showInputMessage="1" showErrorMessage="1" xr:uid="{00000000-0002-0000-0300-0000C9050000}">
          <x14:formula1>
            <xm:f>項目!C17:$LMA$458753</xm:f>
          </x14:formula1>
          <xm:sqref>LMI458757:LMI458780</xm:sqref>
        </x14:dataValidation>
        <x14:dataValidation type="list" allowBlank="1" showInputMessage="1" showErrorMessage="1" xr:uid="{00000000-0002-0000-0300-0000CA050000}">
          <x14:formula1>
            <xm:f>項目!C17:$LVW$458753</xm:f>
          </x14:formula1>
          <xm:sqref>LWE458757:LWE458780</xm:sqref>
        </x14:dataValidation>
        <x14:dataValidation type="list" allowBlank="1" showInputMessage="1" showErrorMessage="1" xr:uid="{00000000-0002-0000-0300-0000CB050000}">
          <x14:formula1>
            <xm:f>項目!C17:$MFS$458753</xm:f>
          </x14:formula1>
          <xm:sqref>MGA458757:MGA458780</xm:sqref>
        </x14:dataValidation>
        <x14:dataValidation type="list" allowBlank="1" showInputMessage="1" showErrorMessage="1" xr:uid="{00000000-0002-0000-0300-0000CC050000}">
          <x14:formula1>
            <xm:f>項目!C17:$MPO$458753</xm:f>
          </x14:formula1>
          <xm:sqref>MPW458757:MPW458780</xm:sqref>
        </x14:dataValidation>
        <x14:dataValidation type="list" allowBlank="1" showInputMessage="1" showErrorMessage="1" xr:uid="{00000000-0002-0000-0300-0000CD050000}">
          <x14:formula1>
            <xm:f>項目!C17:$MZK$458753</xm:f>
          </x14:formula1>
          <xm:sqref>MZS458757:MZS458780</xm:sqref>
        </x14:dataValidation>
        <x14:dataValidation type="list" allowBlank="1" showInputMessage="1" showErrorMessage="1" xr:uid="{00000000-0002-0000-0300-0000CE050000}">
          <x14:formula1>
            <xm:f>項目!C17:$NJG$458753</xm:f>
          </x14:formula1>
          <xm:sqref>NJO458757:NJO458780</xm:sqref>
        </x14:dataValidation>
        <x14:dataValidation type="list" allowBlank="1" showInputMessage="1" showErrorMessage="1" xr:uid="{00000000-0002-0000-0300-0000CF050000}">
          <x14:formula1>
            <xm:f>項目!C17:$NTC$458753</xm:f>
          </x14:formula1>
          <xm:sqref>NTK458757:NTK458780</xm:sqref>
        </x14:dataValidation>
        <x14:dataValidation type="list" allowBlank="1" showInputMessage="1" showErrorMessage="1" xr:uid="{00000000-0002-0000-0300-0000D0050000}">
          <x14:formula1>
            <xm:f>項目!C17:$OCY$458753</xm:f>
          </x14:formula1>
          <xm:sqref>ODG458757:ODG458780</xm:sqref>
        </x14:dataValidation>
        <x14:dataValidation type="list" allowBlank="1" showInputMessage="1" showErrorMessage="1" xr:uid="{00000000-0002-0000-0300-0000D1050000}">
          <x14:formula1>
            <xm:f>項目!C17:$OMU$458753</xm:f>
          </x14:formula1>
          <xm:sqref>ONC458757:ONC458780</xm:sqref>
        </x14:dataValidation>
        <x14:dataValidation type="list" allowBlank="1" showInputMessage="1" showErrorMessage="1" xr:uid="{00000000-0002-0000-0300-0000D2050000}">
          <x14:formula1>
            <xm:f>項目!C17:$OWQ$458753</xm:f>
          </x14:formula1>
          <xm:sqref>OWY458757:OWY458780</xm:sqref>
        </x14:dataValidation>
        <x14:dataValidation type="list" allowBlank="1" showInputMessage="1" showErrorMessage="1" xr:uid="{00000000-0002-0000-0300-0000D3050000}">
          <x14:formula1>
            <xm:f>項目!C17:$PGM$458753</xm:f>
          </x14:formula1>
          <xm:sqref>PGU458757:PGU458780</xm:sqref>
        </x14:dataValidation>
        <x14:dataValidation type="list" allowBlank="1" showInputMessage="1" showErrorMessage="1" xr:uid="{00000000-0002-0000-0300-0000D4050000}">
          <x14:formula1>
            <xm:f>項目!C17:$PQI$458753</xm:f>
          </x14:formula1>
          <xm:sqref>PQQ458757:PQQ458780</xm:sqref>
        </x14:dataValidation>
        <x14:dataValidation type="list" allowBlank="1" showInputMessage="1" showErrorMessage="1" xr:uid="{00000000-0002-0000-0300-0000D5050000}">
          <x14:formula1>
            <xm:f>項目!C17:$QAE$458753</xm:f>
          </x14:formula1>
          <xm:sqref>QAM458757:QAM458780</xm:sqref>
        </x14:dataValidation>
        <x14:dataValidation type="list" allowBlank="1" showInputMessage="1" showErrorMessage="1" xr:uid="{00000000-0002-0000-0300-0000D6050000}">
          <x14:formula1>
            <xm:f>項目!C17:$QKA$458753</xm:f>
          </x14:formula1>
          <xm:sqref>QKI458757:QKI458780</xm:sqref>
        </x14:dataValidation>
        <x14:dataValidation type="list" allowBlank="1" showInputMessage="1" showErrorMessage="1" xr:uid="{00000000-0002-0000-0300-0000D7050000}">
          <x14:formula1>
            <xm:f>項目!C17:$QTW$458753</xm:f>
          </x14:formula1>
          <xm:sqref>QUE458757:QUE458780</xm:sqref>
        </x14:dataValidation>
        <x14:dataValidation type="list" allowBlank="1" showInputMessage="1" showErrorMessage="1" xr:uid="{00000000-0002-0000-0300-0000D8050000}">
          <x14:formula1>
            <xm:f>項目!C17:$RDS$458753</xm:f>
          </x14:formula1>
          <xm:sqref>REA458757:REA458780</xm:sqref>
        </x14:dataValidation>
        <x14:dataValidation type="list" allowBlank="1" showInputMessage="1" showErrorMessage="1" xr:uid="{00000000-0002-0000-0300-0000D9050000}">
          <x14:formula1>
            <xm:f>項目!C17:$RNO$458753</xm:f>
          </x14:formula1>
          <xm:sqref>RNW458757:RNW458780</xm:sqref>
        </x14:dataValidation>
        <x14:dataValidation type="list" allowBlank="1" showInputMessage="1" showErrorMessage="1" xr:uid="{00000000-0002-0000-0300-0000DA050000}">
          <x14:formula1>
            <xm:f>項目!C17:$RXK$458753</xm:f>
          </x14:formula1>
          <xm:sqref>RXS458757:RXS458780</xm:sqref>
        </x14:dataValidation>
        <x14:dataValidation type="list" allowBlank="1" showInputMessage="1" showErrorMessage="1" xr:uid="{00000000-0002-0000-0300-0000DB050000}">
          <x14:formula1>
            <xm:f>項目!C17:$SHG$458753</xm:f>
          </x14:formula1>
          <xm:sqref>SHO458757:SHO458780</xm:sqref>
        </x14:dataValidation>
        <x14:dataValidation type="list" allowBlank="1" showInputMessage="1" showErrorMessage="1" xr:uid="{00000000-0002-0000-0300-0000DC050000}">
          <x14:formula1>
            <xm:f>項目!C17:$SRC$458753</xm:f>
          </x14:formula1>
          <xm:sqref>SRK458757:SRK458780</xm:sqref>
        </x14:dataValidation>
        <x14:dataValidation type="list" allowBlank="1" showInputMessage="1" showErrorMessage="1" xr:uid="{00000000-0002-0000-0300-0000DD050000}">
          <x14:formula1>
            <xm:f>項目!C17:$TAY$458753</xm:f>
          </x14:formula1>
          <xm:sqref>TBG458757:TBG458780</xm:sqref>
        </x14:dataValidation>
        <x14:dataValidation type="list" allowBlank="1" showInputMessage="1" showErrorMessage="1" xr:uid="{00000000-0002-0000-0300-0000DE050000}">
          <x14:formula1>
            <xm:f>項目!C17:$TKU$458753</xm:f>
          </x14:formula1>
          <xm:sqref>TLC458757:TLC458780</xm:sqref>
        </x14:dataValidation>
        <x14:dataValidation type="list" allowBlank="1" showInputMessage="1" showErrorMessage="1" xr:uid="{00000000-0002-0000-0300-0000DF050000}">
          <x14:formula1>
            <xm:f>項目!C17:$TUQ$458753</xm:f>
          </x14:formula1>
          <xm:sqref>TUY458757:TUY458780</xm:sqref>
        </x14:dataValidation>
        <x14:dataValidation type="list" allowBlank="1" showInputMessage="1" showErrorMessage="1" xr:uid="{00000000-0002-0000-0300-0000E0050000}">
          <x14:formula1>
            <xm:f>項目!C17:$UEM$458753</xm:f>
          </x14:formula1>
          <xm:sqref>UEU458757:UEU458780</xm:sqref>
        </x14:dataValidation>
        <x14:dataValidation type="list" allowBlank="1" showInputMessage="1" showErrorMessage="1" xr:uid="{00000000-0002-0000-0300-0000E1050000}">
          <x14:formula1>
            <xm:f>項目!C17:$UOI$458753</xm:f>
          </x14:formula1>
          <xm:sqref>UOQ458757:UOQ458780</xm:sqref>
        </x14:dataValidation>
        <x14:dataValidation type="list" allowBlank="1" showInputMessage="1" showErrorMessage="1" xr:uid="{00000000-0002-0000-0300-0000E2050000}">
          <x14:formula1>
            <xm:f>項目!C17:$UYE$458753</xm:f>
          </x14:formula1>
          <xm:sqref>UYM458757:UYM458780</xm:sqref>
        </x14:dataValidation>
        <x14:dataValidation type="list" allowBlank="1" showInputMessage="1" showErrorMessage="1" xr:uid="{00000000-0002-0000-0300-0000E3050000}">
          <x14:formula1>
            <xm:f>項目!C17:$VIA$458753</xm:f>
          </x14:formula1>
          <xm:sqref>VII458757:VII458780</xm:sqref>
        </x14:dataValidation>
        <x14:dataValidation type="list" allowBlank="1" showInputMessage="1" showErrorMessage="1" xr:uid="{00000000-0002-0000-0300-0000E4050000}">
          <x14:formula1>
            <xm:f>項目!C17:$VRW$458753</xm:f>
          </x14:formula1>
          <xm:sqref>VSE458757:VSE458780</xm:sqref>
        </x14:dataValidation>
        <x14:dataValidation type="list" allowBlank="1" showInputMessage="1" showErrorMessage="1" xr:uid="{00000000-0002-0000-0300-0000E5050000}">
          <x14:formula1>
            <xm:f>項目!C17:$WBS$458753</xm:f>
          </x14:formula1>
          <xm:sqref>WCA458757:WCA458780</xm:sqref>
        </x14:dataValidation>
        <x14:dataValidation type="list" allowBlank="1" showInputMessage="1" showErrorMessage="1" xr:uid="{00000000-0002-0000-0300-0000E6050000}">
          <x14:formula1>
            <xm:f>項目!C17:$WLO$458753</xm:f>
          </x14:formula1>
          <xm:sqref>WLW458757:WLW458780</xm:sqref>
        </x14:dataValidation>
        <x14:dataValidation type="list" allowBlank="1" showInputMessage="1" showErrorMessage="1" xr:uid="{00000000-0002-0000-0300-0000E7050000}">
          <x14:formula1>
            <xm:f>項目!C17:$WVK$458753</xm:f>
          </x14:formula1>
          <xm:sqref>WVS458757:WVS458780</xm:sqref>
        </x14:dataValidation>
        <x14:dataValidation type="list" allowBlank="1" showInputMessage="1" showErrorMessage="1" xr:uid="{00000000-0002-0000-0300-0000E8050000}">
          <x14:formula1>
            <xm:f>項目!C17:$IY$524289</xm:f>
          </x14:formula1>
          <xm:sqref>JG524293:JG524316</xm:sqref>
        </x14:dataValidation>
        <x14:dataValidation type="list" allowBlank="1" showInputMessage="1" showErrorMessage="1" xr:uid="{00000000-0002-0000-0300-0000E9050000}">
          <x14:formula1>
            <xm:f>項目!C17:$SU$524289</xm:f>
          </x14:formula1>
          <xm:sqref>TC524293:TC524316</xm:sqref>
        </x14:dataValidation>
        <x14:dataValidation type="list" allowBlank="1" showInputMessage="1" showErrorMessage="1" xr:uid="{00000000-0002-0000-0300-0000EA050000}">
          <x14:formula1>
            <xm:f>項目!C17:$ACQ$524289</xm:f>
          </x14:formula1>
          <xm:sqref>ACY524293:ACY524316</xm:sqref>
        </x14:dataValidation>
        <x14:dataValidation type="list" allowBlank="1" showInputMessage="1" showErrorMessage="1" xr:uid="{00000000-0002-0000-0300-0000EB050000}">
          <x14:formula1>
            <xm:f>項目!C17:$AMM$524289</xm:f>
          </x14:formula1>
          <xm:sqref>AMU524293:AMU524316</xm:sqref>
        </x14:dataValidation>
        <x14:dataValidation type="list" allowBlank="1" showInputMessage="1" showErrorMessage="1" xr:uid="{00000000-0002-0000-0300-0000EC050000}">
          <x14:formula1>
            <xm:f>項目!C17:$AWI$524289</xm:f>
          </x14:formula1>
          <xm:sqref>AWQ524293:AWQ524316</xm:sqref>
        </x14:dataValidation>
        <x14:dataValidation type="list" allowBlank="1" showInputMessage="1" showErrorMessage="1" xr:uid="{00000000-0002-0000-0300-0000ED050000}">
          <x14:formula1>
            <xm:f>項目!C17:$BGE$524289</xm:f>
          </x14:formula1>
          <xm:sqref>BGM524293:BGM524316</xm:sqref>
        </x14:dataValidation>
        <x14:dataValidation type="list" allowBlank="1" showInputMessage="1" showErrorMessage="1" xr:uid="{00000000-0002-0000-0300-0000EE050000}">
          <x14:formula1>
            <xm:f>項目!C17:$BQA$524289</xm:f>
          </x14:formula1>
          <xm:sqref>BQI524293:BQI524316</xm:sqref>
        </x14:dataValidation>
        <x14:dataValidation type="list" allowBlank="1" showInputMessage="1" showErrorMessage="1" xr:uid="{00000000-0002-0000-0300-0000EF050000}">
          <x14:formula1>
            <xm:f>項目!C17:$BZW$524289</xm:f>
          </x14:formula1>
          <xm:sqref>CAE524293:CAE524316</xm:sqref>
        </x14:dataValidation>
        <x14:dataValidation type="list" allowBlank="1" showInputMessage="1" showErrorMessage="1" xr:uid="{00000000-0002-0000-0300-0000F0050000}">
          <x14:formula1>
            <xm:f>項目!C17:$CJS$524289</xm:f>
          </x14:formula1>
          <xm:sqref>CKA524293:CKA524316</xm:sqref>
        </x14:dataValidation>
        <x14:dataValidation type="list" allowBlank="1" showInputMessage="1" showErrorMessage="1" xr:uid="{00000000-0002-0000-0300-0000F1050000}">
          <x14:formula1>
            <xm:f>項目!C17:$CTO$524289</xm:f>
          </x14:formula1>
          <xm:sqref>CTW524293:CTW524316</xm:sqref>
        </x14:dataValidation>
        <x14:dataValidation type="list" allowBlank="1" showInputMessage="1" showErrorMessage="1" xr:uid="{00000000-0002-0000-0300-0000F2050000}">
          <x14:formula1>
            <xm:f>項目!C17:$DDK$524289</xm:f>
          </x14:formula1>
          <xm:sqref>DDS524293:DDS524316</xm:sqref>
        </x14:dataValidation>
        <x14:dataValidation type="list" allowBlank="1" showInputMessage="1" showErrorMessage="1" xr:uid="{00000000-0002-0000-0300-0000F3050000}">
          <x14:formula1>
            <xm:f>項目!C17:$DNG$524289</xm:f>
          </x14:formula1>
          <xm:sqref>DNO524293:DNO524316</xm:sqref>
        </x14:dataValidation>
        <x14:dataValidation type="list" allowBlank="1" showInputMessage="1" showErrorMessage="1" xr:uid="{00000000-0002-0000-0300-0000F4050000}">
          <x14:formula1>
            <xm:f>項目!C17:$DXC$524289</xm:f>
          </x14:formula1>
          <xm:sqref>DXK524293:DXK524316</xm:sqref>
        </x14:dataValidation>
        <x14:dataValidation type="list" allowBlank="1" showInputMessage="1" showErrorMessage="1" xr:uid="{00000000-0002-0000-0300-0000F5050000}">
          <x14:formula1>
            <xm:f>項目!C17:$EGY$524289</xm:f>
          </x14:formula1>
          <xm:sqref>EHG524293:EHG524316</xm:sqref>
        </x14:dataValidation>
        <x14:dataValidation type="list" allowBlank="1" showInputMessage="1" showErrorMessage="1" xr:uid="{00000000-0002-0000-0300-0000F6050000}">
          <x14:formula1>
            <xm:f>項目!C17:$EQU$524289</xm:f>
          </x14:formula1>
          <xm:sqref>ERC524293:ERC524316</xm:sqref>
        </x14:dataValidation>
        <x14:dataValidation type="list" allowBlank="1" showInputMessage="1" showErrorMessage="1" xr:uid="{00000000-0002-0000-0300-0000F7050000}">
          <x14:formula1>
            <xm:f>項目!C17:$FAQ$524289</xm:f>
          </x14:formula1>
          <xm:sqref>FAY524293:FAY524316</xm:sqref>
        </x14:dataValidation>
        <x14:dataValidation type="list" allowBlank="1" showInputMessage="1" showErrorMessage="1" xr:uid="{00000000-0002-0000-0300-0000F8050000}">
          <x14:formula1>
            <xm:f>項目!C17:$FKM$524289</xm:f>
          </x14:formula1>
          <xm:sqref>FKU524293:FKU524316</xm:sqref>
        </x14:dataValidation>
        <x14:dataValidation type="list" allowBlank="1" showInputMessage="1" showErrorMessage="1" xr:uid="{00000000-0002-0000-0300-0000F9050000}">
          <x14:formula1>
            <xm:f>項目!C17:$FUI$524289</xm:f>
          </x14:formula1>
          <xm:sqref>FUQ524293:FUQ524316</xm:sqref>
        </x14:dataValidation>
        <x14:dataValidation type="list" allowBlank="1" showInputMessage="1" showErrorMessage="1" xr:uid="{00000000-0002-0000-0300-0000FA050000}">
          <x14:formula1>
            <xm:f>項目!C17:$GEE$524289</xm:f>
          </x14:formula1>
          <xm:sqref>GEM524293:GEM524316</xm:sqref>
        </x14:dataValidation>
        <x14:dataValidation type="list" allowBlank="1" showInputMessage="1" showErrorMessage="1" xr:uid="{00000000-0002-0000-0300-0000FB050000}">
          <x14:formula1>
            <xm:f>項目!C17:$GOA$524289</xm:f>
          </x14:formula1>
          <xm:sqref>GOI524293:GOI524316</xm:sqref>
        </x14:dataValidation>
        <x14:dataValidation type="list" allowBlank="1" showInputMessage="1" showErrorMessage="1" xr:uid="{00000000-0002-0000-0300-0000FC050000}">
          <x14:formula1>
            <xm:f>項目!C17:$GXW$524289</xm:f>
          </x14:formula1>
          <xm:sqref>GYE524293:GYE524316</xm:sqref>
        </x14:dataValidation>
        <x14:dataValidation type="list" allowBlank="1" showInputMessage="1" showErrorMessage="1" xr:uid="{00000000-0002-0000-0300-0000FD050000}">
          <x14:formula1>
            <xm:f>項目!C17:$HHS$524289</xm:f>
          </x14:formula1>
          <xm:sqref>HIA524293:HIA524316</xm:sqref>
        </x14:dataValidation>
        <x14:dataValidation type="list" allowBlank="1" showInputMessage="1" showErrorMessage="1" xr:uid="{00000000-0002-0000-0300-0000FE050000}">
          <x14:formula1>
            <xm:f>項目!C17:$HRO$524289</xm:f>
          </x14:formula1>
          <xm:sqref>HRW524293:HRW524316</xm:sqref>
        </x14:dataValidation>
        <x14:dataValidation type="list" allowBlank="1" showInputMessage="1" showErrorMessage="1" xr:uid="{00000000-0002-0000-0300-0000FF050000}">
          <x14:formula1>
            <xm:f>項目!C17:$IBK$524289</xm:f>
          </x14:formula1>
          <xm:sqref>IBS524293:IBS524316</xm:sqref>
        </x14:dataValidation>
        <x14:dataValidation type="list" allowBlank="1" showInputMessage="1" showErrorMessage="1" xr:uid="{00000000-0002-0000-0300-000000060000}">
          <x14:formula1>
            <xm:f>項目!C17:$ILG$524289</xm:f>
          </x14:formula1>
          <xm:sqref>ILO524293:ILO524316</xm:sqref>
        </x14:dataValidation>
        <x14:dataValidation type="list" allowBlank="1" showInputMessage="1" showErrorMessage="1" xr:uid="{00000000-0002-0000-0300-000001060000}">
          <x14:formula1>
            <xm:f>項目!C17:$IVC$524289</xm:f>
          </x14:formula1>
          <xm:sqref>IVK524293:IVK524316</xm:sqref>
        </x14:dataValidation>
        <x14:dataValidation type="list" allowBlank="1" showInputMessage="1" showErrorMessage="1" xr:uid="{00000000-0002-0000-0300-000002060000}">
          <x14:formula1>
            <xm:f>項目!C17:$JEY$524289</xm:f>
          </x14:formula1>
          <xm:sqref>JFG524293:JFG524316</xm:sqref>
        </x14:dataValidation>
        <x14:dataValidation type="list" allowBlank="1" showInputMessage="1" showErrorMessage="1" xr:uid="{00000000-0002-0000-0300-000003060000}">
          <x14:formula1>
            <xm:f>項目!C17:$JOU$524289</xm:f>
          </x14:formula1>
          <xm:sqref>JPC524293:JPC524316</xm:sqref>
        </x14:dataValidation>
        <x14:dataValidation type="list" allowBlank="1" showInputMessage="1" showErrorMessage="1" xr:uid="{00000000-0002-0000-0300-000004060000}">
          <x14:formula1>
            <xm:f>項目!C17:$JYQ$524289</xm:f>
          </x14:formula1>
          <xm:sqref>JYY524293:JYY524316</xm:sqref>
        </x14:dataValidation>
        <x14:dataValidation type="list" allowBlank="1" showInputMessage="1" showErrorMessage="1" xr:uid="{00000000-0002-0000-0300-000005060000}">
          <x14:formula1>
            <xm:f>項目!C17:$KIM$524289</xm:f>
          </x14:formula1>
          <xm:sqref>KIU524293:KIU524316</xm:sqref>
        </x14:dataValidation>
        <x14:dataValidation type="list" allowBlank="1" showInputMessage="1" showErrorMessage="1" xr:uid="{00000000-0002-0000-0300-000006060000}">
          <x14:formula1>
            <xm:f>項目!C17:$KSI$524289</xm:f>
          </x14:formula1>
          <xm:sqref>KSQ524293:KSQ524316</xm:sqref>
        </x14:dataValidation>
        <x14:dataValidation type="list" allowBlank="1" showInputMessage="1" showErrorMessage="1" xr:uid="{00000000-0002-0000-0300-000007060000}">
          <x14:formula1>
            <xm:f>項目!C17:$LCE$524289</xm:f>
          </x14:formula1>
          <xm:sqref>LCM524293:LCM524316</xm:sqref>
        </x14:dataValidation>
        <x14:dataValidation type="list" allowBlank="1" showInputMessage="1" showErrorMessage="1" xr:uid="{00000000-0002-0000-0300-000008060000}">
          <x14:formula1>
            <xm:f>項目!C17:$LMA$524289</xm:f>
          </x14:formula1>
          <xm:sqref>LMI524293:LMI524316</xm:sqref>
        </x14:dataValidation>
        <x14:dataValidation type="list" allowBlank="1" showInputMessage="1" showErrorMessage="1" xr:uid="{00000000-0002-0000-0300-000009060000}">
          <x14:formula1>
            <xm:f>項目!C17:$LVW$524289</xm:f>
          </x14:formula1>
          <xm:sqref>LWE524293:LWE524316</xm:sqref>
        </x14:dataValidation>
        <x14:dataValidation type="list" allowBlank="1" showInputMessage="1" showErrorMessage="1" xr:uid="{00000000-0002-0000-0300-00000A060000}">
          <x14:formula1>
            <xm:f>項目!C17:$MFS$524289</xm:f>
          </x14:formula1>
          <xm:sqref>MGA524293:MGA524316</xm:sqref>
        </x14:dataValidation>
        <x14:dataValidation type="list" allowBlank="1" showInputMessage="1" showErrorMessage="1" xr:uid="{00000000-0002-0000-0300-00000B060000}">
          <x14:formula1>
            <xm:f>項目!C17:$MPO$524289</xm:f>
          </x14:formula1>
          <xm:sqref>MPW524293:MPW524316</xm:sqref>
        </x14:dataValidation>
        <x14:dataValidation type="list" allowBlank="1" showInputMessage="1" showErrorMessage="1" xr:uid="{00000000-0002-0000-0300-00000C060000}">
          <x14:formula1>
            <xm:f>項目!C17:$MZK$524289</xm:f>
          </x14:formula1>
          <xm:sqref>MZS524293:MZS524316</xm:sqref>
        </x14:dataValidation>
        <x14:dataValidation type="list" allowBlank="1" showInputMessage="1" showErrorMessage="1" xr:uid="{00000000-0002-0000-0300-00000D060000}">
          <x14:formula1>
            <xm:f>項目!C17:$NJG$524289</xm:f>
          </x14:formula1>
          <xm:sqref>NJO524293:NJO524316</xm:sqref>
        </x14:dataValidation>
        <x14:dataValidation type="list" allowBlank="1" showInputMessage="1" showErrorMessage="1" xr:uid="{00000000-0002-0000-0300-00000E060000}">
          <x14:formula1>
            <xm:f>項目!C17:$NTC$524289</xm:f>
          </x14:formula1>
          <xm:sqref>NTK524293:NTK524316</xm:sqref>
        </x14:dataValidation>
        <x14:dataValidation type="list" allowBlank="1" showInputMessage="1" showErrorMessage="1" xr:uid="{00000000-0002-0000-0300-00000F060000}">
          <x14:formula1>
            <xm:f>項目!C17:$OCY$524289</xm:f>
          </x14:formula1>
          <xm:sqref>ODG524293:ODG524316</xm:sqref>
        </x14:dataValidation>
        <x14:dataValidation type="list" allowBlank="1" showInputMessage="1" showErrorMessage="1" xr:uid="{00000000-0002-0000-0300-000010060000}">
          <x14:formula1>
            <xm:f>項目!C17:$OMU$524289</xm:f>
          </x14:formula1>
          <xm:sqref>ONC524293:ONC524316</xm:sqref>
        </x14:dataValidation>
        <x14:dataValidation type="list" allowBlank="1" showInputMessage="1" showErrorMessage="1" xr:uid="{00000000-0002-0000-0300-000011060000}">
          <x14:formula1>
            <xm:f>項目!C17:$OWQ$524289</xm:f>
          </x14:formula1>
          <xm:sqref>OWY524293:OWY524316</xm:sqref>
        </x14:dataValidation>
        <x14:dataValidation type="list" allowBlank="1" showInputMessage="1" showErrorMessage="1" xr:uid="{00000000-0002-0000-0300-000012060000}">
          <x14:formula1>
            <xm:f>項目!C17:$PGM$524289</xm:f>
          </x14:formula1>
          <xm:sqref>PGU524293:PGU524316</xm:sqref>
        </x14:dataValidation>
        <x14:dataValidation type="list" allowBlank="1" showInputMessage="1" showErrorMessage="1" xr:uid="{00000000-0002-0000-0300-000013060000}">
          <x14:formula1>
            <xm:f>項目!C17:$PQI$524289</xm:f>
          </x14:formula1>
          <xm:sqref>PQQ524293:PQQ524316</xm:sqref>
        </x14:dataValidation>
        <x14:dataValidation type="list" allowBlank="1" showInputMessage="1" showErrorMessage="1" xr:uid="{00000000-0002-0000-0300-000014060000}">
          <x14:formula1>
            <xm:f>項目!C17:$QAE$524289</xm:f>
          </x14:formula1>
          <xm:sqref>QAM524293:QAM524316</xm:sqref>
        </x14:dataValidation>
        <x14:dataValidation type="list" allowBlank="1" showInputMessage="1" showErrorMessage="1" xr:uid="{00000000-0002-0000-0300-000015060000}">
          <x14:formula1>
            <xm:f>項目!C17:$QKA$524289</xm:f>
          </x14:formula1>
          <xm:sqref>QKI524293:QKI524316</xm:sqref>
        </x14:dataValidation>
        <x14:dataValidation type="list" allowBlank="1" showInputMessage="1" showErrorMessage="1" xr:uid="{00000000-0002-0000-0300-000016060000}">
          <x14:formula1>
            <xm:f>項目!C17:$QTW$524289</xm:f>
          </x14:formula1>
          <xm:sqref>QUE524293:QUE524316</xm:sqref>
        </x14:dataValidation>
        <x14:dataValidation type="list" allowBlank="1" showInputMessage="1" showErrorMessage="1" xr:uid="{00000000-0002-0000-0300-000017060000}">
          <x14:formula1>
            <xm:f>項目!C17:$RDS$524289</xm:f>
          </x14:formula1>
          <xm:sqref>REA524293:REA524316</xm:sqref>
        </x14:dataValidation>
        <x14:dataValidation type="list" allowBlank="1" showInputMessage="1" showErrorMessage="1" xr:uid="{00000000-0002-0000-0300-000018060000}">
          <x14:formula1>
            <xm:f>項目!C17:$RNO$524289</xm:f>
          </x14:formula1>
          <xm:sqref>RNW524293:RNW524316</xm:sqref>
        </x14:dataValidation>
        <x14:dataValidation type="list" allowBlank="1" showInputMessage="1" showErrorMessage="1" xr:uid="{00000000-0002-0000-0300-000019060000}">
          <x14:formula1>
            <xm:f>項目!C17:$RXK$524289</xm:f>
          </x14:formula1>
          <xm:sqref>RXS524293:RXS524316</xm:sqref>
        </x14:dataValidation>
        <x14:dataValidation type="list" allowBlank="1" showInputMessage="1" showErrorMessage="1" xr:uid="{00000000-0002-0000-0300-00001A060000}">
          <x14:formula1>
            <xm:f>項目!C17:$SHG$524289</xm:f>
          </x14:formula1>
          <xm:sqref>SHO524293:SHO524316</xm:sqref>
        </x14:dataValidation>
        <x14:dataValidation type="list" allowBlank="1" showInputMessage="1" showErrorMessage="1" xr:uid="{00000000-0002-0000-0300-00001B060000}">
          <x14:formula1>
            <xm:f>項目!C17:$SRC$524289</xm:f>
          </x14:formula1>
          <xm:sqref>SRK524293:SRK524316</xm:sqref>
        </x14:dataValidation>
        <x14:dataValidation type="list" allowBlank="1" showInputMessage="1" showErrorMessage="1" xr:uid="{00000000-0002-0000-0300-00001C060000}">
          <x14:formula1>
            <xm:f>項目!C17:$TAY$524289</xm:f>
          </x14:formula1>
          <xm:sqref>TBG524293:TBG524316</xm:sqref>
        </x14:dataValidation>
        <x14:dataValidation type="list" allowBlank="1" showInputMessage="1" showErrorMessage="1" xr:uid="{00000000-0002-0000-0300-00001D060000}">
          <x14:formula1>
            <xm:f>項目!C17:$TKU$524289</xm:f>
          </x14:formula1>
          <xm:sqref>TLC524293:TLC524316</xm:sqref>
        </x14:dataValidation>
        <x14:dataValidation type="list" allowBlank="1" showInputMessage="1" showErrorMessage="1" xr:uid="{00000000-0002-0000-0300-00001E060000}">
          <x14:formula1>
            <xm:f>項目!C17:$TUQ$524289</xm:f>
          </x14:formula1>
          <xm:sqref>TUY524293:TUY524316</xm:sqref>
        </x14:dataValidation>
        <x14:dataValidation type="list" allowBlank="1" showInputMessage="1" showErrorMessage="1" xr:uid="{00000000-0002-0000-0300-00001F060000}">
          <x14:formula1>
            <xm:f>項目!C17:$UEM$524289</xm:f>
          </x14:formula1>
          <xm:sqref>UEU524293:UEU524316</xm:sqref>
        </x14:dataValidation>
        <x14:dataValidation type="list" allowBlank="1" showInputMessage="1" showErrorMessage="1" xr:uid="{00000000-0002-0000-0300-000020060000}">
          <x14:formula1>
            <xm:f>項目!C17:$UOI$524289</xm:f>
          </x14:formula1>
          <xm:sqref>UOQ524293:UOQ524316</xm:sqref>
        </x14:dataValidation>
        <x14:dataValidation type="list" allowBlank="1" showInputMessage="1" showErrorMessage="1" xr:uid="{00000000-0002-0000-0300-000021060000}">
          <x14:formula1>
            <xm:f>項目!C17:$UYE$524289</xm:f>
          </x14:formula1>
          <xm:sqref>UYM524293:UYM524316</xm:sqref>
        </x14:dataValidation>
        <x14:dataValidation type="list" allowBlank="1" showInputMessage="1" showErrorMessage="1" xr:uid="{00000000-0002-0000-0300-000022060000}">
          <x14:formula1>
            <xm:f>項目!C17:$VIA$524289</xm:f>
          </x14:formula1>
          <xm:sqref>VII524293:VII524316</xm:sqref>
        </x14:dataValidation>
        <x14:dataValidation type="list" allowBlank="1" showInputMessage="1" showErrorMessage="1" xr:uid="{00000000-0002-0000-0300-000023060000}">
          <x14:formula1>
            <xm:f>項目!C17:$VRW$524289</xm:f>
          </x14:formula1>
          <xm:sqref>VSE524293:VSE524316</xm:sqref>
        </x14:dataValidation>
        <x14:dataValidation type="list" allowBlank="1" showInputMessage="1" showErrorMessage="1" xr:uid="{00000000-0002-0000-0300-000024060000}">
          <x14:formula1>
            <xm:f>項目!C17:$WBS$524289</xm:f>
          </x14:formula1>
          <xm:sqref>WCA524293:WCA524316</xm:sqref>
        </x14:dataValidation>
        <x14:dataValidation type="list" allowBlank="1" showInputMessage="1" showErrorMessage="1" xr:uid="{00000000-0002-0000-0300-000025060000}">
          <x14:formula1>
            <xm:f>項目!C17:$WLO$524289</xm:f>
          </x14:formula1>
          <xm:sqref>WLW524293:WLW524316</xm:sqref>
        </x14:dataValidation>
        <x14:dataValidation type="list" allowBlank="1" showInputMessage="1" showErrorMessage="1" xr:uid="{00000000-0002-0000-0300-000026060000}">
          <x14:formula1>
            <xm:f>項目!C17:$WVK$524289</xm:f>
          </x14:formula1>
          <xm:sqref>WVS524293:WVS524316</xm:sqref>
        </x14:dataValidation>
        <x14:dataValidation type="list" allowBlank="1" showInputMessage="1" showErrorMessage="1" xr:uid="{00000000-0002-0000-0300-000027060000}">
          <x14:formula1>
            <xm:f>項目!C17:$IY$589825</xm:f>
          </x14:formula1>
          <xm:sqref>JG589829:JG589852</xm:sqref>
        </x14:dataValidation>
        <x14:dataValidation type="list" allowBlank="1" showInputMessage="1" showErrorMessage="1" xr:uid="{00000000-0002-0000-0300-000028060000}">
          <x14:formula1>
            <xm:f>項目!C17:$SU$589825</xm:f>
          </x14:formula1>
          <xm:sqref>TC589829:TC589852</xm:sqref>
        </x14:dataValidation>
        <x14:dataValidation type="list" allowBlank="1" showInputMessage="1" showErrorMessage="1" xr:uid="{00000000-0002-0000-0300-000029060000}">
          <x14:formula1>
            <xm:f>項目!C17:$ACQ$589825</xm:f>
          </x14:formula1>
          <xm:sqref>ACY589829:ACY589852</xm:sqref>
        </x14:dataValidation>
        <x14:dataValidation type="list" allowBlank="1" showInputMessage="1" showErrorMessage="1" xr:uid="{00000000-0002-0000-0300-00002A060000}">
          <x14:formula1>
            <xm:f>項目!C17:$AMM$589825</xm:f>
          </x14:formula1>
          <xm:sqref>AMU589829:AMU589852</xm:sqref>
        </x14:dataValidation>
        <x14:dataValidation type="list" allowBlank="1" showInputMessage="1" showErrorMessage="1" xr:uid="{00000000-0002-0000-0300-00002B060000}">
          <x14:formula1>
            <xm:f>項目!C17:$AWI$589825</xm:f>
          </x14:formula1>
          <xm:sqref>AWQ589829:AWQ589852</xm:sqref>
        </x14:dataValidation>
        <x14:dataValidation type="list" allowBlank="1" showInputMessage="1" showErrorMessage="1" xr:uid="{00000000-0002-0000-0300-00002C060000}">
          <x14:formula1>
            <xm:f>項目!C17:$BGE$589825</xm:f>
          </x14:formula1>
          <xm:sqref>BGM589829:BGM589852</xm:sqref>
        </x14:dataValidation>
        <x14:dataValidation type="list" allowBlank="1" showInputMessage="1" showErrorMessage="1" xr:uid="{00000000-0002-0000-0300-00002D060000}">
          <x14:formula1>
            <xm:f>項目!C17:$BQA$589825</xm:f>
          </x14:formula1>
          <xm:sqref>BQI589829:BQI589852</xm:sqref>
        </x14:dataValidation>
        <x14:dataValidation type="list" allowBlank="1" showInputMessage="1" showErrorMessage="1" xr:uid="{00000000-0002-0000-0300-00002E060000}">
          <x14:formula1>
            <xm:f>項目!C17:$BZW$589825</xm:f>
          </x14:formula1>
          <xm:sqref>CAE589829:CAE589852</xm:sqref>
        </x14:dataValidation>
        <x14:dataValidation type="list" allowBlank="1" showInputMessage="1" showErrorMessage="1" xr:uid="{00000000-0002-0000-0300-00002F060000}">
          <x14:formula1>
            <xm:f>項目!C17:$CJS$589825</xm:f>
          </x14:formula1>
          <xm:sqref>CKA589829:CKA589852</xm:sqref>
        </x14:dataValidation>
        <x14:dataValidation type="list" allowBlank="1" showInputMessage="1" showErrorMessage="1" xr:uid="{00000000-0002-0000-0300-000030060000}">
          <x14:formula1>
            <xm:f>項目!C17:$CTO$589825</xm:f>
          </x14:formula1>
          <xm:sqref>CTW589829:CTW589852</xm:sqref>
        </x14:dataValidation>
        <x14:dataValidation type="list" allowBlank="1" showInputMessage="1" showErrorMessage="1" xr:uid="{00000000-0002-0000-0300-000031060000}">
          <x14:formula1>
            <xm:f>項目!C17:$DDK$589825</xm:f>
          </x14:formula1>
          <xm:sqref>DDS589829:DDS589852</xm:sqref>
        </x14:dataValidation>
        <x14:dataValidation type="list" allowBlank="1" showInputMessage="1" showErrorMessage="1" xr:uid="{00000000-0002-0000-0300-000032060000}">
          <x14:formula1>
            <xm:f>項目!C17:$DNG$589825</xm:f>
          </x14:formula1>
          <xm:sqref>DNO589829:DNO589852</xm:sqref>
        </x14:dataValidation>
        <x14:dataValidation type="list" allowBlank="1" showInputMessage="1" showErrorMessage="1" xr:uid="{00000000-0002-0000-0300-000033060000}">
          <x14:formula1>
            <xm:f>項目!C17:$DXC$589825</xm:f>
          </x14:formula1>
          <xm:sqref>DXK589829:DXK589852</xm:sqref>
        </x14:dataValidation>
        <x14:dataValidation type="list" allowBlank="1" showInputMessage="1" showErrorMessage="1" xr:uid="{00000000-0002-0000-0300-000034060000}">
          <x14:formula1>
            <xm:f>項目!C17:$EGY$589825</xm:f>
          </x14:formula1>
          <xm:sqref>EHG589829:EHG589852</xm:sqref>
        </x14:dataValidation>
        <x14:dataValidation type="list" allowBlank="1" showInputMessage="1" showErrorMessage="1" xr:uid="{00000000-0002-0000-0300-000035060000}">
          <x14:formula1>
            <xm:f>項目!C17:$EQU$589825</xm:f>
          </x14:formula1>
          <xm:sqref>ERC589829:ERC589852</xm:sqref>
        </x14:dataValidation>
        <x14:dataValidation type="list" allowBlank="1" showInputMessage="1" showErrorMessage="1" xr:uid="{00000000-0002-0000-0300-000036060000}">
          <x14:formula1>
            <xm:f>項目!C17:$FAQ$589825</xm:f>
          </x14:formula1>
          <xm:sqref>FAY589829:FAY589852</xm:sqref>
        </x14:dataValidation>
        <x14:dataValidation type="list" allowBlank="1" showInputMessage="1" showErrorMessage="1" xr:uid="{00000000-0002-0000-0300-000037060000}">
          <x14:formula1>
            <xm:f>項目!C17:$FKM$589825</xm:f>
          </x14:formula1>
          <xm:sqref>FKU589829:FKU589852</xm:sqref>
        </x14:dataValidation>
        <x14:dataValidation type="list" allowBlank="1" showInputMessage="1" showErrorMessage="1" xr:uid="{00000000-0002-0000-0300-000038060000}">
          <x14:formula1>
            <xm:f>項目!C17:$FUI$589825</xm:f>
          </x14:formula1>
          <xm:sqref>FUQ589829:FUQ589852</xm:sqref>
        </x14:dataValidation>
        <x14:dataValidation type="list" allowBlank="1" showInputMessage="1" showErrorMessage="1" xr:uid="{00000000-0002-0000-0300-000039060000}">
          <x14:formula1>
            <xm:f>項目!C17:$GEE$589825</xm:f>
          </x14:formula1>
          <xm:sqref>GEM589829:GEM589852</xm:sqref>
        </x14:dataValidation>
        <x14:dataValidation type="list" allowBlank="1" showInputMessage="1" showErrorMessage="1" xr:uid="{00000000-0002-0000-0300-00003A060000}">
          <x14:formula1>
            <xm:f>項目!C17:$GOA$589825</xm:f>
          </x14:formula1>
          <xm:sqref>GOI589829:GOI589852</xm:sqref>
        </x14:dataValidation>
        <x14:dataValidation type="list" allowBlank="1" showInputMessage="1" showErrorMessage="1" xr:uid="{00000000-0002-0000-0300-00003B060000}">
          <x14:formula1>
            <xm:f>項目!C17:$GXW$589825</xm:f>
          </x14:formula1>
          <xm:sqref>GYE589829:GYE589852</xm:sqref>
        </x14:dataValidation>
        <x14:dataValidation type="list" allowBlank="1" showInputMessage="1" showErrorMessage="1" xr:uid="{00000000-0002-0000-0300-00003C060000}">
          <x14:formula1>
            <xm:f>項目!C17:$HHS$589825</xm:f>
          </x14:formula1>
          <xm:sqref>HIA589829:HIA589852</xm:sqref>
        </x14:dataValidation>
        <x14:dataValidation type="list" allowBlank="1" showInputMessage="1" showErrorMessage="1" xr:uid="{00000000-0002-0000-0300-00003D060000}">
          <x14:formula1>
            <xm:f>項目!C17:$HRO$589825</xm:f>
          </x14:formula1>
          <xm:sqref>HRW589829:HRW589852</xm:sqref>
        </x14:dataValidation>
        <x14:dataValidation type="list" allowBlank="1" showInputMessage="1" showErrorMessage="1" xr:uid="{00000000-0002-0000-0300-00003E060000}">
          <x14:formula1>
            <xm:f>項目!C17:$IBK$589825</xm:f>
          </x14:formula1>
          <xm:sqref>IBS589829:IBS589852</xm:sqref>
        </x14:dataValidation>
        <x14:dataValidation type="list" allowBlank="1" showInputMessage="1" showErrorMessage="1" xr:uid="{00000000-0002-0000-0300-00003F060000}">
          <x14:formula1>
            <xm:f>項目!C17:$ILG$589825</xm:f>
          </x14:formula1>
          <xm:sqref>ILO589829:ILO589852</xm:sqref>
        </x14:dataValidation>
        <x14:dataValidation type="list" allowBlank="1" showInputMessage="1" showErrorMessage="1" xr:uid="{00000000-0002-0000-0300-000040060000}">
          <x14:formula1>
            <xm:f>項目!C17:$IVC$589825</xm:f>
          </x14:formula1>
          <xm:sqref>IVK589829:IVK589852</xm:sqref>
        </x14:dataValidation>
        <x14:dataValidation type="list" allowBlank="1" showInputMessage="1" showErrorMessage="1" xr:uid="{00000000-0002-0000-0300-000041060000}">
          <x14:formula1>
            <xm:f>項目!C17:$JEY$589825</xm:f>
          </x14:formula1>
          <xm:sqref>JFG589829:JFG589852</xm:sqref>
        </x14:dataValidation>
        <x14:dataValidation type="list" allowBlank="1" showInputMessage="1" showErrorMessage="1" xr:uid="{00000000-0002-0000-0300-000042060000}">
          <x14:formula1>
            <xm:f>項目!C17:$JOU$589825</xm:f>
          </x14:formula1>
          <xm:sqref>JPC589829:JPC589852</xm:sqref>
        </x14:dataValidation>
        <x14:dataValidation type="list" allowBlank="1" showInputMessage="1" showErrorMessage="1" xr:uid="{00000000-0002-0000-0300-000043060000}">
          <x14:formula1>
            <xm:f>項目!C17:$JYQ$589825</xm:f>
          </x14:formula1>
          <xm:sqref>JYY589829:JYY589852</xm:sqref>
        </x14:dataValidation>
        <x14:dataValidation type="list" allowBlank="1" showInputMessage="1" showErrorMessage="1" xr:uid="{00000000-0002-0000-0300-000044060000}">
          <x14:formula1>
            <xm:f>項目!C17:$KIM$589825</xm:f>
          </x14:formula1>
          <xm:sqref>KIU589829:KIU589852</xm:sqref>
        </x14:dataValidation>
        <x14:dataValidation type="list" allowBlank="1" showInputMessage="1" showErrorMessage="1" xr:uid="{00000000-0002-0000-0300-000045060000}">
          <x14:formula1>
            <xm:f>項目!C17:$KSI$589825</xm:f>
          </x14:formula1>
          <xm:sqref>KSQ589829:KSQ589852</xm:sqref>
        </x14:dataValidation>
        <x14:dataValidation type="list" allowBlank="1" showInputMessage="1" showErrorMessage="1" xr:uid="{00000000-0002-0000-0300-000046060000}">
          <x14:formula1>
            <xm:f>項目!C17:$LCE$589825</xm:f>
          </x14:formula1>
          <xm:sqref>LCM589829:LCM589852</xm:sqref>
        </x14:dataValidation>
        <x14:dataValidation type="list" allowBlank="1" showInputMessage="1" showErrorMessage="1" xr:uid="{00000000-0002-0000-0300-000047060000}">
          <x14:formula1>
            <xm:f>項目!C17:$LMA$589825</xm:f>
          </x14:formula1>
          <xm:sqref>LMI589829:LMI589852</xm:sqref>
        </x14:dataValidation>
        <x14:dataValidation type="list" allowBlank="1" showInputMessage="1" showErrorMessage="1" xr:uid="{00000000-0002-0000-0300-000048060000}">
          <x14:formula1>
            <xm:f>項目!C17:$LVW$589825</xm:f>
          </x14:formula1>
          <xm:sqref>LWE589829:LWE589852</xm:sqref>
        </x14:dataValidation>
        <x14:dataValidation type="list" allowBlank="1" showInputMessage="1" showErrorMessage="1" xr:uid="{00000000-0002-0000-0300-000049060000}">
          <x14:formula1>
            <xm:f>項目!C17:$MFS$589825</xm:f>
          </x14:formula1>
          <xm:sqref>MGA589829:MGA589852</xm:sqref>
        </x14:dataValidation>
        <x14:dataValidation type="list" allowBlank="1" showInputMessage="1" showErrorMessage="1" xr:uid="{00000000-0002-0000-0300-00004A060000}">
          <x14:formula1>
            <xm:f>項目!C17:$MPO$589825</xm:f>
          </x14:formula1>
          <xm:sqref>MPW589829:MPW589852</xm:sqref>
        </x14:dataValidation>
        <x14:dataValidation type="list" allowBlank="1" showInputMessage="1" showErrorMessage="1" xr:uid="{00000000-0002-0000-0300-00004B060000}">
          <x14:formula1>
            <xm:f>項目!C17:$MZK$589825</xm:f>
          </x14:formula1>
          <xm:sqref>MZS589829:MZS589852</xm:sqref>
        </x14:dataValidation>
        <x14:dataValidation type="list" allowBlank="1" showInputMessage="1" showErrorMessage="1" xr:uid="{00000000-0002-0000-0300-00004C060000}">
          <x14:formula1>
            <xm:f>項目!C17:$NJG$589825</xm:f>
          </x14:formula1>
          <xm:sqref>NJO589829:NJO589852</xm:sqref>
        </x14:dataValidation>
        <x14:dataValidation type="list" allowBlank="1" showInputMessage="1" showErrorMessage="1" xr:uid="{00000000-0002-0000-0300-00004D060000}">
          <x14:formula1>
            <xm:f>項目!C17:$NTC$589825</xm:f>
          </x14:formula1>
          <xm:sqref>NTK589829:NTK589852</xm:sqref>
        </x14:dataValidation>
        <x14:dataValidation type="list" allowBlank="1" showInputMessage="1" showErrorMessage="1" xr:uid="{00000000-0002-0000-0300-00004E060000}">
          <x14:formula1>
            <xm:f>項目!C17:$OCY$589825</xm:f>
          </x14:formula1>
          <xm:sqref>ODG589829:ODG589852</xm:sqref>
        </x14:dataValidation>
        <x14:dataValidation type="list" allowBlank="1" showInputMessage="1" showErrorMessage="1" xr:uid="{00000000-0002-0000-0300-00004F060000}">
          <x14:formula1>
            <xm:f>項目!C17:$OMU$589825</xm:f>
          </x14:formula1>
          <xm:sqref>ONC589829:ONC589852</xm:sqref>
        </x14:dataValidation>
        <x14:dataValidation type="list" allowBlank="1" showInputMessage="1" showErrorMessage="1" xr:uid="{00000000-0002-0000-0300-000050060000}">
          <x14:formula1>
            <xm:f>項目!C17:$OWQ$589825</xm:f>
          </x14:formula1>
          <xm:sqref>OWY589829:OWY589852</xm:sqref>
        </x14:dataValidation>
        <x14:dataValidation type="list" allowBlank="1" showInputMessage="1" showErrorMessage="1" xr:uid="{00000000-0002-0000-0300-000051060000}">
          <x14:formula1>
            <xm:f>項目!C17:$PGM$589825</xm:f>
          </x14:formula1>
          <xm:sqref>PGU589829:PGU589852</xm:sqref>
        </x14:dataValidation>
        <x14:dataValidation type="list" allowBlank="1" showInputMessage="1" showErrorMessage="1" xr:uid="{00000000-0002-0000-0300-000052060000}">
          <x14:formula1>
            <xm:f>項目!C17:$PQI$589825</xm:f>
          </x14:formula1>
          <xm:sqref>PQQ589829:PQQ589852</xm:sqref>
        </x14:dataValidation>
        <x14:dataValidation type="list" allowBlank="1" showInputMessage="1" showErrorMessage="1" xr:uid="{00000000-0002-0000-0300-000053060000}">
          <x14:formula1>
            <xm:f>項目!C17:$QAE$589825</xm:f>
          </x14:formula1>
          <xm:sqref>QAM589829:QAM589852</xm:sqref>
        </x14:dataValidation>
        <x14:dataValidation type="list" allowBlank="1" showInputMessage="1" showErrorMessage="1" xr:uid="{00000000-0002-0000-0300-000054060000}">
          <x14:formula1>
            <xm:f>項目!C17:$QKA$589825</xm:f>
          </x14:formula1>
          <xm:sqref>QKI589829:QKI589852</xm:sqref>
        </x14:dataValidation>
        <x14:dataValidation type="list" allowBlank="1" showInputMessage="1" showErrorMessage="1" xr:uid="{00000000-0002-0000-0300-000055060000}">
          <x14:formula1>
            <xm:f>項目!C17:$QTW$589825</xm:f>
          </x14:formula1>
          <xm:sqref>QUE589829:QUE589852</xm:sqref>
        </x14:dataValidation>
        <x14:dataValidation type="list" allowBlank="1" showInputMessage="1" showErrorMessage="1" xr:uid="{00000000-0002-0000-0300-000056060000}">
          <x14:formula1>
            <xm:f>項目!C17:$RDS$589825</xm:f>
          </x14:formula1>
          <xm:sqref>REA589829:REA589852</xm:sqref>
        </x14:dataValidation>
        <x14:dataValidation type="list" allowBlank="1" showInputMessage="1" showErrorMessage="1" xr:uid="{00000000-0002-0000-0300-000057060000}">
          <x14:formula1>
            <xm:f>項目!C17:$RNO$589825</xm:f>
          </x14:formula1>
          <xm:sqref>RNW589829:RNW589852</xm:sqref>
        </x14:dataValidation>
        <x14:dataValidation type="list" allowBlank="1" showInputMessage="1" showErrorMessage="1" xr:uid="{00000000-0002-0000-0300-000058060000}">
          <x14:formula1>
            <xm:f>項目!C17:$RXK$589825</xm:f>
          </x14:formula1>
          <xm:sqref>RXS589829:RXS589852</xm:sqref>
        </x14:dataValidation>
        <x14:dataValidation type="list" allowBlank="1" showInputMessage="1" showErrorMessage="1" xr:uid="{00000000-0002-0000-0300-000059060000}">
          <x14:formula1>
            <xm:f>項目!C17:$SHG$589825</xm:f>
          </x14:formula1>
          <xm:sqref>SHO589829:SHO589852</xm:sqref>
        </x14:dataValidation>
        <x14:dataValidation type="list" allowBlank="1" showInputMessage="1" showErrorMessage="1" xr:uid="{00000000-0002-0000-0300-00005A060000}">
          <x14:formula1>
            <xm:f>項目!C17:$SRC$589825</xm:f>
          </x14:formula1>
          <xm:sqref>SRK589829:SRK589852</xm:sqref>
        </x14:dataValidation>
        <x14:dataValidation type="list" allowBlank="1" showInputMessage="1" showErrorMessage="1" xr:uid="{00000000-0002-0000-0300-00005B060000}">
          <x14:formula1>
            <xm:f>項目!C17:$TAY$589825</xm:f>
          </x14:formula1>
          <xm:sqref>TBG589829:TBG589852</xm:sqref>
        </x14:dataValidation>
        <x14:dataValidation type="list" allowBlank="1" showInputMessage="1" showErrorMessage="1" xr:uid="{00000000-0002-0000-0300-00005C060000}">
          <x14:formula1>
            <xm:f>項目!C17:$TKU$589825</xm:f>
          </x14:formula1>
          <xm:sqref>TLC589829:TLC589852</xm:sqref>
        </x14:dataValidation>
        <x14:dataValidation type="list" allowBlank="1" showInputMessage="1" showErrorMessage="1" xr:uid="{00000000-0002-0000-0300-00005D060000}">
          <x14:formula1>
            <xm:f>項目!C17:$TUQ$589825</xm:f>
          </x14:formula1>
          <xm:sqref>TUY589829:TUY589852</xm:sqref>
        </x14:dataValidation>
        <x14:dataValidation type="list" allowBlank="1" showInputMessage="1" showErrorMessage="1" xr:uid="{00000000-0002-0000-0300-00005E060000}">
          <x14:formula1>
            <xm:f>項目!C17:$UEM$589825</xm:f>
          </x14:formula1>
          <xm:sqref>UEU589829:UEU589852</xm:sqref>
        </x14:dataValidation>
        <x14:dataValidation type="list" allowBlank="1" showInputMessage="1" showErrorMessage="1" xr:uid="{00000000-0002-0000-0300-00005F060000}">
          <x14:formula1>
            <xm:f>項目!C17:$UOI$589825</xm:f>
          </x14:formula1>
          <xm:sqref>UOQ589829:UOQ589852</xm:sqref>
        </x14:dataValidation>
        <x14:dataValidation type="list" allowBlank="1" showInputMessage="1" showErrorMessage="1" xr:uid="{00000000-0002-0000-0300-000060060000}">
          <x14:formula1>
            <xm:f>項目!C17:$UYE$589825</xm:f>
          </x14:formula1>
          <xm:sqref>UYM589829:UYM589852</xm:sqref>
        </x14:dataValidation>
        <x14:dataValidation type="list" allowBlank="1" showInputMessage="1" showErrorMessage="1" xr:uid="{00000000-0002-0000-0300-000061060000}">
          <x14:formula1>
            <xm:f>項目!C17:$VIA$589825</xm:f>
          </x14:formula1>
          <xm:sqref>VII589829:VII589852</xm:sqref>
        </x14:dataValidation>
        <x14:dataValidation type="list" allowBlank="1" showInputMessage="1" showErrorMessage="1" xr:uid="{00000000-0002-0000-0300-000062060000}">
          <x14:formula1>
            <xm:f>項目!C17:$VRW$589825</xm:f>
          </x14:formula1>
          <xm:sqref>VSE589829:VSE589852</xm:sqref>
        </x14:dataValidation>
        <x14:dataValidation type="list" allowBlank="1" showInputMessage="1" showErrorMessage="1" xr:uid="{00000000-0002-0000-0300-000063060000}">
          <x14:formula1>
            <xm:f>項目!C17:$WBS$589825</xm:f>
          </x14:formula1>
          <xm:sqref>WCA589829:WCA589852</xm:sqref>
        </x14:dataValidation>
        <x14:dataValidation type="list" allowBlank="1" showInputMessage="1" showErrorMessage="1" xr:uid="{00000000-0002-0000-0300-000064060000}">
          <x14:formula1>
            <xm:f>項目!C17:$WLO$589825</xm:f>
          </x14:formula1>
          <xm:sqref>WLW589829:WLW589852</xm:sqref>
        </x14:dataValidation>
        <x14:dataValidation type="list" allowBlank="1" showInputMessage="1" showErrorMessage="1" xr:uid="{00000000-0002-0000-0300-000065060000}">
          <x14:formula1>
            <xm:f>項目!C17:$WVK$589825</xm:f>
          </x14:formula1>
          <xm:sqref>WVS589829:WVS589852</xm:sqref>
        </x14:dataValidation>
        <x14:dataValidation type="list" allowBlank="1" showInputMessage="1" showErrorMessage="1" xr:uid="{00000000-0002-0000-0300-000066060000}">
          <x14:formula1>
            <xm:f>項目!C17:$IY$655361</xm:f>
          </x14:formula1>
          <xm:sqref>JG655365:JG655388</xm:sqref>
        </x14:dataValidation>
        <x14:dataValidation type="list" allowBlank="1" showInputMessage="1" showErrorMessage="1" xr:uid="{00000000-0002-0000-0300-000067060000}">
          <x14:formula1>
            <xm:f>項目!C17:$SU$655361</xm:f>
          </x14:formula1>
          <xm:sqref>TC655365:TC655388</xm:sqref>
        </x14:dataValidation>
        <x14:dataValidation type="list" allowBlank="1" showInputMessage="1" showErrorMessage="1" xr:uid="{00000000-0002-0000-0300-000068060000}">
          <x14:formula1>
            <xm:f>項目!C17:$ACQ$655361</xm:f>
          </x14:formula1>
          <xm:sqref>ACY655365:ACY655388</xm:sqref>
        </x14:dataValidation>
        <x14:dataValidation type="list" allowBlank="1" showInputMessage="1" showErrorMessage="1" xr:uid="{00000000-0002-0000-0300-000069060000}">
          <x14:formula1>
            <xm:f>項目!C17:$AMM$655361</xm:f>
          </x14:formula1>
          <xm:sqref>AMU655365:AMU655388</xm:sqref>
        </x14:dataValidation>
        <x14:dataValidation type="list" allowBlank="1" showInputMessage="1" showErrorMessage="1" xr:uid="{00000000-0002-0000-0300-00006A060000}">
          <x14:formula1>
            <xm:f>項目!C17:$AWI$655361</xm:f>
          </x14:formula1>
          <xm:sqref>AWQ655365:AWQ655388</xm:sqref>
        </x14:dataValidation>
        <x14:dataValidation type="list" allowBlank="1" showInputMessage="1" showErrorMessage="1" xr:uid="{00000000-0002-0000-0300-00006B060000}">
          <x14:formula1>
            <xm:f>項目!C17:$BGE$655361</xm:f>
          </x14:formula1>
          <xm:sqref>BGM655365:BGM655388</xm:sqref>
        </x14:dataValidation>
        <x14:dataValidation type="list" allowBlank="1" showInputMessage="1" showErrorMessage="1" xr:uid="{00000000-0002-0000-0300-00006C060000}">
          <x14:formula1>
            <xm:f>項目!C17:$BQA$655361</xm:f>
          </x14:formula1>
          <xm:sqref>BQI655365:BQI655388</xm:sqref>
        </x14:dataValidation>
        <x14:dataValidation type="list" allowBlank="1" showInputMessage="1" showErrorMessage="1" xr:uid="{00000000-0002-0000-0300-00006D060000}">
          <x14:formula1>
            <xm:f>項目!C17:$BZW$655361</xm:f>
          </x14:formula1>
          <xm:sqref>CAE655365:CAE655388</xm:sqref>
        </x14:dataValidation>
        <x14:dataValidation type="list" allowBlank="1" showInputMessage="1" showErrorMessage="1" xr:uid="{00000000-0002-0000-0300-00006E060000}">
          <x14:formula1>
            <xm:f>項目!C17:$CJS$655361</xm:f>
          </x14:formula1>
          <xm:sqref>CKA655365:CKA655388</xm:sqref>
        </x14:dataValidation>
        <x14:dataValidation type="list" allowBlank="1" showInputMessage="1" showErrorMessage="1" xr:uid="{00000000-0002-0000-0300-00006F060000}">
          <x14:formula1>
            <xm:f>項目!C17:$CTO$655361</xm:f>
          </x14:formula1>
          <xm:sqref>CTW655365:CTW655388</xm:sqref>
        </x14:dataValidation>
        <x14:dataValidation type="list" allowBlank="1" showInputMessage="1" showErrorMessage="1" xr:uid="{00000000-0002-0000-0300-000070060000}">
          <x14:formula1>
            <xm:f>項目!C17:$DDK$655361</xm:f>
          </x14:formula1>
          <xm:sqref>DDS655365:DDS655388</xm:sqref>
        </x14:dataValidation>
        <x14:dataValidation type="list" allowBlank="1" showInputMessage="1" showErrorMessage="1" xr:uid="{00000000-0002-0000-0300-000071060000}">
          <x14:formula1>
            <xm:f>項目!C17:$DNG$655361</xm:f>
          </x14:formula1>
          <xm:sqref>DNO655365:DNO655388</xm:sqref>
        </x14:dataValidation>
        <x14:dataValidation type="list" allowBlank="1" showInputMessage="1" showErrorMessage="1" xr:uid="{00000000-0002-0000-0300-000072060000}">
          <x14:formula1>
            <xm:f>項目!C17:$DXC$655361</xm:f>
          </x14:formula1>
          <xm:sqref>DXK655365:DXK655388</xm:sqref>
        </x14:dataValidation>
        <x14:dataValidation type="list" allowBlank="1" showInputMessage="1" showErrorMessage="1" xr:uid="{00000000-0002-0000-0300-000073060000}">
          <x14:formula1>
            <xm:f>項目!C17:$EGY$655361</xm:f>
          </x14:formula1>
          <xm:sqref>EHG655365:EHG655388</xm:sqref>
        </x14:dataValidation>
        <x14:dataValidation type="list" allowBlank="1" showInputMessage="1" showErrorMessage="1" xr:uid="{00000000-0002-0000-0300-000074060000}">
          <x14:formula1>
            <xm:f>項目!C17:$EQU$655361</xm:f>
          </x14:formula1>
          <xm:sqref>ERC655365:ERC655388</xm:sqref>
        </x14:dataValidation>
        <x14:dataValidation type="list" allowBlank="1" showInputMessage="1" showErrorMessage="1" xr:uid="{00000000-0002-0000-0300-000075060000}">
          <x14:formula1>
            <xm:f>項目!C17:$FAQ$655361</xm:f>
          </x14:formula1>
          <xm:sqref>FAY655365:FAY655388</xm:sqref>
        </x14:dataValidation>
        <x14:dataValidation type="list" allowBlank="1" showInputMessage="1" showErrorMessage="1" xr:uid="{00000000-0002-0000-0300-000076060000}">
          <x14:formula1>
            <xm:f>項目!C17:$FKM$655361</xm:f>
          </x14:formula1>
          <xm:sqref>FKU655365:FKU655388</xm:sqref>
        </x14:dataValidation>
        <x14:dataValidation type="list" allowBlank="1" showInputMessage="1" showErrorMessage="1" xr:uid="{00000000-0002-0000-0300-000077060000}">
          <x14:formula1>
            <xm:f>項目!C17:$FUI$655361</xm:f>
          </x14:formula1>
          <xm:sqref>FUQ655365:FUQ655388</xm:sqref>
        </x14:dataValidation>
        <x14:dataValidation type="list" allowBlank="1" showInputMessage="1" showErrorMessage="1" xr:uid="{00000000-0002-0000-0300-000078060000}">
          <x14:formula1>
            <xm:f>項目!C17:$GEE$655361</xm:f>
          </x14:formula1>
          <xm:sqref>GEM655365:GEM655388</xm:sqref>
        </x14:dataValidation>
        <x14:dataValidation type="list" allowBlank="1" showInputMessage="1" showErrorMessage="1" xr:uid="{00000000-0002-0000-0300-000079060000}">
          <x14:formula1>
            <xm:f>項目!C17:$GOA$655361</xm:f>
          </x14:formula1>
          <xm:sqref>GOI655365:GOI655388</xm:sqref>
        </x14:dataValidation>
        <x14:dataValidation type="list" allowBlank="1" showInputMessage="1" showErrorMessage="1" xr:uid="{00000000-0002-0000-0300-00007A060000}">
          <x14:formula1>
            <xm:f>項目!C17:$GXW$655361</xm:f>
          </x14:formula1>
          <xm:sqref>GYE655365:GYE655388</xm:sqref>
        </x14:dataValidation>
        <x14:dataValidation type="list" allowBlank="1" showInputMessage="1" showErrorMessage="1" xr:uid="{00000000-0002-0000-0300-00007B060000}">
          <x14:formula1>
            <xm:f>項目!C17:$HHS$655361</xm:f>
          </x14:formula1>
          <xm:sqref>HIA655365:HIA655388</xm:sqref>
        </x14:dataValidation>
        <x14:dataValidation type="list" allowBlank="1" showInputMessage="1" showErrorMessage="1" xr:uid="{00000000-0002-0000-0300-00007C060000}">
          <x14:formula1>
            <xm:f>項目!C17:$HRO$655361</xm:f>
          </x14:formula1>
          <xm:sqref>HRW655365:HRW655388</xm:sqref>
        </x14:dataValidation>
        <x14:dataValidation type="list" allowBlank="1" showInputMessage="1" showErrorMessage="1" xr:uid="{00000000-0002-0000-0300-00007D060000}">
          <x14:formula1>
            <xm:f>項目!C17:$IBK$655361</xm:f>
          </x14:formula1>
          <xm:sqref>IBS655365:IBS655388</xm:sqref>
        </x14:dataValidation>
        <x14:dataValidation type="list" allowBlank="1" showInputMessage="1" showErrorMessage="1" xr:uid="{00000000-0002-0000-0300-00007E060000}">
          <x14:formula1>
            <xm:f>項目!C17:$ILG$655361</xm:f>
          </x14:formula1>
          <xm:sqref>ILO655365:ILO655388</xm:sqref>
        </x14:dataValidation>
        <x14:dataValidation type="list" allowBlank="1" showInputMessage="1" showErrorMessage="1" xr:uid="{00000000-0002-0000-0300-00007F060000}">
          <x14:formula1>
            <xm:f>項目!C17:$IVC$655361</xm:f>
          </x14:formula1>
          <xm:sqref>IVK655365:IVK655388</xm:sqref>
        </x14:dataValidation>
        <x14:dataValidation type="list" allowBlank="1" showInputMessage="1" showErrorMessage="1" xr:uid="{00000000-0002-0000-0300-000080060000}">
          <x14:formula1>
            <xm:f>項目!C17:$JEY$655361</xm:f>
          </x14:formula1>
          <xm:sqref>JFG655365:JFG655388</xm:sqref>
        </x14:dataValidation>
        <x14:dataValidation type="list" allowBlank="1" showInputMessage="1" showErrorMessage="1" xr:uid="{00000000-0002-0000-0300-000081060000}">
          <x14:formula1>
            <xm:f>項目!C17:$JOU$655361</xm:f>
          </x14:formula1>
          <xm:sqref>JPC655365:JPC655388</xm:sqref>
        </x14:dataValidation>
        <x14:dataValidation type="list" allowBlank="1" showInputMessage="1" showErrorMessage="1" xr:uid="{00000000-0002-0000-0300-000082060000}">
          <x14:formula1>
            <xm:f>項目!C17:$JYQ$655361</xm:f>
          </x14:formula1>
          <xm:sqref>JYY655365:JYY655388</xm:sqref>
        </x14:dataValidation>
        <x14:dataValidation type="list" allowBlank="1" showInputMessage="1" showErrorMessage="1" xr:uid="{00000000-0002-0000-0300-000083060000}">
          <x14:formula1>
            <xm:f>項目!C17:$KIM$655361</xm:f>
          </x14:formula1>
          <xm:sqref>KIU655365:KIU655388</xm:sqref>
        </x14:dataValidation>
        <x14:dataValidation type="list" allowBlank="1" showInputMessage="1" showErrorMessage="1" xr:uid="{00000000-0002-0000-0300-000084060000}">
          <x14:formula1>
            <xm:f>項目!C17:$KSI$655361</xm:f>
          </x14:formula1>
          <xm:sqref>KSQ655365:KSQ655388</xm:sqref>
        </x14:dataValidation>
        <x14:dataValidation type="list" allowBlank="1" showInputMessage="1" showErrorMessage="1" xr:uid="{00000000-0002-0000-0300-000085060000}">
          <x14:formula1>
            <xm:f>項目!C17:$LCE$655361</xm:f>
          </x14:formula1>
          <xm:sqref>LCM655365:LCM655388</xm:sqref>
        </x14:dataValidation>
        <x14:dataValidation type="list" allowBlank="1" showInputMessage="1" showErrorMessage="1" xr:uid="{00000000-0002-0000-0300-000086060000}">
          <x14:formula1>
            <xm:f>項目!C17:$LMA$655361</xm:f>
          </x14:formula1>
          <xm:sqref>LMI655365:LMI655388</xm:sqref>
        </x14:dataValidation>
        <x14:dataValidation type="list" allowBlank="1" showInputMessage="1" showErrorMessage="1" xr:uid="{00000000-0002-0000-0300-000087060000}">
          <x14:formula1>
            <xm:f>項目!C17:$LVW$655361</xm:f>
          </x14:formula1>
          <xm:sqref>LWE655365:LWE655388</xm:sqref>
        </x14:dataValidation>
        <x14:dataValidation type="list" allowBlank="1" showInputMessage="1" showErrorMessage="1" xr:uid="{00000000-0002-0000-0300-000088060000}">
          <x14:formula1>
            <xm:f>項目!C17:$MFS$655361</xm:f>
          </x14:formula1>
          <xm:sqref>MGA655365:MGA655388</xm:sqref>
        </x14:dataValidation>
        <x14:dataValidation type="list" allowBlank="1" showInputMessage="1" showErrorMessage="1" xr:uid="{00000000-0002-0000-0300-000089060000}">
          <x14:formula1>
            <xm:f>項目!C17:$MPO$655361</xm:f>
          </x14:formula1>
          <xm:sqref>MPW655365:MPW655388</xm:sqref>
        </x14:dataValidation>
        <x14:dataValidation type="list" allowBlank="1" showInputMessage="1" showErrorMessage="1" xr:uid="{00000000-0002-0000-0300-00008A060000}">
          <x14:formula1>
            <xm:f>項目!C17:$MZK$655361</xm:f>
          </x14:formula1>
          <xm:sqref>MZS655365:MZS655388</xm:sqref>
        </x14:dataValidation>
        <x14:dataValidation type="list" allowBlank="1" showInputMessage="1" showErrorMessage="1" xr:uid="{00000000-0002-0000-0300-00008B060000}">
          <x14:formula1>
            <xm:f>項目!C17:$NJG$655361</xm:f>
          </x14:formula1>
          <xm:sqref>NJO655365:NJO655388</xm:sqref>
        </x14:dataValidation>
        <x14:dataValidation type="list" allowBlank="1" showInputMessage="1" showErrorMessage="1" xr:uid="{00000000-0002-0000-0300-00008C060000}">
          <x14:formula1>
            <xm:f>項目!C17:$NTC$655361</xm:f>
          </x14:formula1>
          <xm:sqref>NTK655365:NTK655388</xm:sqref>
        </x14:dataValidation>
        <x14:dataValidation type="list" allowBlank="1" showInputMessage="1" showErrorMessage="1" xr:uid="{00000000-0002-0000-0300-00008D060000}">
          <x14:formula1>
            <xm:f>項目!C17:$OCY$655361</xm:f>
          </x14:formula1>
          <xm:sqref>ODG655365:ODG655388</xm:sqref>
        </x14:dataValidation>
        <x14:dataValidation type="list" allowBlank="1" showInputMessage="1" showErrorMessage="1" xr:uid="{00000000-0002-0000-0300-00008E060000}">
          <x14:formula1>
            <xm:f>項目!C17:$OMU$655361</xm:f>
          </x14:formula1>
          <xm:sqref>ONC655365:ONC655388</xm:sqref>
        </x14:dataValidation>
        <x14:dataValidation type="list" allowBlank="1" showInputMessage="1" showErrorMessage="1" xr:uid="{00000000-0002-0000-0300-00008F060000}">
          <x14:formula1>
            <xm:f>項目!C17:$OWQ$655361</xm:f>
          </x14:formula1>
          <xm:sqref>OWY655365:OWY655388</xm:sqref>
        </x14:dataValidation>
        <x14:dataValidation type="list" allowBlank="1" showInputMessage="1" showErrorMessage="1" xr:uid="{00000000-0002-0000-0300-000090060000}">
          <x14:formula1>
            <xm:f>項目!C17:$PGM$655361</xm:f>
          </x14:formula1>
          <xm:sqref>PGU655365:PGU655388</xm:sqref>
        </x14:dataValidation>
        <x14:dataValidation type="list" allowBlank="1" showInputMessage="1" showErrorMessage="1" xr:uid="{00000000-0002-0000-0300-000091060000}">
          <x14:formula1>
            <xm:f>項目!C17:$PQI$655361</xm:f>
          </x14:formula1>
          <xm:sqref>PQQ655365:PQQ655388</xm:sqref>
        </x14:dataValidation>
        <x14:dataValidation type="list" allowBlank="1" showInputMessage="1" showErrorMessage="1" xr:uid="{00000000-0002-0000-0300-000092060000}">
          <x14:formula1>
            <xm:f>項目!C17:$QAE$655361</xm:f>
          </x14:formula1>
          <xm:sqref>QAM655365:QAM655388</xm:sqref>
        </x14:dataValidation>
        <x14:dataValidation type="list" allowBlank="1" showInputMessage="1" showErrorMessage="1" xr:uid="{00000000-0002-0000-0300-000093060000}">
          <x14:formula1>
            <xm:f>項目!C17:$QKA$655361</xm:f>
          </x14:formula1>
          <xm:sqref>QKI655365:QKI655388</xm:sqref>
        </x14:dataValidation>
        <x14:dataValidation type="list" allowBlank="1" showInputMessage="1" showErrorMessage="1" xr:uid="{00000000-0002-0000-0300-000094060000}">
          <x14:formula1>
            <xm:f>項目!C17:$QTW$655361</xm:f>
          </x14:formula1>
          <xm:sqref>QUE655365:QUE655388</xm:sqref>
        </x14:dataValidation>
        <x14:dataValidation type="list" allowBlank="1" showInputMessage="1" showErrorMessage="1" xr:uid="{00000000-0002-0000-0300-000095060000}">
          <x14:formula1>
            <xm:f>項目!C17:$RDS$655361</xm:f>
          </x14:formula1>
          <xm:sqref>REA655365:REA655388</xm:sqref>
        </x14:dataValidation>
        <x14:dataValidation type="list" allowBlank="1" showInputMessage="1" showErrorMessage="1" xr:uid="{00000000-0002-0000-0300-000096060000}">
          <x14:formula1>
            <xm:f>項目!C17:$RNO$655361</xm:f>
          </x14:formula1>
          <xm:sqref>RNW655365:RNW655388</xm:sqref>
        </x14:dataValidation>
        <x14:dataValidation type="list" allowBlank="1" showInputMessage="1" showErrorMessage="1" xr:uid="{00000000-0002-0000-0300-000097060000}">
          <x14:formula1>
            <xm:f>項目!C17:$RXK$655361</xm:f>
          </x14:formula1>
          <xm:sqref>RXS655365:RXS655388</xm:sqref>
        </x14:dataValidation>
        <x14:dataValidation type="list" allowBlank="1" showInputMessage="1" showErrorMessage="1" xr:uid="{00000000-0002-0000-0300-000098060000}">
          <x14:formula1>
            <xm:f>項目!C17:$SHG$655361</xm:f>
          </x14:formula1>
          <xm:sqref>SHO655365:SHO655388</xm:sqref>
        </x14:dataValidation>
        <x14:dataValidation type="list" allowBlank="1" showInputMessage="1" showErrorMessage="1" xr:uid="{00000000-0002-0000-0300-000099060000}">
          <x14:formula1>
            <xm:f>項目!C17:$SRC$655361</xm:f>
          </x14:formula1>
          <xm:sqref>SRK655365:SRK655388</xm:sqref>
        </x14:dataValidation>
        <x14:dataValidation type="list" allowBlank="1" showInputMessage="1" showErrorMessage="1" xr:uid="{00000000-0002-0000-0300-00009A060000}">
          <x14:formula1>
            <xm:f>項目!C17:$TAY$655361</xm:f>
          </x14:formula1>
          <xm:sqref>TBG655365:TBG655388</xm:sqref>
        </x14:dataValidation>
        <x14:dataValidation type="list" allowBlank="1" showInputMessage="1" showErrorMessage="1" xr:uid="{00000000-0002-0000-0300-00009B060000}">
          <x14:formula1>
            <xm:f>項目!C17:$TKU$655361</xm:f>
          </x14:formula1>
          <xm:sqref>TLC655365:TLC655388</xm:sqref>
        </x14:dataValidation>
        <x14:dataValidation type="list" allowBlank="1" showInputMessage="1" showErrorMessage="1" xr:uid="{00000000-0002-0000-0300-00009C060000}">
          <x14:formula1>
            <xm:f>項目!C17:$TUQ$655361</xm:f>
          </x14:formula1>
          <xm:sqref>TUY655365:TUY655388</xm:sqref>
        </x14:dataValidation>
        <x14:dataValidation type="list" allowBlank="1" showInputMessage="1" showErrorMessage="1" xr:uid="{00000000-0002-0000-0300-00009D060000}">
          <x14:formula1>
            <xm:f>項目!C17:$UEM$655361</xm:f>
          </x14:formula1>
          <xm:sqref>UEU655365:UEU655388</xm:sqref>
        </x14:dataValidation>
        <x14:dataValidation type="list" allowBlank="1" showInputMessage="1" showErrorMessage="1" xr:uid="{00000000-0002-0000-0300-00009E060000}">
          <x14:formula1>
            <xm:f>項目!C17:$UOI$655361</xm:f>
          </x14:formula1>
          <xm:sqref>UOQ655365:UOQ655388</xm:sqref>
        </x14:dataValidation>
        <x14:dataValidation type="list" allowBlank="1" showInputMessage="1" showErrorMessage="1" xr:uid="{00000000-0002-0000-0300-00009F060000}">
          <x14:formula1>
            <xm:f>項目!C17:$UYE$655361</xm:f>
          </x14:formula1>
          <xm:sqref>UYM655365:UYM655388</xm:sqref>
        </x14:dataValidation>
        <x14:dataValidation type="list" allowBlank="1" showInputMessage="1" showErrorMessage="1" xr:uid="{00000000-0002-0000-0300-0000A0060000}">
          <x14:formula1>
            <xm:f>項目!C17:$VIA$655361</xm:f>
          </x14:formula1>
          <xm:sqref>VII655365:VII655388</xm:sqref>
        </x14:dataValidation>
        <x14:dataValidation type="list" allowBlank="1" showInputMessage="1" showErrorMessage="1" xr:uid="{00000000-0002-0000-0300-0000A1060000}">
          <x14:formula1>
            <xm:f>項目!C17:$VRW$655361</xm:f>
          </x14:formula1>
          <xm:sqref>VSE655365:VSE655388</xm:sqref>
        </x14:dataValidation>
        <x14:dataValidation type="list" allowBlank="1" showInputMessage="1" showErrorMessage="1" xr:uid="{00000000-0002-0000-0300-0000A2060000}">
          <x14:formula1>
            <xm:f>項目!C17:$WBS$655361</xm:f>
          </x14:formula1>
          <xm:sqref>WCA655365:WCA655388</xm:sqref>
        </x14:dataValidation>
        <x14:dataValidation type="list" allowBlank="1" showInputMessage="1" showErrorMessage="1" xr:uid="{00000000-0002-0000-0300-0000A3060000}">
          <x14:formula1>
            <xm:f>項目!C17:$WLO$655361</xm:f>
          </x14:formula1>
          <xm:sqref>WLW655365:WLW655388</xm:sqref>
        </x14:dataValidation>
        <x14:dataValidation type="list" allowBlank="1" showInputMessage="1" showErrorMessage="1" xr:uid="{00000000-0002-0000-0300-0000A4060000}">
          <x14:formula1>
            <xm:f>項目!C17:$WVK$655361</xm:f>
          </x14:formula1>
          <xm:sqref>WVS655365:WVS655388</xm:sqref>
        </x14:dataValidation>
        <x14:dataValidation type="list" allowBlank="1" showInputMessage="1" showErrorMessage="1" xr:uid="{00000000-0002-0000-0300-0000A5060000}">
          <x14:formula1>
            <xm:f>項目!C17:$IY$720897</xm:f>
          </x14:formula1>
          <xm:sqref>JG720901:JG720924</xm:sqref>
        </x14:dataValidation>
        <x14:dataValidation type="list" allowBlank="1" showInputMessage="1" showErrorMessage="1" xr:uid="{00000000-0002-0000-0300-0000A6060000}">
          <x14:formula1>
            <xm:f>項目!C17:$SU$720897</xm:f>
          </x14:formula1>
          <xm:sqref>TC720901:TC720924</xm:sqref>
        </x14:dataValidation>
        <x14:dataValidation type="list" allowBlank="1" showInputMessage="1" showErrorMessage="1" xr:uid="{00000000-0002-0000-0300-0000A7060000}">
          <x14:formula1>
            <xm:f>項目!C17:$ACQ$720897</xm:f>
          </x14:formula1>
          <xm:sqref>ACY720901:ACY720924</xm:sqref>
        </x14:dataValidation>
        <x14:dataValidation type="list" allowBlank="1" showInputMessage="1" showErrorMessage="1" xr:uid="{00000000-0002-0000-0300-0000A8060000}">
          <x14:formula1>
            <xm:f>項目!C17:$AMM$720897</xm:f>
          </x14:formula1>
          <xm:sqref>AMU720901:AMU720924</xm:sqref>
        </x14:dataValidation>
        <x14:dataValidation type="list" allowBlank="1" showInputMessage="1" showErrorMessage="1" xr:uid="{00000000-0002-0000-0300-0000A9060000}">
          <x14:formula1>
            <xm:f>項目!C17:$AWI$720897</xm:f>
          </x14:formula1>
          <xm:sqref>AWQ720901:AWQ720924</xm:sqref>
        </x14:dataValidation>
        <x14:dataValidation type="list" allowBlank="1" showInputMessage="1" showErrorMessage="1" xr:uid="{00000000-0002-0000-0300-0000AA060000}">
          <x14:formula1>
            <xm:f>項目!C17:$BGE$720897</xm:f>
          </x14:formula1>
          <xm:sqref>BGM720901:BGM720924</xm:sqref>
        </x14:dataValidation>
        <x14:dataValidation type="list" allowBlank="1" showInputMessage="1" showErrorMessage="1" xr:uid="{00000000-0002-0000-0300-0000AB060000}">
          <x14:formula1>
            <xm:f>項目!C17:$BQA$720897</xm:f>
          </x14:formula1>
          <xm:sqref>BQI720901:BQI720924</xm:sqref>
        </x14:dataValidation>
        <x14:dataValidation type="list" allowBlank="1" showInputMessage="1" showErrorMessage="1" xr:uid="{00000000-0002-0000-0300-0000AC060000}">
          <x14:formula1>
            <xm:f>項目!C17:$BZW$720897</xm:f>
          </x14:formula1>
          <xm:sqref>CAE720901:CAE720924</xm:sqref>
        </x14:dataValidation>
        <x14:dataValidation type="list" allowBlank="1" showInputMessage="1" showErrorMessage="1" xr:uid="{00000000-0002-0000-0300-0000AD060000}">
          <x14:formula1>
            <xm:f>項目!C17:$CJS$720897</xm:f>
          </x14:formula1>
          <xm:sqref>CKA720901:CKA720924</xm:sqref>
        </x14:dataValidation>
        <x14:dataValidation type="list" allowBlank="1" showInputMessage="1" showErrorMessage="1" xr:uid="{00000000-0002-0000-0300-0000AE060000}">
          <x14:formula1>
            <xm:f>項目!C17:$CTO$720897</xm:f>
          </x14:formula1>
          <xm:sqref>CTW720901:CTW720924</xm:sqref>
        </x14:dataValidation>
        <x14:dataValidation type="list" allowBlank="1" showInputMessage="1" showErrorMessage="1" xr:uid="{00000000-0002-0000-0300-0000AF060000}">
          <x14:formula1>
            <xm:f>項目!C17:$DDK$720897</xm:f>
          </x14:formula1>
          <xm:sqref>DDS720901:DDS720924</xm:sqref>
        </x14:dataValidation>
        <x14:dataValidation type="list" allowBlank="1" showInputMessage="1" showErrorMessage="1" xr:uid="{00000000-0002-0000-0300-0000B0060000}">
          <x14:formula1>
            <xm:f>項目!C17:$DNG$720897</xm:f>
          </x14:formula1>
          <xm:sqref>DNO720901:DNO720924</xm:sqref>
        </x14:dataValidation>
        <x14:dataValidation type="list" allowBlank="1" showInputMessage="1" showErrorMessage="1" xr:uid="{00000000-0002-0000-0300-0000B1060000}">
          <x14:formula1>
            <xm:f>項目!C17:$DXC$720897</xm:f>
          </x14:formula1>
          <xm:sqref>DXK720901:DXK720924</xm:sqref>
        </x14:dataValidation>
        <x14:dataValidation type="list" allowBlank="1" showInputMessage="1" showErrorMessage="1" xr:uid="{00000000-0002-0000-0300-0000B2060000}">
          <x14:formula1>
            <xm:f>項目!C17:$EGY$720897</xm:f>
          </x14:formula1>
          <xm:sqref>EHG720901:EHG720924</xm:sqref>
        </x14:dataValidation>
        <x14:dataValidation type="list" allowBlank="1" showInputMessage="1" showErrorMessage="1" xr:uid="{00000000-0002-0000-0300-0000B3060000}">
          <x14:formula1>
            <xm:f>項目!C17:$EQU$720897</xm:f>
          </x14:formula1>
          <xm:sqref>ERC720901:ERC720924</xm:sqref>
        </x14:dataValidation>
        <x14:dataValidation type="list" allowBlank="1" showInputMessage="1" showErrorMessage="1" xr:uid="{00000000-0002-0000-0300-0000B4060000}">
          <x14:formula1>
            <xm:f>項目!C17:$FAQ$720897</xm:f>
          </x14:formula1>
          <xm:sqref>FAY720901:FAY720924</xm:sqref>
        </x14:dataValidation>
        <x14:dataValidation type="list" allowBlank="1" showInputMessage="1" showErrorMessage="1" xr:uid="{00000000-0002-0000-0300-0000B5060000}">
          <x14:formula1>
            <xm:f>項目!C17:$FKM$720897</xm:f>
          </x14:formula1>
          <xm:sqref>FKU720901:FKU720924</xm:sqref>
        </x14:dataValidation>
        <x14:dataValidation type="list" allowBlank="1" showInputMessage="1" showErrorMessage="1" xr:uid="{00000000-0002-0000-0300-0000B6060000}">
          <x14:formula1>
            <xm:f>項目!C17:$FUI$720897</xm:f>
          </x14:formula1>
          <xm:sqref>FUQ720901:FUQ720924</xm:sqref>
        </x14:dataValidation>
        <x14:dataValidation type="list" allowBlank="1" showInputMessage="1" showErrorMessage="1" xr:uid="{00000000-0002-0000-0300-0000B7060000}">
          <x14:formula1>
            <xm:f>項目!C17:$GEE$720897</xm:f>
          </x14:formula1>
          <xm:sqref>GEM720901:GEM720924</xm:sqref>
        </x14:dataValidation>
        <x14:dataValidation type="list" allowBlank="1" showInputMessage="1" showErrorMessage="1" xr:uid="{00000000-0002-0000-0300-0000B8060000}">
          <x14:formula1>
            <xm:f>項目!C17:$GOA$720897</xm:f>
          </x14:formula1>
          <xm:sqref>GOI720901:GOI720924</xm:sqref>
        </x14:dataValidation>
        <x14:dataValidation type="list" allowBlank="1" showInputMessage="1" showErrorMessage="1" xr:uid="{00000000-0002-0000-0300-0000B9060000}">
          <x14:formula1>
            <xm:f>項目!C17:$GXW$720897</xm:f>
          </x14:formula1>
          <xm:sqref>GYE720901:GYE720924</xm:sqref>
        </x14:dataValidation>
        <x14:dataValidation type="list" allowBlank="1" showInputMessage="1" showErrorMessage="1" xr:uid="{00000000-0002-0000-0300-0000BA060000}">
          <x14:formula1>
            <xm:f>項目!C17:$HHS$720897</xm:f>
          </x14:formula1>
          <xm:sqref>HIA720901:HIA720924</xm:sqref>
        </x14:dataValidation>
        <x14:dataValidation type="list" allowBlank="1" showInputMessage="1" showErrorMessage="1" xr:uid="{00000000-0002-0000-0300-0000BB060000}">
          <x14:formula1>
            <xm:f>項目!C17:$HRO$720897</xm:f>
          </x14:formula1>
          <xm:sqref>HRW720901:HRW720924</xm:sqref>
        </x14:dataValidation>
        <x14:dataValidation type="list" allowBlank="1" showInputMessage="1" showErrorMessage="1" xr:uid="{00000000-0002-0000-0300-0000BC060000}">
          <x14:formula1>
            <xm:f>項目!C17:$IBK$720897</xm:f>
          </x14:formula1>
          <xm:sqref>IBS720901:IBS720924</xm:sqref>
        </x14:dataValidation>
        <x14:dataValidation type="list" allowBlank="1" showInputMessage="1" showErrorMessage="1" xr:uid="{00000000-0002-0000-0300-0000BD060000}">
          <x14:formula1>
            <xm:f>項目!C17:$ILG$720897</xm:f>
          </x14:formula1>
          <xm:sqref>ILO720901:ILO720924</xm:sqref>
        </x14:dataValidation>
        <x14:dataValidation type="list" allowBlank="1" showInputMessage="1" showErrorMessage="1" xr:uid="{00000000-0002-0000-0300-0000BE060000}">
          <x14:formula1>
            <xm:f>項目!C17:$IVC$720897</xm:f>
          </x14:formula1>
          <xm:sqref>IVK720901:IVK720924</xm:sqref>
        </x14:dataValidation>
        <x14:dataValidation type="list" allowBlank="1" showInputMessage="1" showErrorMessage="1" xr:uid="{00000000-0002-0000-0300-0000BF060000}">
          <x14:formula1>
            <xm:f>項目!C17:$JEY$720897</xm:f>
          </x14:formula1>
          <xm:sqref>JFG720901:JFG720924</xm:sqref>
        </x14:dataValidation>
        <x14:dataValidation type="list" allowBlank="1" showInputMessage="1" showErrorMessage="1" xr:uid="{00000000-0002-0000-0300-0000C0060000}">
          <x14:formula1>
            <xm:f>項目!C17:$JOU$720897</xm:f>
          </x14:formula1>
          <xm:sqref>JPC720901:JPC720924</xm:sqref>
        </x14:dataValidation>
        <x14:dataValidation type="list" allowBlank="1" showInputMessage="1" showErrorMessage="1" xr:uid="{00000000-0002-0000-0300-0000C1060000}">
          <x14:formula1>
            <xm:f>項目!C17:$JYQ$720897</xm:f>
          </x14:formula1>
          <xm:sqref>JYY720901:JYY720924</xm:sqref>
        </x14:dataValidation>
        <x14:dataValidation type="list" allowBlank="1" showInputMessage="1" showErrorMessage="1" xr:uid="{00000000-0002-0000-0300-0000C2060000}">
          <x14:formula1>
            <xm:f>項目!C17:$KIM$720897</xm:f>
          </x14:formula1>
          <xm:sqref>KIU720901:KIU720924</xm:sqref>
        </x14:dataValidation>
        <x14:dataValidation type="list" allowBlank="1" showInputMessage="1" showErrorMessage="1" xr:uid="{00000000-0002-0000-0300-0000C3060000}">
          <x14:formula1>
            <xm:f>項目!C17:$KSI$720897</xm:f>
          </x14:formula1>
          <xm:sqref>KSQ720901:KSQ720924</xm:sqref>
        </x14:dataValidation>
        <x14:dataValidation type="list" allowBlank="1" showInputMessage="1" showErrorMessage="1" xr:uid="{00000000-0002-0000-0300-0000C4060000}">
          <x14:formula1>
            <xm:f>項目!C17:$LCE$720897</xm:f>
          </x14:formula1>
          <xm:sqref>LCM720901:LCM720924</xm:sqref>
        </x14:dataValidation>
        <x14:dataValidation type="list" allowBlank="1" showInputMessage="1" showErrorMessage="1" xr:uid="{00000000-0002-0000-0300-0000C5060000}">
          <x14:formula1>
            <xm:f>項目!C17:$LMA$720897</xm:f>
          </x14:formula1>
          <xm:sqref>LMI720901:LMI720924</xm:sqref>
        </x14:dataValidation>
        <x14:dataValidation type="list" allowBlank="1" showInputMessage="1" showErrorMessage="1" xr:uid="{00000000-0002-0000-0300-0000C6060000}">
          <x14:formula1>
            <xm:f>項目!C17:$LVW$720897</xm:f>
          </x14:formula1>
          <xm:sqref>LWE720901:LWE720924</xm:sqref>
        </x14:dataValidation>
        <x14:dataValidation type="list" allowBlank="1" showInputMessage="1" showErrorMessage="1" xr:uid="{00000000-0002-0000-0300-0000C7060000}">
          <x14:formula1>
            <xm:f>項目!C17:$MFS$720897</xm:f>
          </x14:formula1>
          <xm:sqref>MGA720901:MGA720924</xm:sqref>
        </x14:dataValidation>
        <x14:dataValidation type="list" allowBlank="1" showInputMessage="1" showErrorMessage="1" xr:uid="{00000000-0002-0000-0300-0000C8060000}">
          <x14:formula1>
            <xm:f>項目!C17:$MPO$720897</xm:f>
          </x14:formula1>
          <xm:sqref>MPW720901:MPW720924</xm:sqref>
        </x14:dataValidation>
        <x14:dataValidation type="list" allowBlank="1" showInputMessage="1" showErrorMessage="1" xr:uid="{00000000-0002-0000-0300-0000C9060000}">
          <x14:formula1>
            <xm:f>項目!C17:$MZK$720897</xm:f>
          </x14:formula1>
          <xm:sqref>MZS720901:MZS720924</xm:sqref>
        </x14:dataValidation>
        <x14:dataValidation type="list" allowBlank="1" showInputMessage="1" showErrorMessage="1" xr:uid="{00000000-0002-0000-0300-0000CA060000}">
          <x14:formula1>
            <xm:f>項目!C17:$NJG$720897</xm:f>
          </x14:formula1>
          <xm:sqref>NJO720901:NJO720924</xm:sqref>
        </x14:dataValidation>
        <x14:dataValidation type="list" allowBlank="1" showInputMessage="1" showErrorMessage="1" xr:uid="{00000000-0002-0000-0300-0000CB060000}">
          <x14:formula1>
            <xm:f>項目!C17:$NTC$720897</xm:f>
          </x14:formula1>
          <xm:sqref>NTK720901:NTK720924</xm:sqref>
        </x14:dataValidation>
        <x14:dataValidation type="list" allowBlank="1" showInputMessage="1" showErrorMessage="1" xr:uid="{00000000-0002-0000-0300-0000CC060000}">
          <x14:formula1>
            <xm:f>項目!C17:$OCY$720897</xm:f>
          </x14:formula1>
          <xm:sqref>ODG720901:ODG720924</xm:sqref>
        </x14:dataValidation>
        <x14:dataValidation type="list" allowBlank="1" showInputMessage="1" showErrorMessage="1" xr:uid="{00000000-0002-0000-0300-0000CD060000}">
          <x14:formula1>
            <xm:f>項目!C17:$OMU$720897</xm:f>
          </x14:formula1>
          <xm:sqref>ONC720901:ONC720924</xm:sqref>
        </x14:dataValidation>
        <x14:dataValidation type="list" allowBlank="1" showInputMessage="1" showErrorMessage="1" xr:uid="{00000000-0002-0000-0300-0000CE060000}">
          <x14:formula1>
            <xm:f>項目!C17:$OWQ$720897</xm:f>
          </x14:formula1>
          <xm:sqref>OWY720901:OWY720924</xm:sqref>
        </x14:dataValidation>
        <x14:dataValidation type="list" allowBlank="1" showInputMessage="1" showErrorMessage="1" xr:uid="{00000000-0002-0000-0300-0000CF060000}">
          <x14:formula1>
            <xm:f>項目!C17:$PGM$720897</xm:f>
          </x14:formula1>
          <xm:sqref>PGU720901:PGU720924</xm:sqref>
        </x14:dataValidation>
        <x14:dataValidation type="list" allowBlank="1" showInputMessage="1" showErrorMessage="1" xr:uid="{00000000-0002-0000-0300-0000D0060000}">
          <x14:formula1>
            <xm:f>項目!C17:$PQI$720897</xm:f>
          </x14:formula1>
          <xm:sqref>PQQ720901:PQQ720924</xm:sqref>
        </x14:dataValidation>
        <x14:dataValidation type="list" allowBlank="1" showInputMessage="1" showErrorMessage="1" xr:uid="{00000000-0002-0000-0300-0000D1060000}">
          <x14:formula1>
            <xm:f>項目!C17:$QAE$720897</xm:f>
          </x14:formula1>
          <xm:sqref>QAM720901:QAM720924</xm:sqref>
        </x14:dataValidation>
        <x14:dataValidation type="list" allowBlank="1" showInputMessage="1" showErrorMessage="1" xr:uid="{00000000-0002-0000-0300-0000D2060000}">
          <x14:formula1>
            <xm:f>項目!C17:$QKA$720897</xm:f>
          </x14:formula1>
          <xm:sqref>QKI720901:QKI720924</xm:sqref>
        </x14:dataValidation>
        <x14:dataValidation type="list" allowBlank="1" showInputMessage="1" showErrorMessage="1" xr:uid="{00000000-0002-0000-0300-0000D3060000}">
          <x14:formula1>
            <xm:f>項目!C17:$QTW$720897</xm:f>
          </x14:formula1>
          <xm:sqref>QUE720901:QUE720924</xm:sqref>
        </x14:dataValidation>
        <x14:dataValidation type="list" allowBlank="1" showInputMessage="1" showErrorMessage="1" xr:uid="{00000000-0002-0000-0300-0000D4060000}">
          <x14:formula1>
            <xm:f>項目!C17:$RDS$720897</xm:f>
          </x14:formula1>
          <xm:sqref>REA720901:REA720924</xm:sqref>
        </x14:dataValidation>
        <x14:dataValidation type="list" allowBlank="1" showInputMessage="1" showErrorMessage="1" xr:uid="{00000000-0002-0000-0300-0000D5060000}">
          <x14:formula1>
            <xm:f>項目!C17:$RNO$720897</xm:f>
          </x14:formula1>
          <xm:sqref>RNW720901:RNW720924</xm:sqref>
        </x14:dataValidation>
        <x14:dataValidation type="list" allowBlank="1" showInputMessage="1" showErrorMessage="1" xr:uid="{00000000-0002-0000-0300-0000D6060000}">
          <x14:formula1>
            <xm:f>項目!C17:$RXK$720897</xm:f>
          </x14:formula1>
          <xm:sqref>RXS720901:RXS720924</xm:sqref>
        </x14:dataValidation>
        <x14:dataValidation type="list" allowBlank="1" showInputMessage="1" showErrorMessage="1" xr:uid="{00000000-0002-0000-0300-0000D7060000}">
          <x14:formula1>
            <xm:f>項目!C17:$SHG$720897</xm:f>
          </x14:formula1>
          <xm:sqref>SHO720901:SHO720924</xm:sqref>
        </x14:dataValidation>
        <x14:dataValidation type="list" allowBlank="1" showInputMessage="1" showErrorMessage="1" xr:uid="{00000000-0002-0000-0300-0000D8060000}">
          <x14:formula1>
            <xm:f>項目!C17:$SRC$720897</xm:f>
          </x14:formula1>
          <xm:sqref>SRK720901:SRK720924</xm:sqref>
        </x14:dataValidation>
        <x14:dataValidation type="list" allowBlank="1" showInputMessage="1" showErrorMessage="1" xr:uid="{00000000-0002-0000-0300-0000D9060000}">
          <x14:formula1>
            <xm:f>項目!C17:$TAY$720897</xm:f>
          </x14:formula1>
          <xm:sqref>TBG720901:TBG720924</xm:sqref>
        </x14:dataValidation>
        <x14:dataValidation type="list" allowBlank="1" showInputMessage="1" showErrorMessage="1" xr:uid="{00000000-0002-0000-0300-0000DA060000}">
          <x14:formula1>
            <xm:f>項目!C17:$TKU$720897</xm:f>
          </x14:formula1>
          <xm:sqref>TLC720901:TLC720924</xm:sqref>
        </x14:dataValidation>
        <x14:dataValidation type="list" allowBlank="1" showInputMessage="1" showErrorMessage="1" xr:uid="{00000000-0002-0000-0300-0000DB060000}">
          <x14:formula1>
            <xm:f>項目!C17:$TUQ$720897</xm:f>
          </x14:formula1>
          <xm:sqref>TUY720901:TUY720924</xm:sqref>
        </x14:dataValidation>
        <x14:dataValidation type="list" allowBlank="1" showInputMessage="1" showErrorMessage="1" xr:uid="{00000000-0002-0000-0300-0000DC060000}">
          <x14:formula1>
            <xm:f>項目!C17:$UEM$720897</xm:f>
          </x14:formula1>
          <xm:sqref>UEU720901:UEU720924</xm:sqref>
        </x14:dataValidation>
        <x14:dataValidation type="list" allowBlank="1" showInputMessage="1" showErrorMessage="1" xr:uid="{00000000-0002-0000-0300-0000DD060000}">
          <x14:formula1>
            <xm:f>項目!C17:$UOI$720897</xm:f>
          </x14:formula1>
          <xm:sqref>UOQ720901:UOQ720924</xm:sqref>
        </x14:dataValidation>
        <x14:dataValidation type="list" allowBlank="1" showInputMessage="1" showErrorMessage="1" xr:uid="{00000000-0002-0000-0300-0000DE060000}">
          <x14:formula1>
            <xm:f>項目!C17:$UYE$720897</xm:f>
          </x14:formula1>
          <xm:sqref>UYM720901:UYM720924</xm:sqref>
        </x14:dataValidation>
        <x14:dataValidation type="list" allowBlank="1" showInputMessage="1" showErrorMessage="1" xr:uid="{00000000-0002-0000-0300-0000DF060000}">
          <x14:formula1>
            <xm:f>項目!C17:$VIA$720897</xm:f>
          </x14:formula1>
          <xm:sqref>VII720901:VII720924</xm:sqref>
        </x14:dataValidation>
        <x14:dataValidation type="list" allowBlank="1" showInputMessage="1" showErrorMessage="1" xr:uid="{00000000-0002-0000-0300-0000E0060000}">
          <x14:formula1>
            <xm:f>項目!C17:$VRW$720897</xm:f>
          </x14:formula1>
          <xm:sqref>VSE720901:VSE720924</xm:sqref>
        </x14:dataValidation>
        <x14:dataValidation type="list" allowBlank="1" showInputMessage="1" showErrorMessage="1" xr:uid="{00000000-0002-0000-0300-0000E1060000}">
          <x14:formula1>
            <xm:f>項目!C17:$WBS$720897</xm:f>
          </x14:formula1>
          <xm:sqref>WCA720901:WCA720924</xm:sqref>
        </x14:dataValidation>
        <x14:dataValidation type="list" allowBlank="1" showInputMessage="1" showErrorMessage="1" xr:uid="{00000000-0002-0000-0300-0000E2060000}">
          <x14:formula1>
            <xm:f>項目!C17:$WLO$720897</xm:f>
          </x14:formula1>
          <xm:sqref>WLW720901:WLW720924</xm:sqref>
        </x14:dataValidation>
        <x14:dataValidation type="list" allowBlank="1" showInputMessage="1" showErrorMessage="1" xr:uid="{00000000-0002-0000-0300-0000E3060000}">
          <x14:formula1>
            <xm:f>項目!C17:$WVK$720897</xm:f>
          </x14:formula1>
          <xm:sqref>WVS720901:WVS720924</xm:sqref>
        </x14:dataValidation>
        <x14:dataValidation type="list" allowBlank="1" showInputMessage="1" showErrorMessage="1" xr:uid="{00000000-0002-0000-0300-0000E4060000}">
          <x14:formula1>
            <xm:f>項目!C17:$IY$786433</xm:f>
          </x14:formula1>
          <xm:sqref>JG786437:JG786460</xm:sqref>
        </x14:dataValidation>
        <x14:dataValidation type="list" allowBlank="1" showInputMessage="1" showErrorMessage="1" xr:uid="{00000000-0002-0000-0300-0000E5060000}">
          <x14:formula1>
            <xm:f>項目!C17:$SU$786433</xm:f>
          </x14:formula1>
          <xm:sqref>TC786437:TC786460</xm:sqref>
        </x14:dataValidation>
        <x14:dataValidation type="list" allowBlank="1" showInputMessage="1" showErrorMessage="1" xr:uid="{00000000-0002-0000-0300-0000E6060000}">
          <x14:formula1>
            <xm:f>項目!C17:$ACQ$786433</xm:f>
          </x14:formula1>
          <xm:sqref>ACY786437:ACY786460</xm:sqref>
        </x14:dataValidation>
        <x14:dataValidation type="list" allowBlank="1" showInputMessage="1" showErrorMessage="1" xr:uid="{00000000-0002-0000-0300-0000E7060000}">
          <x14:formula1>
            <xm:f>項目!C17:$AMM$786433</xm:f>
          </x14:formula1>
          <xm:sqref>AMU786437:AMU786460</xm:sqref>
        </x14:dataValidation>
        <x14:dataValidation type="list" allowBlank="1" showInputMessage="1" showErrorMessage="1" xr:uid="{00000000-0002-0000-0300-0000E8060000}">
          <x14:formula1>
            <xm:f>項目!C17:$AWI$786433</xm:f>
          </x14:formula1>
          <xm:sqref>AWQ786437:AWQ786460</xm:sqref>
        </x14:dataValidation>
        <x14:dataValidation type="list" allowBlank="1" showInputMessage="1" showErrorMessage="1" xr:uid="{00000000-0002-0000-0300-0000E9060000}">
          <x14:formula1>
            <xm:f>項目!C17:$BGE$786433</xm:f>
          </x14:formula1>
          <xm:sqref>BGM786437:BGM786460</xm:sqref>
        </x14:dataValidation>
        <x14:dataValidation type="list" allowBlank="1" showInputMessage="1" showErrorMessage="1" xr:uid="{00000000-0002-0000-0300-0000EA060000}">
          <x14:formula1>
            <xm:f>項目!C17:$BQA$786433</xm:f>
          </x14:formula1>
          <xm:sqref>BQI786437:BQI786460</xm:sqref>
        </x14:dataValidation>
        <x14:dataValidation type="list" allowBlank="1" showInputMessage="1" showErrorMessage="1" xr:uid="{00000000-0002-0000-0300-0000EB060000}">
          <x14:formula1>
            <xm:f>項目!C17:$BZW$786433</xm:f>
          </x14:formula1>
          <xm:sqref>CAE786437:CAE786460</xm:sqref>
        </x14:dataValidation>
        <x14:dataValidation type="list" allowBlank="1" showInputMessage="1" showErrorMessage="1" xr:uid="{00000000-0002-0000-0300-0000EC060000}">
          <x14:formula1>
            <xm:f>項目!C17:$CJS$786433</xm:f>
          </x14:formula1>
          <xm:sqref>CKA786437:CKA786460</xm:sqref>
        </x14:dataValidation>
        <x14:dataValidation type="list" allowBlank="1" showInputMessage="1" showErrorMessage="1" xr:uid="{00000000-0002-0000-0300-0000ED060000}">
          <x14:formula1>
            <xm:f>項目!C17:$CTO$786433</xm:f>
          </x14:formula1>
          <xm:sqref>CTW786437:CTW786460</xm:sqref>
        </x14:dataValidation>
        <x14:dataValidation type="list" allowBlank="1" showInputMessage="1" showErrorMessage="1" xr:uid="{00000000-0002-0000-0300-0000EE060000}">
          <x14:formula1>
            <xm:f>項目!C17:$DDK$786433</xm:f>
          </x14:formula1>
          <xm:sqref>DDS786437:DDS786460</xm:sqref>
        </x14:dataValidation>
        <x14:dataValidation type="list" allowBlank="1" showInputMessage="1" showErrorMessage="1" xr:uid="{00000000-0002-0000-0300-0000EF060000}">
          <x14:formula1>
            <xm:f>項目!C17:$DNG$786433</xm:f>
          </x14:formula1>
          <xm:sqref>DNO786437:DNO786460</xm:sqref>
        </x14:dataValidation>
        <x14:dataValidation type="list" allowBlank="1" showInputMessage="1" showErrorMessage="1" xr:uid="{00000000-0002-0000-0300-0000F0060000}">
          <x14:formula1>
            <xm:f>項目!C17:$DXC$786433</xm:f>
          </x14:formula1>
          <xm:sqref>DXK786437:DXK786460</xm:sqref>
        </x14:dataValidation>
        <x14:dataValidation type="list" allowBlank="1" showInputMessage="1" showErrorMessage="1" xr:uid="{00000000-0002-0000-0300-0000F1060000}">
          <x14:formula1>
            <xm:f>項目!C17:$EGY$786433</xm:f>
          </x14:formula1>
          <xm:sqref>EHG786437:EHG786460</xm:sqref>
        </x14:dataValidation>
        <x14:dataValidation type="list" allowBlank="1" showInputMessage="1" showErrorMessage="1" xr:uid="{00000000-0002-0000-0300-0000F2060000}">
          <x14:formula1>
            <xm:f>項目!C17:$EQU$786433</xm:f>
          </x14:formula1>
          <xm:sqref>ERC786437:ERC786460</xm:sqref>
        </x14:dataValidation>
        <x14:dataValidation type="list" allowBlank="1" showInputMessage="1" showErrorMessage="1" xr:uid="{00000000-0002-0000-0300-0000F3060000}">
          <x14:formula1>
            <xm:f>項目!C17:$FAQ$786433</xm:f>
          </x14:formula1>
          <xm:sqref>FAY786437:FAY786460</xm:sqref>
        </x14:dataValidation>
        <x14:dataValidation type="list" allowBlank="1" showInputMessage="1" showErrorMessage="1" xr:uid="{00000000-0002-0000-0300-0000F4060000}">
          <x14:formula1>
            <xm:f>項目!C17:$FKM$786433</xm:f>
          </x14:formula1>
          <xm:sqref>FKU786437:FKU786460</xm:sqref>
        </x14:dataValidation>
        <x14:dataValidation type="list" allowBlank="1" showInputMessage="1" showErrorMessage="1" xr:uid="{00000000-0002-0000-0300-0000F5060000}">
          <x14:formula1>
            <xm:f>項目!C17:$FUI$786433</xm:f>
          </x14:formula1>
          <xm:sqref>FUQ786437:FUQ786460</xm:sqref>
        </x14:dataValidation>
        <x14:dataValidation type="list" allowBlank="1" showInputMessage="1" showErrorMessage="1" xr:uid="{00000000-0002-0000-0300-0000F6060000}">
          <x14:formula1>
            <xm:f>項目!C17:$GEE$786433</xm:f>
          </x14:formula1>
          <xm:sqref>GEM786437:GEM786460</xm:sqref>
        </x14:dataValidation>
        <x14:dataValidation type="list" allowBlank="1" showInputMessage="1" showErrorMessage="1" xr:uid="{00000000-0002-0000-0300-0000F7060000}">
          <x14:formula1>
            <xm:f>項目!C17:$GOA$786433</xm:f>
          </x14:formula1>
          <xm:sqref>GOI786437:GOI786460</xm:sqref>
        </x14:dataValidation>
        <x14:dataValidation type="list" allowBlank="1" showInputMessage="1" showErrorMessage="1" xr:uid="{00000000-0002-0000-0300-0000F8060000}">
          <x14:formula1>
            <xm:f>項目!C17:$GXW$786433</xm:f>
          </x14:formula1>
          <xm:sqref>GYE786437:GYE786460</xm:sqref>
        </x14:dataValidation>
        <x14:dataValidation type="list" allowBlank="1" showInputMessage="1" showErrorMessage="1" xr:uid="{00000000-0002-0000-0300-0000F9060000}">
          <x14:formula1>
            <xm:f>項目!C17:$HHS$786433</xm:f>
          </x14:formula1>
          <xm:sqref>HIA786437:HIA786460</xm:sqref>
        </x14:dataValidation>
        <x14:dataValidation type="list" allowBlank="1" showInputMessage="1" showErrorMessage="1" xr:uid="{00000000-0002-0000-0300-0000FA060000}">
          <x14:formula1>
            <xm:f>項目!C17:$HRO$786433</xm:f>
          </x14:formula1>
          <xm:sqref>HRW786437:HRW786460</xm:sqref>
        </x14:dataValidation>
        <x14:dataValidation type="list" allowBlank="1" showInputMessage="1" showErrorMessage="1" xr:uid="{00000000-0002-0000-0300-0000FB060000}">
          <x14:formula1>
            <xm:f>項目!C17:$IBK$786433</xm:f>
          </x14:formula1>
          <xm:sqref>IBS786437:IBS786460</xm:sqref>
        </x14:dataValidation>
        <x14:dataValidation type="list" allowBlank="1" showInputMessage="1" showErrorMessage="1" xr:uid="{00000000-0002-0000-0300-0000FC060000}">
          <x14:formula1>
            <xm:f>項目!C17:$ILG$786433</xm:f>
          </x14:formula1>
          <xm:sqref>ILO786437:ILO786460</xm:sqref>
        </x14:dataValidation>
        <x14:dataValidation type="list" allowBlank="1" showInputMessage="1" showErrorMessage="1" xr:uid="{00000000-0002-0000-0300-0000FD060000}">
          <x14:formula1>
            <xm:f>項目!C17:$IVC$786433</xm:f>
          </x14:formula1>
          <xm:sqref>IVK786437:IVK786460</xm:sqref>
        </x14:dataValidation>
        <x14:dataValidation type="list" allowBlank="1" showInputMessage="1" showErrorMessage="1" xr:uid="{00000000-0002-0000-0300-0000FE060000}">
          <x14:formula1>
            <xm:f>項目!C17:$JEY$786433</xm:f>
          </x14:formula1>
          <xm:sqref>JFG786437:JFG786460</xm:sqref>
        </x14:dataValidation>
        <x14:dataValidation type="list" allowBlank="1" showInputMessage="1" showErrorMessage="1" xr:uid="{00000000-0002-0000-0300-0000FF060000}">
          <x14:formula1>
            <xm:f>項目!C17:$JOU$786433</xm:f>
          </x14:formula1>
          <xm:sqref>JPC786437:JPC786460</xm:sqref>
        </x14:dataValidation>
        <x14:dataValidation type="list" allowBlank="1" showInputMessage="1" showErrorMessage="1" xr:uid="{00000000-0002-0000-0300-000000070000}">
          <x14:formula1>
            <xm:f>項目!C17:$JYQ$786433</xm:f>
          </x14:formula1>
          <xm:sqref>JYY786437:JYY786460</xm:sqref>
        </x14:dataValidation>
        <x14:dataValidation type="list" allowBlank="1" showInputMessage="1" showErrorMessage="1" xr:uid="{00000000-0002-0000-0300-000001070000}">
          <x14:formula1>
            <xm:f>項目!C17:$KIM$786433</xm:f>
          </x14:formula1>
          <xm:sqref>KIU786437:KIU786460</xm:sqref>
        </x14:dataValidation>
        <x14:dataValidation type="list" allowBlank="1" showInputMessage="1" showErrorMessage="1" xr:uid="{00000000-0002-0000-0300-000002070000}">
          <x14:formula1>
            <xm:f>項目!C17:$KSI$786433</xm:f>
          </x14:formula1>
          <xm:sqref>KSQ786437:KSQ786460</xm:sqref>
        </x14:dataValidation>
        <x14:dataValidation type="list" allowBlank="1" showInputMessage="1" showErrorMessage="1" xr:uid="{00000000-0002-0000-0300-000003070000}">
          <x14:formula1>
            <xm:f>項目!C17:$LCE$786433</xm:f>
          </x14:formula1>
          <xm:sqref>LCM786437:LCM786460</xm:sqref>
        </x14:dataValidation>
        <x14:dataValidation type="list" allowBlank="1" showInputMessage="1" showErrorMessage="1" xr:uid="{00000000-0002-0000-0300-000004070000}">
          <x14:formula1>
            <xm:f>項目!C17:$LMA$786433</xm:f>
          </x14:formula1>
          <xm:sqref>LMI786437:LMI786460</xm:sqref>
        </x14:dataValidation>
        <x14:dataValidation type="list" allowBlank="1" showInputMessage="1" showErrorMessage="1" xr:uid="{00000000-0002-0000-0300-000005070000}">
          <x14:formula1>
            <xm:f>項目!C17:$LVW$786433</xm:f>
          </x14:formula1>
          <xm:sqref>LWE786437:LWE786460</xm:sqref>
        </x14:dataValidation>
        <x14:dataValidation type="list" allowBlank="1" showInputMessage="1" showErrorMessage="1" xr:uid="{00000000-0002-0000-0300-000006070000}">
          <x14:formula1>
            <xm:f>項目!C17:$MFS$786433</xm:f>
          </x14:formula1>
          <xm:sqref>MGA786437:MGA786460</xm:sqref>
        </x14:dataValidation>
        <x14:dataValidation type="list" allowBlank="1" showInputMessage="1" showErrorMessage="1" xr:uid="{00000000-0002-0000-0300-000007070000}">
          <x14:formula1>
            <xm:f>項目!C17:$MPO$786433</xm:f>
          </x14:formula1>
          <xm:sqref>MPW786437:MPW786460</xm:sqref>
        </x14:dataValidation>
        <x14:dataValidation type="list" allowBlank="1" showInputMessage="1" showErrorMessage="1" xr:uid="{00000000-0002-0000-0300-000008070000}">
          <x14:formula1>
            <xm:f>項目!C17:$MZK$786433</xm:f>
          </x14:formula1>
          <xm:sqref>MZS786437:MZS786460</xm:sqref>
        </x14:dataValidation>
        <x14:dataValidation type="list" allowBlank="1" showInputMessage="1" showErrorMessage="1" xr:uid="{00000000-0002-0000-0300-000009070000}">
          <x14:formula1>
            <xm:f>項目!C17:$NJG$786433</xm:f>
          </x14:formula1>
          <xm:sqref>NJO786437:NJO786460</xm:sqref>
        </x14:dataValidation>
        <x14:dataValidation type="list" allowBlank="1" showInputMessage="1" showErrorMessage="1" xr:uid="{00000000-0002-0000-0300-00000A070000}">
          <x14:formula1>
            <xm:f>項目!C17:$NTC$786433</xm:f>
          </x14:formula1>
          <xm:sqref>NTK786437:NTK786460</xm:sqref>
        </x14:dataValidation>
        <x14:dataValidation type="list" allowBlank="1" showInputMessage="1" showErrorMessage="1" xr:uid="{00000000-0002-0000-0300-00000B070000}">
          <x14:formula1>
            <xm:f>項目!C17:$OCY$786433</xm:f>
          </x14:formula1>
          <xm:sqref>ODG786437:ODG786460</xm:sqref>
        </x14:dataValidation>
        <x14:dataValidation type="list" allowBlank="1" showInputMessage="1" showErrorMessage="1" xr:uid="{00000000-0002-0000-0300-00000C070000}">
          <x14:formula1>
            <xm:f>項目!C17:$OMU$786433</xm:f>
          </x14:formula1>
          <xm:sqref>ONC786437:ONC786460</xm:sqref>
        </x14:dataValidation>
        <x14:dataValidation type="list" allowBlank="1" showInputMessage="1" showErrorMessage="1" xr:uid="{00000000-0002-0000-0300-00000D070000}">
          <x14:formula1>
            <xm:f>項目!C17:$OWQ$786433</xm:f>
          </x14:formula1>
          <xm:sqref>OWY786437:OWY786460</xm:sqref>
        </x14:dataValidation>
        <x14:dataValidation type="list" allowBlank="1" showInputMessage="1" showErrorMessage="1" xr:uid="{00000000-0002-0000-0300-00000E070000}">
          <x14:formula1>
            <xm:f>項目!C17:$PGM$786433</xm:f>
          </x14:formula1>
          <xm:sqref>PGU786437:PGU786460</xm:sqref>
        </x14:dataValidation>
        <x14:dataValidation type="list" allowBlank="1" showInputMessage="1" showErrorMessage="1" xr:uid="{00000000-0002-0000-0300-00000F070000}">
          <x14:formula1>
            <xm:f>項目!C17:$PQI$786433</xm:f>
          </x14:formula1>
          <xm:sqref>PQQ786437:PQQ786460</xm:sqref>
        </x14:dataValidation>
        <x14:dataValidation type="list" allowBlank="1" showInputMessage="1" showErrorMessage="1" xr:uid="{00000000-0002-0000-0300-000010070000}">
          <x14:formula1>
            <xm:f>項目!C17:$QAE$786433</xm:f>
          </x14:formula1>
          <xm:sqref>QAM786437:QAM786460</xm:sqref>
        </x14:dataValidation>
        <x14:dataValidation type="list" allowBlank="1" showInputMessage="1" showErrorMessage="1" xr:uid="{00000000-0002-0000-0300-000011070000}">
          <x14:formula1>
            <xm:f>項目!C17:$QKA$786433</xm:f>
          </x14:formula1>
          <xm:sqref>QKI786437:QKI786460</xm:sqref>
        </x14:dataValidation>
        <x14:dataValidation type="list" allowBlank="1" showInputMessage="1" showErrorMessage="1" xr:uid="{00000000-0002-0000-0300-000012070000}">
          <x14:formula1>
            <xm:f>項目!C17:$QTW$786433</xm:f>
          </x14:formula1>
          <xm:sqref>QUE786437:QUE786460</xm:sqref>
        </x14:dataValidation>
        <x14:dataValidation type="list" allowBlank="1" showInputMessage="1" showErrorMessage="1" xr:uid="{00000000-0002-0000-0300-000013070000}">
          <x14:formula1>
            <xm:f>項目!C17:$RDS$786433</xm:f>
          </x14:formula1>
          <xm:sqref>REA786437:REA786460</xm:sqref>
        </x14:dataValidation>
        <x14:dataValidation type="list" allowBlank="1" showInputMessage="1" showErrorMessage="1" xr:uid="{00000000-0002-0000-0300-000014070000}">
          <x14:formula1>
            <xm:f>項目!C17:$RNO$786433</xm:f>
          </x14:formula1>
          <xm:sqref>RNW786437:RNW786460</xm:sqref>
        </x14:dataValidation>
        <x14:dataValidation type="list" allowBlank="1" showInputMessage="1" showErrorMessage="1" xr:uid="{00000000-0002-0000-0300-000015070000}">
          <x14:formula1>
            <xm:f>項目!C17:$RXK$786433</xm:f>
          </x14:formula1>
          <xm:sqref>RXS786437:RXS786460</xm:sqref>
        </x14:dataValidation>
        <x14:dataValidation type="list" allowBlank="1" showInputMessage="1" showErrorMessage="1" xr:uid="{00000000-0002-0000-0300-000016070000}">
          <x14:formula1>
            <xm:f>項目!C17:$SHG$786433</xm:f>
          </x14:formula1>
          <xm:sqref>SHO786437:SHO786460</xm:sqref>
        </x14:dataValidation>
        <x14:dataValidation type="list" allowBlank="1" showInputMessage="1" showErrorMessage="1" xr:uid="{00000000-0002-0000-0300-000017070000}">
          <x14:formula1>
            <xm:f>項目!C17:$SRC$786433</xm:f>
          </x14:formula1>
          <xm:sqref>SRK786437:SRK786460</xm:sqref>
        </x14:dataValidation>
        <x14:dataValidation type="list" allowBlank="1" showInputMessage="1" showErrorMessage="1" xr:uid="{00000000-0002-0000-0300-000018070000}">
          <x14:formula1>
            <xm:f>項目!C17:$TAY$786433</xm:f>
          </x14:formula1>
          <xm:sqref>TBG786437:TBG786460</xm:sqref>
        </x14:dataValidation>
        <x14:dataValidation type="list" allowBlank="1" showInputMessage="1" showErrorMessage="1" xr:uid="{00000000-0002-0000-0300-000019070000}">
          <x14:formula1>
            <xm:f>項目!C17:$TKU$786433</xm:f>
          </x14:formula1>
          <xm:sqref>TLC786437:TLC786460</xm:sqref>
        </x14:dataValidation>
        <x14:dataValidation type="list" allowBlank="1" showInputMessage="1" showErrorMessage="1" xr:uid="{00000000-0002-0000-0300-00001A070000}">
          <x14:formula1>
            <xm:f>項目!C17:$TUQ$786433</xm:f>
          </x14:formula1>
          <xm:sqref>TUY786437:TUY786460</xm:sqref>
        </x14:dataValidation>
        <x14:dataValidation type="list" allowBlank="1" showInputMessage="1" showErrorMessage="1" xr:uid="{00000000-0002-0000-0300-00001B070000}">
          <x14:formula1>
            <xm:f>項目!C17:$UEM$786433</xm:f>
          </x14:formula1>
          <xm:sqref>UEU786437:UEU786460</xm:sqref>
        </x14:dataValidation>
        <x14:dataValidation type="list" allowBlank="1" showInputMessage="1" showErrorMessage="1" xr:uid="{00000000-0002-0000-0300-00001C070000}">
          <x14:formula1>
            <xm:f>項目!C17:$UOI$786433</xm:f>
          </x14:formula1>
          <xm:sqref>UOQ786437:UOQ786460</xm:sqref>
        </x14:dataValidation>
        <x14:dataValidation type="list" allowBlank="1" showInputMessage="1" showErrorMessage="1" xr:uid="{00000000-0002-0000-0300-00001D070000}">
          <x14:formula1>
            <xm:f>項目!C17:$UYE$786433</xm:f>
          </x14:formula1>
          <xm:sqref>UYM786437:UYM786460</xm:sqref>
        </x14:dataValidation>
        <x14:dataValidation type="list" allowBlank="1" showInputMessage="1" showErrorMessage="1" xr:uid="{00000000-0002-0000-0300-00001E070000}">
          <x14:formula1>
            <xm:f>項目!C17:$VIA$786433</xm:f>
          </x14:formula1>
          <xm:sqref>VII786437:VII786460</xm:sqref>
        </x14:dataValidation>
        <x14:dataValidation type="list" allowBlank="1" showInputMessage="1" showErrorMessage="1" xr:uid="{00000000-0002-0000-0300-00001F070000}">
          <x14:formula1>
            <xm:f>項目!C17:$VRW$786433</xm:f>
          </x14:formula1>
          <xm:sqref>VSE786437:VSE786460</xm:sqref>
        </x14:dataValidation>
        <x14:dataValidation type="list" allowBlank="1" showInputMessage="1" showErrorMessage="1" xr:uid="{00000000-0002-0000-0300-000020070000}">
          <x14:formula1>
            <xm:f>項目!C17:$WBS$786433</xm:f>
          </x14:formula1>
          <xm:sqref>WCA786437:WCA786460</xm:sqref>
        </x14:dataValidation>
        <x14:dataValidation type="list" allowBlank="1" showInputMessage="1" showErrorMessage="1" xr:uid="{00000000-0002-0000-0300-000021070000}">
          <x14:formula1>
            <xm:f>項目!C17:$WLO$786433</xm:f>
          </x14:formula1>
          <xm:sqref>WLW786437:WLW786460</xm:sqref>
        </x14:dataValidation>
        <x14:dataValidation type="list" allowBlank="1" showInputMessage="1" showErrorMessage="1" xr:uid="{00000000-0002-0000-0300-000022070000}">
          <x14:formula1>
            <xm:f>項目!C17:$WVK$786433</xm:f>
          </x14:formula1>
          <xm:sqref>WVS786437:WVS786460</xm:sqref>
        </x14:dataValidation>
        <x14:dataValidation type="list" allowBlank="1" showInputMessage="1" showErrorMessage="1" xr:uid="{00000000-0002-0000-0300-000023070000}">
          <x14:formula1>
            <xm:f>項目!C17:$IY$851969</xm:f>
          </x14:formula1>
          <xm:sqref>JG851973:JG851996</xm:sqref>
        </x14:dataValidation>
        <x14:dataValidation type="list" allowBlank="1" showInputMessage="1" showErrorMessage="1" xr:uid="{00000000-0002-0000-0300-000024070000}">
          <x14:formula1>
            <xm:f>項目!C17:$SU$851969</xm:f>
          </x14:formula1>
          <xm:sqref>TC851973:TC851996</xm:sqref>
        </x14:dataValidation>
        <x14:dataValidation type="list" allowBlank="1" showInputMessage="1" showErrorMessage="1" xr:uid="{00000000-0002-0000-0300-000025070000}">
          <x14:formula1>
            <xm:f>項目!C17:$ACQ$851969</xm:f>
          </x14:formula1>
          <xm:sqref>ACY851973:ACY851996</xm:sqref>
        </x14:dataValidation>
        <x14:dataValidation type="list" allowBlank="1" showInputMessage="1" showErrorMessage="1" xr:uid="{00000000-0002-0000-0300-000026070000}">
          <x14:formula1>
            <xm:f>項目!C17:$AMM$851969</xm:f>
          </x14:formula1>
          <xm:sqref>AMU851973:AMU851996</xm:sqref>
        </x14:dataValidation>
        <x14:dataValidation type="list" allowBlank="1" showInputMessage="1" showErrorMessage="1" xr:uid="{00000000-0002-0000-0300-000027070000}">
          <x14:formula1>
            <xm:f>項目!C17:$AWI$851969</xm:f>
          </x14:formula1>
          <xm:sqref>AWQ851973:AWQ851996</xm:sqref>
        </x14:dataValidation>
        <x14:dataValidation type="list" allowBlank="1" showInputMessage="1" showErrorMessage="1" xr:uid="{00000000-0002-0000-0300-000028070000}">
          <x14:formula1>
            <xm:f>項目!C17:$BGE$851969</xm:f>
          </x14:formula1>
          <xm:sqref>BGM851973:BGM851996</xm:sqref>
        </x14:dataValidation>
        <x14:dataValidation type="list" allowBlank="1" showInputMessage="1" showErrorMessage="1" xr:uid="{00000000-0002-0000-0300-000029070000}">
          <x14:formula1>
            <xm:f>項目!C17:$BQA$851969</xm:f>
          </x14:formula1>
          <xm:sqref>BQI851973:BQI851996</xm:sqref>
        </x14:dataValidation>
        <x14:dataValidation type="list" allowBlank="1" showInputMessage="1" showErrorMessage="1" xr:uid="{00000000-0002-0000-0300-00002A070000}">
          <x14:formula1>
            <xm:f>項目!C17:$BZW$851969</xm:f>
          </x14:formula1>
          <xm:sqref>CAE851973:CAE851996</xm:sqref>
        </x14:dataValidation>
        <x14:dataValidation type="list" allowBlank="1" showInputMessage="1" showErrorMessage="1" xr:uid="{00000000-0002-0000-0300-00002B070000}">
          <x14:formula1>
            <xm:f>項目!C17:$CJS$851969</xm:f>
          </x14:formula1>
          <xm:sqref>CKA851973:CKA851996</xm:sqref>
        </x14:dataValidation>
        <x14:dataValidation type="list" allowBlank="1" showInputMessage="1" showErrorMessage="1" xr:uid="{00000000-0002-0000-0300-00002C070000}">
          <x14:formula1>
            <xm:f>項目!C17:$CTO$851969</xm:f>
          </x14:formula1>
          <xm:sqref>CTW851973:CTW851996</xm:sqref>
        </x14:dataValidation>
        <x14:dataValidation type="list" allowBlank="1" showInputMessage="1" showErrorMessage="1" xr:uid="{00000000-0002-0000-0300-00002D070000}">
          <x14:formula1>
            <xm:f>項目!C17:$DDK$851969</xm:f>
          </x14:formula1>
          <xm:sqref>DDS851973:DDS851996</xm:sqref>
        </x14:dataValidation>
        <x14:dataValidation type="list" allowBlank="1" showInputMessage="1" showErrorMessage="1" xr:uid="{00000000-0002-0000-0300-00002E070000}">
          <x14:formula1>
            <xm:f>項目!C17:$DNG$851969</xm:f>
          </x14:formula1>
          <xm:sqref>DNO851973:DNO851996</xm:sqref>
        </x14:dataValidation>
        <x14:dataValidation type="list" allowBlank="1" showInputMessage="1" showErrorMessage="1" xr:uid="{00000000-0002-0000-0300-00002F070000}">
          <x14:formula1>
            <xm:f>項目!C17:$DXC$851969</xm:f>
          </x14:formula1>
          <xm:sqref>DXK851973:DXK851996</xm:sqref>
        </x14:dataValidation>
        <x14:dataValidation type="list" allowBlank="1" showInputMessage="1" showErrorMessage="1" xr:uid="{00000000-0002-0000-0300-000030070000}">
          <x14:formula1>
            <xm:f>項目!C17:$EGY$851969</xm:f>
          </x14:formula1>
          <xm:sqref>EHG851973:EHG851996</xm:sqref>
        </x14:dataValidation>
        <x14:dataValidation type="list" allowBlank="1" showInputMessage="1" showErrorMessage="1" xr:uid="{00000000-0002-0000-0300-000031070000}">
          <x14:formula1>
            <xm:f>項目!C17:$EQU$851969</xm:f>
          </x14:formula1>
          <xm:sqref>ERC851973:ERC851996</xm:sqref>
        </x14:dataValidation>
        <x14:dataValidation type="list" allowBlank="1" showInputMessage="1" showErrorMessage="1" xr:uid="{00000000-0002-0000-0300-000032070000}">
          <x14:formula1>
            <xm:f>項目!C17:$FAQ$851969</xm:f>
          </x14:formula1>
          <xm:sqref>FAY851973:FAY851996</xm:sqref>
        </x14:dataValidation>
        <x14:dataValidation type="list" allowBlank="1" showInputMessage="1" showErrorMessage="1" xr:uid="{00000000-0002-0000-0300-000033070000}">
          <x14:formula1>
            <xm:f>項目!C17:$FKM$851969</xm:f>
          </x14:formula1>
          <xm:sqref>FKU851973:FKU851996</xm:sqref>
        </x14:dataValidation>
        <x14:dataValidation type="list" allowBlank="1" showInputMessage="1" showErrorMessage="1" xr:uid="{00000000-0002-0000-0300-000034070000}">
          <x14:formula1>
            <xm:f>項目!C17:$FUI$851969</xm:f>
          </x14:formula1>
          <xm:sqref>FUQ851973:FUQ851996</xm:sqref>
        </x14:dataValidation>
        <x14:dataValidation type="list" allowBlank="1" showInputMessage="1" showErrorMessage="1" xr:uid="{00000000-0002-0000-0300-000035070000}">
          <x14:formula1>
            <xm:f>項目!C17:$GEE$851969</xm:f>
          </x14:formula1>
          <xm:sqref>GEM851973:GEM851996</xm:sqref>
        </x14:dataValidation>
        <x14:dataValidation type="list" allowBlank="1" showInputMessage="1" showErrorMessage="1" xr:uid="{00000000-0002-0000-0300-000036070000}">
          <x14:formula1>
            <xm:f>項目!C17:$GOA$851969</xm:f>
          </x14:formula1>
          <xm:sqref>GOI851973:GOI851996</xm:sqref>
        </x14:dataValidation>
        <x14:dataValidation type="list" allowBlank="1" showInputMessage="1" showErrorMessage="1" xr:uid="{00000000-0002-0000-0300-000037070000}">
          <x14:formula1>
            <xm:f>項目!C17:$GXW$851969</xm:f>
          </x14:formula1>
          <xm:sqref>GYE851973:GYE851996</xm:sqref>
        </x14:dataValidation>
        <x14:dataValidation type="list" allowBlank="1" showInputMessage="1" showErrorMessage="1" xr:uid="{00000000-0002-0000-0300-000038070000}">
          <x14:formula1>
            <xm:f>項目!C17:$HHS$851969</xm:f>
          </x14:formula1>
          <xm:sqref>HIA851973:HIA851996</xm:sqref>
        </x14:dataValidation>
        <x14:dataValidation type="list" allowBlank="1" showInputMessage="1" showErrorMessage="1" xr:uid="{00000000-0002-0000-0300-000039070000}">
          <x14:formula1>
            <xm:f>項目!C17:$HRO$851969</xm:f>
          </x14:formula1>
          <xm:sqref>HRW851973:HRW851996</xm:sqref>
        </x14:dataValidation>
        <x14:dataValidation type="list" allowBlank="1" showInputMessage="1" showErrorMessage="1" xr:uid="{00000000-0002-0000-0300-00003A070000}">
          <x14:formula1>
            <xm:f>項目!C17:$IBK$851969</xm:f>
          </x14:formula1>
          <xm:sqref>IBS851973:IBS851996</xm:sqref>
        </x14:dataValidation>
        <x14:dataValidation type="list" allowBlank="1" showInputMessage="1" showErrorMessage="1" xr:uid="{00000000-0002-0000-0300-00003B070000}">
          <x14:formula1>
            <xm:f>項目!C17:$ILG$851969</xm:f>
          </x14:formula1>
          <xm:sqref>ILO851973:ILO851996</xm:sqref>
        </x14:dataValidation>
        <x14:dataValidation type="list" allowBlank="1" showInputMessage="1" showErrorMessage="1" xr:uid="{00000000-0002-0000-0300-00003C070000}">
          <x14:formula1>
            <xm:f>項目!C17:$IVC$851969</xm:f>
          </x14:formula1>
          <xm:sqref>IVK851973:IVK851996</xm:sqref>
        </x14:dataValidation>
        <x14:dataValidation type="list" allowBlank="1" showInputMessage="1" showErrorMessage="1" xr:uid="{00000000-0002-0000-0300-00003D070000}">
          <x14:formula1>
            <xm:f>項目!C17:$JEY$851969</xm:f>
          </x14:formula1>
          <xm:sqref>JFG851973:JFG851996</xm:sqref>
        </x14:dataValidation>
        <x14:dataValidation type="list" allowBlank="1" showInputMessage="1" showErrorMessage="1" xr:uid="{00000000-0002-0000-0300-00003E070000}">
          <x14:formula1>
            <xm:f>項目!C17:$JOU$851969</xm:f>
          </x14:formula1>
          <xm:sqref>JPC851973:JPC851996</xm:sqref>
        </x14:dataValidation>
        <x14:dataValidation type="list" allowBlank="1" showInputMessage="1" showErrorMessage="1" xr:uid="{00000000-0002-0000-0300-00003F070000}">
          <x14:formula1>
            <xm:f>項目!C17:$JYQ$851969</xm:f>
          </x14:formula1>
          <xm:sqref>JYY851973:JYY851996</xm:sqref>
        </x14:dataValidation>
        <x14:dataValidation type="list" allowBlank="1" showInputMessage="1" showErrorMessage="1" xr:uid="{00000000-0002-0000-0300-000040070000}">
          <x14:formula1>
            <xm:f>項目!C17:$KIM$851969</xm:f>
          </x14:formula1>
          <xm:sqref>KIU851973:KIU851996</xm:sqref>
        </x14:dataValidation>
        <x14:dataValidation type="list" allowBlank="1" showInputMessage="1" showErrorMessage="1" xr:uid="{00000000-0002-0000-0300-000041070000}">
          <x14:formula1>
            <xm:f>項目!C17:$KSI$851969</xm:f>
          </x14:formula1>
          <xm:sqref>KSQ851973:KSQ851996</xm:sqref>
        </x14:dataValidation>
        <x14:dataValidation type="list" allowBlank="1" showInputMessage="1" showErrorMessage="1" xr:uid="{00000000-0002-0000-0300-000042070000}">
          <x14:formula1>
            <xm:f>項目!C17:$LCE$851969</xm:f>
          </x14:formula1>
          <xm:sqref>LCM851973:LCM851996</xm:sqref>
        </x14:dataValidation>
        <x14:dataValidation type="list" allowBlank="1" showInputMessage="1" showErrorMessage="1" xr:uid="{00000000-0002-0000-0300-000043070000}">
          <x14:formula1>
            <xm:f>項目!C17:$LMA$851969</xm:f>
          </x14:formula1>
          <xm:sqref>LMI851973:LMI851996</xm:sqref>
        </x14:dataValidation>
        <x14:dataValidation type="list" allowBlank="1" showInputMessage="1" showErrorMessage="1" xr:uid="{00000000-0002-0000-0300-000044070000}">
          <x14:formula1>
            <xm:f>項目!C17:$LVW$851969</xm:f>
          </x14:formula1>
          <xm:sqref>LWE851973:LWE851996</xm:sqref>
        </x14:dataValidation>
        <x14:dataValidation type="list" allowBlank="1" showInputMessage="1" showErrorMessage="1" xr:uid="{00000000-0002-0000-0300-000045070000}">
          <x14:formula1>
            <xm:f>項目!C17:$MFS$851969</xm:f>
          </x14:formula1>
          <xm:sqref>MGA851973:MGA851996</xm:sqref>
        </x14:dataValidation>
        <x14:dataValidation type="list" allowBlank="1" showInputMessage="1" showErrorMessage="1" xr:uid="{00000000-0002-0000-0300-000046070000}">
          <x14:formula1>
            <xm:f>項目!C17:$MPO$851969</xm:f>
          </x14:formula1>
          <xm:sqref>MPW851973:MPW851996</xm:sqref>
        </x14:dataValidation>
        <x14:dataValidation type="list" allowBlank="1" showInputMessage="1" showErrorMessage="1" xr:uid="{00000000-0002-0000-0300-000047070000}">
          <x14:formula1>
            <xm:f>項目!C17:$MZK$851969</xm:f>
          </x14:formula1>
          <xm:sqref>MZS851973:MZS851996</xm:sqref>
        </x14:dataValidation>
        <x14:dataValidation type="list" allowBlank="1" showInputMessage="1" showErrorMessage="1" xr:uid="{00000000-0002-0000-0300-000048070000}">
          <x14:formula1>
            <xm:f>項目!C17:$NJG$851969</xm:f>
          </x14:formula1>
          <xm:sqref>NJO851973:NJO851996</xm:sqref>
        </x14:dataValidation>
        <x14:dataValidation type="list" allowBlank="1" showInputMessage="1" showErrorMessage="1" xr:uid="{00000000-0002-0000-0300-000049070000}">
          <x14:formula1>
            <xm:f>項目!C17:$NTC$851969</xm:f>
          </x14:formula1>
          <xm:sqref>NTK851973:NTK851996</xm:sqref>
        </x14:dataValidation>
        <x14:dataValidation type="list" allowBlank="1" showInputMessage="1" showErrorMessage="1" xr:uid="{00000000-0002-0000-0300-00004A070000}">
          <x14:formula1>
            <xm:f>項目!C17:$OCY$851969</xm:f>
          </x14:formula1>
          <xm:sqref>ODG851973:ODG851996</xm:sqref>
        </x14:dataValidation>
        <x14:dataValidation type="list" allowBlank="1" showInputMessage="1" showErrorMessage="1" xr:uid="{00000000-0002-0000-0300-00004B070000}">
          <x14:formula1>
            <xm:f>項目!C17:$OMU$851969</xm:f>
          </x14:formula1>
          <xm:sqref>ONC851973:ONC851996</xm:sqref>
        </x14:dataValidation>
        <x14:dataValidation type="list" allowBlank="1" showInputMessage="1" showErrorMessage="1" xr:uid="{00000000-0002-0000-0300-00004C070000}">
          <x14:formula1>
            <xm:f>項目!C17:$OWQ$851969</xm:f>
          </x14:formula1>
          <xm:sqref>OWY851973:OWY851996</xm:sqref>
        </x14:dataValidation>
        <x14:dataValidation type="list" allowBlank="1" showInputMessage="1" showErrorMessage="1" xr:uid="{00000000-0002-0000-0300-00004D070000}">
          <x14:formula1>
            <xm:f>項目!C17:$PGM$851969</xm:f>
          </x14:formula1>
          <xm:sqref>PGU851973:PGU851996</xm:sqref>
        </x14:dataValidation>
        <x14:dataValidation type="list" allowBlank="1" showInputMessage="1" showErrorMessage="1" xr:uid="{00000000-0002-0000-0300-00004E070000}">
          <x14:formula1>
            <xm:f>項目!C17:$PQI$851969</xm:f>
          </x14:formula1>
          <xm:sqref>PQQ851973:PQQ851996</xm:sqref>
        </x14:dataValidation>
        <x14:dataValidation type="list" allowBlank="1" showInputMessage="1" showErrorMessage="1" xr:uid="{00000000-0002-0000-0300-00004F070000}">
          <x14:formula1>
            <xm:f>項目!C17:$QAE$851969</xm:f>
          </x14:formula1>
          <xm:sqref>QAM851973:QAM851996</xm:sqref>
        </x14:dataValidation>
        <x14:dataValidation type="list" allowBlank="1" showInputMessage="1" showErrorMessage="1" xr:uid="{00000000-0002-0000-0300-000050070000}">
          <x14:formula1>
            <xm:f>項目!C17:$QKA$851969</xm:f>
          </x14:formula1>
          <xm:sqref>QKI851973:QKI851996</xm:sqref>
        </x14:dataValidation>
        <x14:dataValidation type="list" allowBlank="1" showInputMessage="1" showErrorMessage="1" xr:uid="{00000000-0002-0000-0300-000051070000}">
          <x14:formula1>
            <xm:f>項目!C17:$QTW$851969</xm:f>
          </x14:formula1>
          <xm:sqref>QUE851973:QUE851996</xm:sqref>
        </x14:dataValidation>
        <x14:dataValidation type="list" allowBlank="1" showInputMessage="1" showErrorMessage="1" xr:uid="{00000000-0002-0000-0300-000052070000}">
          <x14:formula1>
            <xm:f>項目!C17:$RDS$851969</xm:f>
          </x14:formula1>
          <xm:sqref>REA851973:REA851996</xm:sqref>
        </x14:dataValidation>
        <x14:dataValidation type="list" allowBlank="1" showInputMessage="1" showErrorMessage="1" xr:uid="{00000000-0002-0000-0300-000053070000}">
          <x14:formula1>
            <xm:f>項目!C17:$RNO$851969</xm:f>
          </x14:formula1>
          <xm:sqref>RNW851973:RNW851996</xm:sqref>
        </x14:dataValidation>
        <x14:dataValidation type="list" allowBlank="1" showInputMessage="1" showErrorMessage="1" xr:uid="{00000000-0002-0000-0300-000054070000}">
          <x14:formula1>
            <xm:f>項目!C17:$RXK$851969</xm:f>
          </x14:formula1>
          <xm:sqref>RXS851973:RXS851996</xm:sqref>
        </x14:dataValidation>
        <x14:dataValidation type="list" allowBlank="1" showInputMessage="1" showErrorMessage="1" xr:uid="{00000000-0002-0000-0300-000055070000}">
          <x14:formula1>
            <xm:f>項目!C17:$SHG$851969</xm:f>
          </x14:formula1>
          <xm:sqref>SHO851973:SHO851996</xm:sqref>
        </x14:dataValidation>
        <x14:dataValidation type="list" allowBlank="1" showInputMessage="1" showErrorMessage="1" xr:uid="{00000000-0002-0000-0300-000056070000}">
          <x14:formula1>
            <xm:f>項目!C17:$SRC$851969</xm:f>
          </x14:formula1>
          <xm:sqref>SRK851973:SRK851996</xm:sqref>
        </x14:dataValidation>
        <x14:dataValidation type="list" allowBlank="1" showInputMessage="1" showErrorMessage="1" xr:uid="{00000000-0002-0000-0300-000057070000}">
          <x14:formula1>
            <xm:f>項目!C17:$TAY$851969</xm:f>
          </x14:formula1>
          <xm:sqref>TBG851973:TBG851996</xm:sqref>
        </x14:dataValidation>
        <x14:dataValidation type="list" allowBlank="1" showInputMessage="1" showErrorMessage="1" xr:uid="{00000000-0002-0000-0300-000058070000}">
          <x14:formula1>
            <xm:f>項目!C17:$TKU$851969</xm:f>
          </x14:formula1>
          <xm:sqref>TLC851973:TLC851996</xm:sqref>
        </x14:dataValidation>
        <x14:dataValidation type="list" allowBlank="1" showInputMessage="1" showErrorMessage="1" xr:uid="{00000000-0002-0000-0300-000059070000}">
          <x14:formula1>
            <xm:f>項目!C17:$TUQ$851969</xm:f>
          </x14:formula1>
          <xm:sqref>TUY851973:TUY851996</xm:sqref>
        </x14:dataValidation>
        <x14:dataValidation type="list" allowBlank="1" showInputMessage="1" showErrorMessage="1" xr:uid="{00000000-0002-0000-0300-00005A070000}">
          <x14:formula1>
            <xm:f>項目!C17:$UEM$851969</xm:f>
          </x14:formula1>
          <xm:sqref>UEU851973:UEU851996</xm:sqref>
        </x14:dataValidation>
        <x14:dataValidation type="list" allowBlank="1" showInputMessage="1" showErrorMessage="1" xr:uid="{00000000-0002-0000-0300-00005B070000}">
          <x14:formula1>
            <xm:f>項目!C17:$UOI$851969</xm:f>
          </x14:formula1>
          <xm:sqref>UOQ851973:UOQ851996</xm:sqref>
        </x14:dataValidation>
        <x14:dataValidation type="list" allowBlank="1" showInputMessage="1" showErrorMessage="1" xr:uid="{00000000-0002-0000-0300-00005C070000}">
          <x14:formula1>
            <xm:f>項目!C17:$UYE$851969</xm:f>
          </x14:formula1>
          <xm:sqref>UYM851973:UYM851996</xm:sqref>
        </x14:dataValidation>
        <x14:dataValidation type="list" allowBlank="1" showInputMessage="1" showErrorMessage="1" xr:uid="{00000000-0002-0000-0300-00005D070000}">
          <x14:formula1>
            <xm:f>項目!C17:$VIA$851969</xm:f>
          </x14:formula1>
          <xm:sqref>VII851973:VII851996</xm:sqref>
        </x14:dataValidation>
        <x14:dataValidation type="list" allowBlank="1" showInputMessage="1" showErrorMessage="1" xr:uid="{00000000-0002-0000-0300-00005E070000}">
          <x14:formula1>
            <xm:f>項目!C17:$VRW$851969</xm:f>
          </x14:formula1>
          <xm:sqref>VSE851973:VSE851996</xm:sqref>
        </x14:dataValidation>
        <x14:dataValidation type="list" allowBlank="1" showInputMessage="1" showErrorMessage="1" xr:uid="{00000000-0002-0000-0300-00005F070000}">
          <x14:formula1>
            <xm:f>項目!C17:$WBS$851969</xm:f>
          </x14:formula1>
          <xm:sqref>WCA851973:WCA851996</xm:sqref>
        </x14:dataValidation>
        <x14:dataValidation type="list" allowBlank="1" showInputMessage="1" showErrorMessage="1" xr:uid="{00000000-0002-0000-0300-000060070000}">
          <x14:formula1>
            <xm:f>項目!C17:$WLO$851969</xm:f>
          </x14:formula1>
          <xm:sqref>WLW851973:WLW851996</xm:sqref>
        </x14:dataValidation>
        <x14:dataValidation type="list" allowBlank="1" showInputMessage="1" showErrorMessage="1" xr:uid="{00000000-0002-0000-0300-000061070000}">
          <x14:formula1>
            <xm:f>項目!C17:$WVK$851969</xm:f>
          </x14:formula1>
          <xm:sqref>WVS851973:WVS851996</xm:sqref>
        </x14:dataValidation>
        <x14:dataValidation type="list" allowBlank="1" showInputMessage="1" showErrorMessage="1" xr:uid="{00000000-0002-0000-0300-000062070000}">
          <x14:formula1>
            <xm:f>項目!C17:$IY$917505</xm:f>
          </x14:formula1>
          <xm:sqref>JG917509:JG917532</xm:sqref>
        </x14:dataValidation>
        <x14:dataValidation type="list" allowBlank="1" showInputMessage="1" showErrorMessage="1" xr:uid="{00000000-0002-0000-0300-000063070000}">
          <x14:formula1>
            <xm:f>項目!C17:$SU$917505</xm:f>
          </x14:formula1>
          <xm:sqref>TC917509:TC917532</xm:sqref>
        </x14:dataValidation>
        <x14:dataValidation type="list" allowBlank="1" showInputMessage="1" showErrorMessage="1" xr:uid="{00000000-0002-0000-0300-000064070000}">
          <x14:formula1>
            <xm:f>項目!C17:$ACQ$917505</xm:f>
          </x14:formula1>
          <xm:sqref>ACY917509:ACY917532</xm:sqref>
        </x14:dataValidation>
        <x14:dataValidation type="list" allowBlank="1" showInputMessage="1" showErrorMessage="1" xr:uid="{00000000-0002-0000-0300-000065070000}">
          <x14:formula1>
            <xm:f>項目!C17:$AMM$917505</xm:f>
          </x14:formula1>
          <xm:sqref>AMU917509:AMU917532</xm:sqref>
        </x14:dataValidation>
        <x14:dataValidation type="list" allowBlank="1" showInputMessage="1" showErrorMessage="1" xr:uid="{00000000-0002-0000-0300-000066070000}">
          <x14:formula1>
            <xm:f>項目!C17:$AWI$917505</xm:f>
          </x14:formula1>
          <xm:sqref>AWQ917509:AWQ917532</xm:sqref>
        </x14:dataValidation>
        <x14:dataValidation type="list" allowBlank="1" showInputMessage="1" showErrorMessage="1" xr:uid="{00000000-0002-0000-0300-000067070000}">
          <x14:formula1>
            <xm:f>項目!C17:$BGE$917505</xm:f>
          </x14:formula1>
          <xm:sqref>BGM917509:BGM917532</xm:sqref>
        </x14:dataValidation>
        <x14:dataValidation type="list" allowBlank="1" showInputMessage="1" showErrorMessage="1" xr:uid="{00000000-0002-0000-0300-000068070000}">
          <x14:formula1>
            <xm:f>項目!C17:$BQA$917505</xm:f>
          </x14:formula1>
          <xm:sqref>BQI917509:BQI917532</xm:sqref>
        </x14:dataValidation>
        <x14:dataValidation type="list" allowBlank="1" showInputMessage="1" showErrorMessage="1" xr:uid="{00000000-0002-0000-0300-000069070000}">
          <x14:formula1>
            <xm:f>項目!C17:$BZW$917505</xm:f>
          </x14:formula1>
          <xm:sqref>CAE917509:CAE917532</xm:sqref>
        </x14:dataValidation>
        <x14:dataValidation type="list" allowBlank="1" showInputMessage="1" showErrorMessage="1" xr:uid="{00000000-0002-0000-0300-00006A070000}">
          <x14:formula1>
            <xm:f>項目!C17:$CJS$917505</xm:f>
          </x14:formula1>
          <xm:sqref>CKA917509:CKA917532</xm:sqref>
        </x14:dataValidation>
        <x14:dataValidation type="list" allowBlank="1" showInputMessage="1" showErrorMessage="1" xr:uid="{00000000-0002-0000-0300-00006B070000}">
          <x14:formula1>
            <xm:f>項目!C17:$CTO$917505</xm:f>
          </x14:formula1>
          <xm:sqref>CTW917509:CTW917532</xm:sqref>
        </x14:dataValidation>
        <x14:dataValidation type="list" allowBlank="1" showInputMessage="1" showErrorMessage="1" xr:uid="{00000000-0002-0000-0300-00006C070000}">
          <x14:formula1>
            <xm:f>項目!C17:$DDK$917505</xm:f>
          </x14:formula1>
          <xm:sqref>DDS917509:DDS917532</xm:sqref>
        </x14:dataValidation>
        <x14:dataValidation type="list" allowBlank="1" showInputMessage="1" showErrorMessage="1" xr:uid="{00000000-0002-0000-0300-00006D070000}">
          <x14:formula1>
            <xm:f>項目!C17:$DNG$917505</xm:f>
          </x14:formula1>
          <xm:sqref>DNO917509:DNO917532</xm:sqref>
        </x14:dataValidation>
        <x14:dataValidation type="list" allowBlank="1" showInputMessage="1" showErrorMessage="1" xr:uid="{00000000-0002-0000-0300-00006E070000}">
          <x14:formula1>
            <xm:f>項目!C17:$DXC$917505</xm:f>
          </x14:formula1>
          <xm:sqref>DXK917509:DXK917532</xm:sqref>
        </x14:dataValidation>
        <x14:dataValidation type="list" allowBlank="1" showInputMessage="1" showErrorMessage="1" xr:uid="{00000000-0002-0000-0300-00006F070000}">
          <x14:formula1>
            <xm:f>項目!C17:$EGY$917505</xm:f>
          </x14:formula1>
          <xm:sqref>EHG917509:EHG917532</xm:sqref>
        </x14:dataValidation>
        <x14:dataValidation type="list" allowBlank="1" showInputMessage="1" showErrorMessage="1" xr:uid="{00000000-0002-0000-0300-000070070000}">
          <x14:formula1>
            <xm:f>項目!C17:$EQU$917505</xm:f>
          </x14:formula1>
          <xm:sqref>ERC917509:ERC917532</xm:sqref>
        </x14:dataValidation>
        <x14:dataValidation type="list" allowBlank="1" showInputMessage="1" showErrorMessage="1" xr:uid="{00000000-0002-0000-0300-000071070000}">
          <x14:formula1>
            <xm:f>項目!C17:$FAQ$917505</xm:f>
          </x14:formula1>
          <xm:sqref>FAY917509:FAY917532</xm:sqref>
        </x14:dataValidation>
        <x14:dataValidation type="list" allowBlank="1" showInputMessage="1" showErrorMessage="1" xr:uid="{00000000-0002-0000-0300-000072070000}">
          <x14:formula1>
            <xm:f>項目!C17:$FKM$917505</xm:f>
          </x14:formula1>
          <xm:sqref>FKU917509:FKU917532</xm:sqref>
        </x14:dataValidation>
        <x14:dataValidation type="list" allowBlank="1" showInputMessage="1" showErrorMessage="1" xr:uid="{00000000-0002-0000-0300-000073070000}">
          <x14:formula1>
            <xm:f>項目!C17:$FUI$917505</xm:f>
          </x14:formula1>
          <xm:sqref>FUQ917509:FUQ917532</xm:sqref>
        </x14:dataValidation>
        <x14:dataValidation type="list" allowBlank="1" showInputMessage="1" showErrorMessage="1" xr:uid="{00000000-0002-0000-0300-000074070000}">
          <x14:formula1>
            <xm:f>項目!C17:$GEE$917505</xm:f>
          </x14:formula1>
          <xm:sqref>GEM917509:GEM917532</xm:sqref>
        </x14:dataValidation>
        <x14:dataValidation type="list" allowBlank="1" showInputMessage="1" showErrorMessage="1" xr:uid="{00000000-0002-0000-0300-000075070000}">
          <x14:formula1>
            <xm:f>項目!C17:$GOA$917505</xm:f>
          </x14:formula1>
          <xm:sqref>GOI917509:GOI917532</xm:sqref>
        </x14:dataValidation>
        <x14:dataValidation type="list" allowBlank="1" showInputMessage="1" showErrorMessage="1" xr:uid="{00000000-0002-0000-0300-000076070000}">
          <x14:formula1>
            <xm:f>項目!C17:$GXW$917505</xm:f>
          </x14:formula1>
          <xm:sqref>GYE917509:GYE917532</xm:sqref>
        </x14:dataValidation>
        <x14:dataValidation type="list" allowBlank="1" showInputMessage="1" showErrorMessage="1" xr:uid="{00000000-0002-0000-0300-000077070000}">
          <x14:formula1>
            <xm:f>項目!C17:$HHS$917505</xm:f>
          </x14:formula1>
          <xm:sqref>HIA917509:HIA917532</xm:sqref>
        </x14:dataValidation>
        <x14:dataValidation type="list" allowBlank="1" showInputMessage="1" showErrorMessage="1" xr:uid="{00000000-0002-0000-0300-000078070000}">
          <x14:formula1>
            <xm:f>項目!C17:$HRO$917505</xm:f>
          </x14:formula1>
          <xm:sqref>HRW917509:HRW917532</xm:sqref>
        </x14:dataValidation>
        <x14:dataValidation type="list" allowBlank="1" showInputMessage="1" showErrorMessage="1" xr:uid="{00000000-0002-0000-0300-000079070000}">
          <x14:formula1>
            <xm:f>項目!C17:$IBK$917505</xm:f>
          </x14:formula1>
          <xm:sqref>IBS917509:IBS917532</xm:sqref>
        </x14:dataValidation>
        <x14:dataValidation type="list" allowBlank="1" showInputMessage="1" showErrorMessage="1" xr:uid="{00000000-0002-0000-0300-00007A070000}">
          <x14:formula1>
            <xm:f>項目!C17:$ILG$917505</xm:f>
          </x14:formula1>
          <xm:sqref>ILO917509:ILO917532</xm:sqref>
        </x14:dataValidation>
        <x14:dataValidation type="list" allowBlank="1" showInputMessage="1" showErrorMessage="1" xr:uid="{00000000-0002-0000-0300-00007B070000}">
          <x14:formula1>
            <xm:f>項目!C17:$IVC$917505</xm:f>
          </x14:formula1>
          <xm:sqref>IVK917509:IVK917532</xm:sqref>
        </x14:dataValidation>
        <x14:dataValidation type="list" allowBlank="1" showInputMessage="1" showErrorMessage="1" xr:uid="{00000000-0002-0000-0300-00007C070000}">
          <x14:formula1>
            <xm:f>項目!C17:$JEY$917505</xm:f>
          </x14:formula1>
          <xm:sqref>JFG917509:JFG917532</xm:sqref>
        </x14:dataValidation>
        <x14:dataValidation type="list" allowBlank="1" showInputMessage="1" showErrorMessage="1" xr:uid="{00000000-0002-0000-0300-00007D070000}">
          <x14:formula1>
            <xm:f>項目!C17:$JOU$917505</xm:f>
          </x14:formula1>
          <xm:sqref>JPC917509:JPC917532</xm:sqref>
        </x14:dataValidation>
        <x14:dataValidation type="list" allowBlank="1" showInputMessage="1" showErrorMessage="1" xr:uid="{00000000-0002-0000-0300-00007E070000}">
          <x14:formula1>
            <xm:f>項目!C17:$JYQ$917505</xm:f>
          </x14:formula1>
          <xm:sqref>JYY917509:JYY917532</xm:sqref>
        </x14:dataValidation>
        <x14:dataValidation type="list" allowBlank="1" showInputMessage="1" showErrorMessage="1" xr:uid="{00000000-0002-0000-0300-00007F070000}">
          <x14:formula1>
            <xm:f>項目!C17:$KIM$917505</xm:f>
          </x14:formula1>
          <xm:sqref>KIU917509:KIU917532</xm:sqref>
        </x14:dataValidation>
        <x14:dataValidation type="list" allowBlank="1" showInputMessage="1" showErrorMessage="1" xr:uid="{00000000-0002-0000-0300-000080070000}">
          <x14:formula1>
            <xm:f>項目!C17:$KSI$917505</xm:f>
          </x14:formula1>
          <xm:sqref>KSQ917509:KSQ917532</xm:sqref>
        </x14:dataValidation>
        <x14:dataValidation type="list" allowBlank="1" showInputMessage="1" showErrorMessage="1" xr:uid="{00000000-0002-0000-0300-000081070000}">
          <x14:formula1>
            <xm:f>項目!C17:$LCE$917505</xm:f>
          </x14:formula1>
          <xm:sqref>LCM917509:LCM917532</xm:sqref>
        </x14:dataValidation>
        <x14:dataValidation type="list" allowBlank="1" showInputMessage="1" showErrorMessage="1" xr:uid="{00000000-0002-0000-0300-000082070000}">
          <x14:formula1>
            <xm:f>項目!C17:$LMA$917505</xm:f>
          </x14:formula1>
          <xm:sqref>LMI917509:LMI917532</xm:sqref>
        </x14:dataValidation>
        <x14:dataValidation type="list" allowBlank="1" showInputMessage="1" showErrorMessage="1" xr:uid="{00000000-0002-0000-0300-000083070000}">
          <x14:formula1>
            <xm:f>項目!C17:$LVW$917505</xm:f>
          </x14:formula1>
          <xm:sqref>LWE917509:LWE917532</xm:sqref>
        </x14:dataValidation>
        <x14:dataValidation type="list" allowBlank="1" showInputMessage="1" showErrorMessage="1" xr:uid="{00000000-0002-0000-0300-000084070000}">
          <x14:formula1>
            <xm:f>項目!C17:$MFS$917505</xm:f>
          </x14:formula1>
          <xm:sqref>MGA917509:MGA917532</xm:sqref>
        </x14:dataValidation>
        <x14:dataValidation type="list" allowBlank="1" showInputMessage="1" showErrorMessage="1" xr:uid="{00000000-0002-0000-0300-000085070000}">
          <x14:formula1>
            <xm:f>項目!C17:$MPO$917505</xm:f>
          </x14:formula1>
          <xm:sqref>MPW917509:MPW917532</xm:sqref>
        </x14:dataValidation>
        <x14:dataValidation type="list" allowBlank="1" showInputMessage="1" showErrorMessage="1" xr:uid="{00000000-0002-0000-0300-000086070000}">
          <x14:formula1>
            <xm:f>項目!C17:$MZK$917505</xm:f>
          </x14:formula1>
          <xm:sqref>MZS917509:MZS917532</xm:sqref>
        </x14:dataValidation>
        <x14:dataValidation type="list" allowBlank="1" showInputMessage="1" showErrorMessage="1" xr:uid="{00000000-0002-0000-0300-000087070000}">
          <x14:formula1>
            <xm:f>項目!C17:$NJG$917505</xm:f>
          </x14:formula1>
          <xm:sqref>NJO917509:NJO917532</xm:sqref>
        </x14:dataValidation>
        <x14:dataValidation type="list" allowBlank="1" showInputMessage="1" showErrorMessage="1" xr:uid="{00000000-0002-0000-0300-000088070000}">
          <x14:formula1>
            <xm:f>項目!C17:$NTC$917505</xm:f>
          </x14:formula1>
          <xm:sqref>NTK917509:NTK917532</xm:sqref>
        </x14:dataValidation>
        <x14:dataValidation type="list" allowBlank="1" showInputMessage="1" showErrorMessage="1" xr:uid="{00000000-0002-0000-0300-000089070000}">
          <x14:formula1>
            <xm:f>項目!C17:$OCY$917505</xm:f>
          </x14:formula1>
          <xm:sqref>ODG917509:ODG917532</xm:sqref>
        </x14:dataValidation>
        <x14:dataValidation type="list" allowBlank="1" showInputMessage="1" showErrorMessage="1" xr:uid="{00000000-0002-0000-0300-00008A070000}">
          <x14:formula1>
            <xm:f>項目!C17:$OMU$917505</xm:f>
          </x14:formula1>
          <xm:sqref>ONC917509:ONC917532</xm:sqref>
        </x14:dataValidation>
        <x14:dataValidation type="list" allowBlank="1" showInputMessage="1" showErrorMessage="1" xr:uid="{00000000-0002-0000-0300-00008B070000}">
          <x14:formula1>
            <xm:f>項目!C17:$OWQ$917505</xm:f>
          </x14:formula1>
          <xm:sqref>OWY917509:OWY917532</xm:sqref>
        </x14:dataValidation>
        <x14:dataValidation type="list" allowBlank="1" showInputMessage="1" showErrorMessage="1" xr:uid="{00000000-0002-0000-0300-00008C070000}">
          <x14:formula1>
            <xm:f>項目!C17:$PGM$917505</xm:f>
          </x14:formula1>
          <xm:sqref>PGU917509:PGU917532</xm:sqref>
        </x14:dataValidation>
        <x14:dataValidation type="list" allowBlank="1" showInputMessage="1" showErrorMessage="1" xr:uid="{00000000-0002-0000-0300-00008D070000}">
          <x14:formula1>
            <xm:f>項目!C17:$PQI$917505</xm:f>
          </x14:formula1>
          <xm:sqref>PQQ917509:PQQ917532</xm:sqref>
        </x14:dataValidation>
        <x14:dataValidation type="list" allowBlank="1" showInputMessage="1" showErrorMessage="1" xr:uid="{00000000-0002-0000-0300-00008E070000}">
          <x14:formula1>
            <xm:f>項目!C17:$QAE$917505</xm:f>
          </x14:formula1>
          <xm:sqref>QAM917509:QAM917532</xm:sqref>
        </x14:dataValidation>
        <x14:dataValidation type="list" allowBlank="1" showInputMessage="1" showErrorMessage="1" xr:uid="{00000000-0002-0000-0300-00008F070000}">
          <x14:formula1>
            <xm:f>項目!C17:$QKA$917505</xm:f>
          </x14:formula1>
          <xm:sqref>QKI917509:QKI917532</xm:sqref>
        </x14:dataValidation>
        <x14:dataValidation type="list" allowBlank="1" showInputMessage="1" showErrorMessage="1" xr:uid="{00000000-0002-0000-0300-000090070000}">
          <x14:formula1>
            <xm:f>項目!C17:$QTW$917505</xm:f>
          </x14:formula1>
          <xm:sqref>QUE917509:QUE917532</xm:sqref>
        </x14:dataValidation>
        <x14:dataValidation type="list" allowBlank="1" showInputMessage="1" showErrorMessage="1" xr:uid="{00000000-0002-0000-0300-000091070000}">
          <x14:formula1>
            <xm:f>項目!C17:$RDS$917505</xm:f>
          </x14:formula1>
          <xm:sqref>REA917509:REA917532</xm:sqref>
        </x14:dataValidation>
        <x14:dataValidation type="list" allowBlank="1" showInputMessage="1" showErrorMessage="1" xr:uid="{00000000-0002-0000-0300-000092070000}">
          <x14:formula1>
            <xm:f>項目!C17:$RNO$917505</xm:f>
          </x14:formula1>
          <xm:sqref>RNW917509:RNW917532</xm:sqref>
        </x14:dataValidation>
        <x14:dataValidation type="list" allowBlank="1" showInputMessage="1" showErrorMessage="1" xr:uid="{00000000-0002-0000-0300-000093070000}">
          <x14:formula1>
            <xm:f>項目!C17:$RXK$917505</xm:f>
          </x14:formula1>
          <xm:sqref>RXS917509:RXS917532</xm:sqref>
        </x14:dataValidation>
        <x14:dataValidation type="list" allowBlank="1" showInputMessage="1" showErrorMessage="1" xr:uid="{00000000-0002-0000-0300-000094070000}">
          <x14:formula1>
            <xm:f>項目!C17:$SHG$917505</xm:f>
          </x14:formula1>
          <xm:sqref>SHO917509:SHO917532</xm:sqref>
        </x14:dataValidation>
        <x14:dataValidation type="list" allowBlank="1" showInputMessage="1" showErrorMessage="1" xr:uid="{00000000-0002-0000-0300-000095070000}">
          <x14:formula1>
            <xm:f>項目!C17:$SRC$917505</xm:f>
          </x14:formula1>
          <xm:sqref>SRK917509:SRK917532</xm:sqref>
        </x14:dataValidation>
        <x14:dataValidation type="list" allowBlank="1" showInputMessage="1" showErrorMessage="1" xr:uid="{00000000-0002-0000-0300-000096070000}">
          <x14:formula1>
            <xm:f>項目!C17:$TAY$917505</xm:f>
          </x14:formula1>
          <xm:sqref>TBG917509:TBG917532</xm:sqref>
        </x14:dataValidation>
        <x14:dataValidation type="list" allowBlank="1" showInputMessage="1" showErrorMessage="1" xr:uid="{00000000-0002-0000-0300-000097070000}">
          <x14:formula1>
            <xm:f>項目!C17:$TKU$917505</xm:f>
          </x14:formula1>
          <xm:sqref>TLC917509:TLC917532</xm:sqref>
        </x14:dataValidation>
        <x14:dataValidation type="list" allowBlank="1" showInputMessage="1" showErrorMessage="1" xr:uid="{00000000-0002-0000-0300-000098070000}">
          <x14:formula1>
            <xm:f>項目!C17:$TUQ$917505</xm:f>
          </x14:formula1>
          <xm:sqref>TUY917509:TUY917532</xm:sqref>
        </x14:dataValidation>
        <x14:dataValidation type="list" allowBlank="1" showInputMessage="1" showErrorMessage="1" xr:uid="{00000000-0002-0000-0300-000099070000}">
          <x14:formula1>
            <xm:f>項目!C17:$UEM$917505</xm:f>
          </x14:formula1>
          <xm:sqref>UEU917509:UEU917532</xm:sqref>
        </x14:dataValidation>
        <x14:dataValidation type="list" allowBlank="1" showInputMessage="1" showErrorMessage="1" xr:uid="{00000000-0002-0000-0300-00009A070000}">
          <x14:formula1>
            <xm:f>項目!C17:$UOI$917505</xm:f>
          </x14:formula1>
          <xm:sqref>UOQ917509:UOQ917532</xm:sqref>
        </x14:dataValidation>
        <x14:dataValidation type="list" allowBlank="1" showInputMessage="1" showErrorMessage="1" xr:uid="{00000000-0002-0000-0300-00009B070000}">
          <x14:formula1>
            <xm:f>項目!C17:$UYE$917505</xm:f>
          </x14:formula1>
          <xm:sqref>UYM917509:UYM917532</xm:sqref>
        </x14:dataValidation>
        <x14:dataValidation type="list" allowBlank="1" showInputMessage="1" showErrorMessage="1" xr:uid="{00000000-0002-0000-0300-00009C070000}">
          <x14:formula1>
            <xm:f>項目!C17:$VIA$917505</xm:f>
          </x14:formula1>
          <xm:sqref>VII917509:VII917532</xm:sqref>
        </x14:dataValidation>
        <x14:dataValidation type="list" allowBlank="1" showInputMessage="1" showErrorMessage="1" xr:uid="{00000000-0002-0000-0300-00009D070000}">
          <x14:formula1>
            <xm:f>項目!C17:$VRW$917505</xm:f>
          </x14:formula1>
          <xm:sqref>VSE917509:VSE917532</xm:sqref>
        </x14:dataValidation>
        <x14:dataValidation type="list" allowBlank="1" showInputMessage="1" showErrorMessage="1" xr:uid="{00000000-0002-0000-0300-00009E070000}">
          <x14:formula1>
            <xm:f>項目!C17:$WBS$917505</xm:f>
          </x14:formula1>
          <xm:sqref>WCA917509:WCA917532</xm:sqref>
        </x14:dataValidation>
        <x14:dataValidation type="list" allowBlank="1" showInputMessage="1" showErrorMessage="1" xr:uid="{00000000-0002-0000-0300-00009F070000}">
          <x14:formula1>
            <xm:f>項目!C17:$WLO$917505</xm:f>
          </x14:formula1>
          <xm:sqref>WLW917509:WLW917532</xm:sqref>
        </x14:dataValidation>
        <x14:dataValidation type="list" allowBlank="1" showInputMessage="1" showErrorMessage="1" xr:uid="{00000000-0002-0000-0300-0000A0070000}">
          <x14:formula1>
            <xm:f>項目!C17:$WVK$917505</xm:f>
          </x14:formula1>
          <xm:sqref>WVS917509:WVS917532</xm:sqref>
        </x14:dataValidation>
        <x14:dataValidation type="list" allowBlank="1" showInputMessage="1" showErrorMessage="1" xr:uid="{00000000-0002-0000-0300-0000A1070000}">
          <x14:formula1>
            <xm:f>項目!C17:$IY$983041</xm:f>
          </x14:formula1>
          <xm:sqref>JG983045:JG983068</xm:sqref>
        </x14:dataValidation>
        <x14:dataValidation type="list" allowBlank="1" showInputMessage="1" showErrorMessage="1" xr:uid="{00000000-0002-0000-0300-0000A2070000}">
          <x14:formula1>
            <xm:f>項目!C17:$SU$983041</xm:f>
          </x14:formula1>
          <xm:sqref>TC983045:TC983068</xm:sqref>
        </x14:dataValidation>
        <x14:dataValidation type="list" allowBlank="1" showInputMessage="1" showErrorMessage="1" xr:uid="{00000000-0002-0000-0300-0000A3070000}">
          <x14:formula1>
            <xm:f>項目!C17:$ACQ$983041</xm:f>
          </x14:formula1>
          <xm:sqref>ACY983045:ACY983068</xm:sqref>
        </x14:dataValidation>
        <x14:dataValidation type="list" allowBlank="1" showInputMessage="1" showErrorMessage="1" xr:uid="{00000000-0002-0000-0300-0000A4070000}">
          <x14:formula1>
            <xm:f>項目!C17:$AMM$983041</xm:f>
          </x14:formula1>
          <xm:sqref>AMU983045:AMU983068</xm:sqref>
        </x14:dataValidation>
        <x14:dataValidation type="list" allowBlank="1" showInputMessage="1" showErrorMessage="1" xr:uid="{00000000-0002-0000-0300-0000A5070000}">
          <x14:formula1>
            <xm:f>項目!C17:$AWI$983041</xm:f>
          </x14:formula1>
          <xm:sqref>AWQ983045:AWQ983068</xm:sqref>
        </x14:dataValidation>
        <x14:dataValidation type="list" allowBlank="1" showInputMessage="1" showErrorMessage="1" xr:uid="{00000000-0002-0000-0300-0000A6070000}">
          <x14:formula1>
            <xm:f>項目!C17:$BGE$983041</xm:f>
          </x14:formula1>
          <xm:sqref>BGM983045:BGM983068</xm:sqref>
        </x14:dataValidation>
        <x14:dataValidation type="list" allowBlank="1" showInputMessage="1" showErrorMessage="1" xr:uid="{00000000-0002-0000-0300-0000A7070000}">
          <x14:formula1>
            <xm:f>項目!C17:$BQA$983041</xm:f>
          </x14:formula1>
          <xm:sqref>BQI983045:BQI983068</xm:sqref>
        </x14:dataValidation>
        <x14:dataValidation type="list" allowBlank="1" showInputMessage="1" showErrorMessage="1" xr:uid="{00000000-0002-0000-0300-0000A8070000}">
          <x14:formula1>
            <xm:f>項目!C17:$BZW$983041</xm:f>
          </x14:formula1>
          <xm:sqref>CAE983045:CAE983068</xm:sqref>
        </x14:dataValidation>
        <x14:dataValidation type="list" allowBlank="1" showInputMessage="1" showErrorMessage="1" xr:uid="{00000000-0002-0000-0300-0000A9070000}">
          <x14:formula1>
            <xm:f>項目!C17:$CJS$983041</xm:f>
          </x14:formula1>
          <xm:sqref>CKA983045:CKA983068</xm:sqref>
        </x14:dataValidation>
        <x14:dataValidation type="list" allowBlank="1" showInputMessage="1" showErrorMessage="1" xr:uid="{00000000-0002-0000-0300-0000AA070000}">
          <x14:formula1>
            <xm:f>項目!C17:$CTO$983041</xm:f>
          </x14:formula1>
          <xm:sqref>CTW983045:CTW983068</xm:sqref>
        </x14:dataValidation>
        <x14:dataValidation type="list" allowBlank="1" showInputMessage="1" showErrorMessage="1" xr:uid="{00000000-0002-0000-0300-0000AB070000}">
          <x14:formula1>
            <xm:f>項目!C17:$DDK$983041</xm:f>
          </x14:formula1>
          <xm:sqref>DDS983045:DDS983068</xm:sqref>
        </x14:dataValidation>
        <x14:dataValidation type="list" allowBlank="1" showInputMessage="1" showErrorMessage="1" xr:uid="{00000000-0002-0000-0300-0000AC070000}">
          <x14:formula1>
            <xm:f>項目!C17:$DNG$983041</xm:f>
          </x14:formula1>
          <xm:sqref>DNO983045:DNO983068</xm:sqref>
        </x14:dataValidation>
        <x14:dataValidation type="list" allowBlank="1" showInputMessage="1" showErrorMessage="1" xr:uid="{00000000-0002-0000-0300-0000AD070000}">
          <x14:formula1>
            <xm:f>項目!C17:$DXC$983041</xm:f>
          </x14:formula1>
          <xm:sqref>DXK983045:DXK983068</xm:sqref>
        </x14:dataValidation>
        <x14:dataValidation type="list" allowBlank="1" showInputMessage="1" showErrorMessage="1" xr:uid="{00000000-0002-0000-0300-0000AE070000}">
          <x14:formula1>
            <xm:f>項目!C17:$EGY$983041</xm:f>
          </x14:formula1>
          <xm:sqref>EHG983045:EHG983068</xm:sqref>
        </x14:dataValidation>
        <x14:dataValidation type="list" allowBlank="1" showInputMessage="1" showErrorMessage="1" xr:uid="{00000000-0002-0000-0300-0000AF070000}">
          <x14:formula1>
            <xm:f>項目!C17:$EQU$983041</xm:f>
          </x14:formula1>
          <xm:sqref>ERC983045:ERC983068</xm:sqref>
        </x14:dataValidation>
        <x14:dataValidation type="list" allowBlank="1" showInputMessage="1" showErrorMessage="1" xr:uid="{00000000-0002-0000-0300-0000B0070000}">
          <x14:formula1>
            <xm:f>項目!C17:$FAQ$983041</xm:f>
          </x14:formula1>
          <xm:sqref>FAY983045:FAY983068</xm:sqref>
        </x14:dataValidation>
        <x14:dataValidation type="list" allowBlank="1" showInputMessage="1" showErrorMessage="1" xr:uid="{00000000-0002-0000-0300-0000B1070000}">
          <x14:formula1>
            <xm:f>項目!C17:$FKM$983041</xm:f>
          </x14:formula1>
          <xm:sqref>FKU983045:FKU983068</xm:sqref>
        </x14:dataValidation>
        <x14:dataValidation type="list" allowBlank="1" showInputMessage="1" showErrorMessage="1" xr:uid="{00000000-0002-0000-0300-0000B2070000}">
          <x14:formula1>
            <xm:f>項目!C17:$FUI$983041</xm:f>
          </x14:formula1>
          <xm:sqref>FUQ983045:FUQ983068</xm:sqref>
        </x14:dataValidation>
        <x14:dataValidation type="list" allowBlank="1" showInputMessage="1" showErrorMessage="1" xr:uid="{00000000-0002-0000-0300-0000B3070000}">
          <x14:formula1>
            <xm:f>項目!C17:$GEE$983041</xm:f>
          </x14:formula1>
          <xm:sqref>GEM983045:GEM983068</xm:sqref>
        </x14:dataValidation>
        <x14:dataValidation type="list" allowBlank="1" showInputMessage="1" showErrorMessage="1" xr:uid="{00000000-0002-0000-0300-0000B4070000}">
          <x14:formula1>
            <xm:f>項目!C17:$GOA$983041</xm:f>
          </x14:formula1>
          <xm:sqref>GOI983045:GOI983068</xm:sqref>
        </x14:dataValidation>
        <x14:dataValidation type="list" allowBlank="1" showInputMessage="1" showErrorMessage="1" xr:uid="{00000000-0002-0000-0300-0000B5070000}">
          <x14:formula1>
            <xm:f>項目!C17:$GXW$983041</xm:f>
          </x14:formula1>
          <xm:sqref>GYE983045:GYE983068</xm:sqref>
        </x14:dataValidation>
        <x14:dataValidation type="list" allowBlank="1" showInputMessage="1" showErrorMessage="1" xr:uid="{00000000-0002-0000-0300-0000B6070000}">
          <x14:formula1>
            <xm:f>項目!C17:$HHS$983041</xm:f>
          </x14:formula1>
          <xm:sqref>HIA983045:HIA983068</xm:sqref>
        </x14:dataValidation>
        <x14:dataValidation type="list" allowBlank="1" showInputMessage="1" showErrorMessage="1" xr:uid="{00000000-0002-0000-0300-0000B7070000}">
          <x14:formula1>
            <xm:f>項目!C17:$HRO$983041</xm:f>
          </x14:formula1>
          <xm:sqref>HRW983045:HRW983068</xm:sqref>
        </x14:dataValidation>
        <x14:dataValidation type="list" allowBlank="1" showInputMessage="1" showErrorMessage="1" xr:uid="{00000000-0002-0000-0300-0000B8070000}">
          <x14:formula1>
            <xm:f>項目!C17:$IBK$983041</xm:f>
          </x14:formula1>
          <xm:sqref>IBS983045:IBS983068</xm:sqref>
        </x14:dataValidation>
        <x14:dataValidation type="list" allowBlank="1" showInputMessage="1" showErrorMessage="1" xr:uid="{00000000-0002-0000-0300-0000B9070000}">
          <x14:formula1>
            <xm:f>項目!C17:$ILG$983041</xm:f>
          </x14:formula1>
          <xm:sqref>ILO983045:ILO983068</xm:sqref>
        </x14:dataValidation>
        <x14:dataValidation type="list" allowBlank="1" showInputMessage="1" showErrorMessage="1" xr:uid="{00000000-0002-0000-0300-0000BA070000}">
          <x14:formula1>
            <xm:f>項目!C17:$IVC$983041</xm:f>
          </x14:formula1>
          <xm:sqref>IVK983045:IVK983068</xm:sqref>
        </x14:dataValidation>
        <x14:dataValidation type="list" allowBlank="1" showInputMessage="1" showErrorMessage="1" xr:uid="{00000000-0002-0000-0300-0000BB070000}">
          <x14:formula1>
            <xm:f>項目!C17:$JEY$983041</xm:f>
          </x14:formula1>
          <xm:sqref>JFG983045:JFG983068</xm:sqref>
        </x14:dataValidation>
        <x14:dataValidation type="list" allowBlank="1" showInputMessage="1" showErrorMessage="1" xr:uid="{00000000-0002-0000-0300-0000BC070000}">
          <x14:formula1>
            <xm:f>項目!C17:$JOU$983041</xm:f>
          </x14:formula1>
          <xm:sqref>JPC983045:JPC983068</xm:sqref>
        </x14:dataValidation>
        <x14:dataValidation type="list" allowBlank="1" showInputMessage="1" showErrorMessage="1" xr:uid="{00000000-0002-0000-0300-0000BD070000}">
          <x14:formula1>
            <xm:f>項目!C17:$JYQ$983041</xm:f>
          </x14:formula1>
          <xm:sqref>JYY983045:JYY983068</xm:sqref>
        </x14:dataValidation>
        <x14:dataValidation type="list" allowBlank="1" showInputMessage="1" showErrorMessage="1" xr:uid="{00000000-0002-0000-0300-0000BE070000}">
          <x14:formula1>
            <xm:f>項目!C17:$KIM$983041</xm:f>
          </x14:formula1>
          <xm:sqref>KIU983045:KIU983068</xm:sqref>
        </x14:dataValidation>
        <x14:dataValidation type="list" allowBlank="1" showInputMessage="1" showErrorMessage="1" xr:uid="{00000000-0002-0000-0300-0000BF070000}">
          <x14:formula1>
            <xm:f>項目!C17:$KSI$983041</xm:f>
          </x14:formula1>
          <xm:sqref>KSQ983045:KSQ983068</xm:sqref>
        </x14:dataValidation>
        <x14:dataValidation type="list" allowBlank="1" showInputMessage="1" showErrorMessage="1" xr:uid="{00000000-0002-0000-0300-0000C0070000}">
          <x14:formula1>
            <xm:f>項目!C17:$LCE$983041</xm:f>
          </x14:formula1>
          <xm:sqref>LCM983045:LCM983068</xm:sqref>
        </x14:dataValidation>
        <x14:dataValidation type="list" allowBlank="1" showInputMessage="1" showErrorMessage="1" xr:uid="{00000000-0002-0000-0300-0000C1070000}">
          <x14:formula1>
            <xm:f>項目!C17:$LMA$983041</xm:f>
          </x14:formula1>
          <xm:sqref>LMI983045:LMI983068</xm:sqref>
        </x14:dataValidation>
        <x14:dataValidation type="list" allowBlank="1" showInputMessage="1" showErrorMessage="1" xr:uid="{00000000-0002-0000-0300-0000C2070000}">
          <x14:formula1>
            <xm:f>項目!C17:$LVW$983041</xm:f>
          </x14:formula1>
          <xm:sqref>LWE983045:LWE983068</xm:sqref>
        </x14:dataValidation>
        <x14:dataValidation type="list" allowBlank="1" showInputMessage="1" showErrorMessage="1" xr:uid="{00000000-0002-0000-0300-0000C3070000}">
          <x14:formula1>
            <xm:f>項目!C17:$MFS$983041</xm:f>
          </x14:formula1>
          <xm:sqref>MGA983045:MGA983068</xm:sqref>
        </x14:dataValidation>
        <x14:dataValidation type="list" allowBlank="1" showInputMessage="1" showErrorMessage="1" xr:uid="{00000000-0002-0000-0300-0000C4070000}">
          <x14:formula1>
            <xm:f>項目!C17:$MPO$983041</xm:f>
          </x14:formula1>
          <xm:sqref>MPW983045:MPW983068</xm:sqref>
        </x14:dataValidation>
        <x14:dataValidation type="list" allowBlank="1" showInputMessage="1" showErrorMessage="1" xr:uid="{00000000-0002-0000-0300-0000C5070000}">
          <x14:formula1>
            <xm:f>項目!C17:$MZK$983041</xm:f>
          </x14:formula1>
          <xm:sqref>MZS983045:MZS983068</xm:sqref>
        </x14:dataValidation>
        <x14:dataValidation type="list" allowBlank="1" showInputMessage="1" showErrorMessage="1" xr:uid="{00000000-0002-0000-0300-0000C6070000}">
          <x14:formula1>
            <xm:f>項目!C17:$NJG$983041</xm:f>
          </x14:formula1>
          <xm:sqref>NJO983045:NJO983068</xm:sqref>
        </x14:dataValidation>
        <x14:dataValidation type="list" allowBlank="1" showInputMessage="1" showErrorMessage="1" xr:uid="{00000000-0002-0000-0300-0000C7070000}">
          <x14:formula1>
            <xm:f>項目!C17:$NTC$983041</xm:f>
          </x14:formula1>
          <xm:sqref>NTK983045:NTK983068</xm:sqref>
        </x14:dataValidation>
        <x14:dataValidation type="list" allowBlank="1" showInputMessage="1" showErrorMessage="1" xr:uid="{00000000-0002-0000-0300-0000C8070000}">
          <x14:formula1>
            <xm:f>項目!C17:$OCY$983041</xm:f>
          </x14:formula1>
          <xm:sqref>ODG983045:ODG983068</xm:sqref>
        </x14:dataValidation>
        <x14:dataValidation type="list" allowBlank="1" showInputMessage="1" showErrorMessage="1" xr:uid="{00000000-0002-0000-0300-0000C9070000}">
          <x14:formula1>
            <xm:f>項目!C17:$OMU$983041</xm:f>
          </x14:formula1>
          <xm:sqref>ONC983045:ONC983068</xm:sqref>
        </x14:dataValidation>
        <x14:dataValidation type="list" allowBlank="1" showInputMessage="1" showErrorMessage="1" xr:uid="{00000000-0002-0000-0300-0000CA070000}">
          <x14:formula1>
            <xm:f>項目!C17:$OWQ$983041</xm:f>
          </x14:formula1>
          <xm:sqref>OWY983045:OWY983068</xm:sqref>
        </x14:dataValidation>
        <x14:dataValidation type="list" allowBlank="1" showInputMessage="1" showErrorMessage="1" xr:uid="{00000000-0002-0000-0300-0000CB070000}">
          <x14:formula1>
            <xm:f>項目!C17:$PGM$983041</xm:f>
          </x14:formula1>
          <xm:sqref>PGU983045:PGU983068</xm:sqref>
        </x14:dataValidation>
        <x14:dataValidation type="list" allowBlank="1" showInputMessage="1" showErrorMessage="1" xr:uid="{00000000-0002-0000-0300-0000CC070000}">
          <x14:formula1>
            <xm:f>項目!C17:$PQI$983041</xm:f>
          </x14:formula1>
          <xm:sqref>PQQ983045:PQQ983068</xm:sqref>
        </x14:dataValidation>
        <x14:dataValidation type="list" allowBlank="1" showInputMessage="1" showErrorMessage="1" xr:uid="{00000000-0002-0000-0300-0000CD070000}">
          <x14:formula1>
            <xm:f>項目!C17:$QAE$983041</xm:f>
          </x14:formula1>
          <xm:sqref>QAM983045:QAM983068</xm:sqref>
        </x14:dataValidation>
        <x14:dataValidation type="list" allowBlank="1" showInputMessage="1" showErrorMessage="1" xr:uid="{00000000-0002-0000-0300-0000CE070000}">
          <x14:formula1>
            <xm:f>項目!C17:$QKA$983041</xm:f>
          </x14:formula1>
          <xm:sqref>QKI983045:QKI983068</xm:sqref>
        </x14:dataValidation>
        <x14:dataValidation type="list" allowBlank="1" showInputMessage="1" showErrorMessage="1" xr:uid="{00000000-0002-0000-0300-0000CF070000}">
          <x14:formula1>
            <xm:f>項目!C17:$QTW$983041</xm:f>
          </x14:formula1>
          <xm:sqref>QUE983045:QUE983068</xm:sqref>
        </x14:dataValidation>
        <x14:dataValidation type="list" allowBlank="1" showInputMessage="1" showErrorMessage="1" xr:uid="{00000000-0002-0000-0300-0000D0070000}">
          <x14:formula1>
            <xm:f>項目!C17:$RDS$983041</xm:f>
          </x14:formula1>
          <xm:sqref>REA983045:REA983068</xm:sqref>
        </x14:dataValidation>
        <x14:dataValidation type="list" allowBlank="1" showInputMessage="1" showErrorMessage="1" xr:uid="{00000000-0002-0000-0300-0000D1070000}">
          <x14:formula1>
            <xm:f>項目!C17:$RNO$983041</xm:f>
          </x14:formula1>
          <xm:sqref>RNW983045:RNW983068</xm:sqref>
        </x14:dataValidation>
        <x14:dataValidation type="list" allowBlank="1" showInputMessage="1" showErrorMessage="1" xr:uid="{00000000-0002-0000-0300-0000D2070000}">
          <x14:formula1>
            <xm:f>項目!C17:$RXK$983041</xm:f>
          </x14:formula1>
          <xm:sqref>RXS983045:RXS983068</xm:sqref>
        </x14:dataValidation>
        <x14:dataValidation type="list" allowBlank="1" showInputMessage="1" showErrorMessage="1" xr:uid="{00000000-0002-0000-0300-0000D3070000}">
          <x14:formula1>
            <xm:f>項目!C17:$SHG$983041</xm:f>
          </x14:formula1>
          <xm:sqref>SHO983045:SHO983068</xm:sqref>
        </x14:dataValidation>
        <x14:dataValidation type="list" allowBlank="1" showInputMessage="1" showErrorMessage="1" xr:uid="{00000000-0002-0000-0300-0000D4070000}">
          <x14:formula1>
            <xm:f>項目!C17:$SRC$983041</xm:f>
          </x14:formula1>
          <xm:sqref>SRK983045:SRK983068</xm:sqref>
        </x14:dataValidation>
        <x14:dataValidation type="list" allowBlank="1" showInputMessage="1" showErrorMessage="1" xr:uid="{00000000-0002-0000-0300-0000D5070000}">
          <x14:formula1>
            <xm:f>項目!C17:$TAY$983041</xm:f>
          </x14:formula1>
          <xm:sqref>TBG983045:TBG983068</xm:sqref>
        </x14:dataValidation>
        <x14:dataValidation type="list" allowBlank="1" showInputMessage="1" showErrorMessage="1" xr:uid="{00000000-0002-0000-0300-0000D6070000}">
          <x14:formula1>
            <xm:f>項目!C17:$TKU$983041</xm:f>
          </x14:formula1>
          <xm:sqref>TLC983045:TLC983068</xm:sqref>
        </x14:dataValidation>
        <x14:dataValidation type="list" allowBlank="1" showInputMessage="1" showErrorMessage="1" xr:uid="{00000000-0002-0000-0300-0000D7070000}">
          <x14:formula1>
            <xm:f>項目!C17:$TUQ$983041</xm:f>
          </x14:formula1>
          <xm:sqref>TUY983045:TUY983068</xm:sqref>
        </x14:dataValidation>
        <x14:dataValidation type="list" allowBlank="1" showInputMessage="1" showErrorMessage="1" xr:uid="{00000000-0002-0000-0300-0000D8070000}">
          <x14:formula1>
            <xm:f>項目!C17:$UEM$983041</xm:f>
          </x14:formula1>
          <xm:sqref>UEU983045:UEU983068</xm:sqref>
        </x14:dataValidation>
        <x14:dataValidation type="list" allowBlank="1" showInputMessage="1" showErrorMessage="1" xr:uid="{00000000-0002-0000-0300-0000D9070000}">
          <x14:formula1>
            <xm:f>項目!C17:$UOI$983041</xm:f>
          </x14:formula1>
          <xm:sqref>UOQ983045:UOQ983068</xm:sqref>
        </x14:dataValidation>
        <x14:dataValidation type="list" allowBlank="1" showInputMessage="1" showErrorMessage="1" xr:uid="{00000000-0002-0000-0300-0000DA070000}">
          <x14:formula1>
            <xm:f>項目!C17:$UYE$983041</xm:f>
          </x14:formula1>
          <xm:sqref>UYM983045:UYM983068</xm:sqref>
        </x14:dataValidation>
        <x14:dataValidation type="list" allowBlank="1" showInputMessage="1" showErrorMessage="1" xr:uid="{00000000-0002-0000-0300-0000DB070000}">
          <x14:formula1>
            <xm:f>項目!C17:$VIA$983041</xm:f>
          </x14:formula1>
          <xm:sqref>VII983045:VII983068</xm:sqref>
        </x14:dataValidation>
        <x14:dataValidation type="list" allowBlank="1" showInputMessage="1" showErrorMessage="1" xr:uid="{00000000-0002-0000-0300-0000DC070000}">
          <x14:formula1>
            <xm:f>項目!C17:$VRW$983041</xm:f>
          </x14:formula1>
          <xm:sqref>VSE983045:VSE983068</xm:sqref>
        </x14:dataValidation>
        <x14:dataValidation type="list" allowBlank="1" showInputMessage="1" showErrorMessage="1" xr:uid="{00000000-0002-0000-0300-0000DD070000}">
          <x14:formula1>
            <xm:f>項目!C17:$WBS$983041</xm:f>
          </x14:formula1>
          <xm:sqref>WCA983045:WCA983068</xm:sqref>
        </x14:dataValidation>
        <x14:dataValidation type="list" allowBlank="1" showInputMessage="1" showErrorMessage="1" xr:uid="{00000000-0002-0000-0300-0000DE070000}">
          <x14:formula1>
            <xm:f>項目!C17:$WLO$983041</xm:f>
          </x14:formula1>
          <xm:sqref>WLW983045:WLW983068</xm:sqref>
        </x14:dataValidation>
        <x14:dataValidation type="list" allowBlank="1" showInputMessage="1" showErrorMessage="1" xr:uid="{00000000-0002-0000-0300-0000DF070000}">
          <x14:formula1>
            <xm:f>項目!C17:$WVK$983041</xm:f>
          </x14:formula1>
          <xm:sqref>WVS983045:WVS983068</xm:sqref>
        </x14:dataValidation>
        <x14:dataValidation type="list" allowBlank="1" showInputMessage="1" showErrorMessage="1" xr:uid="{00000000-0002-0000-0300-0000E0070000}">
          <x14:formula1>
            <xm:f>項目!C1:$IU$17</xm:f>
          </x14:formula1>
          <xm:sqref>JC5:JC28</xm:sqref>
        </x14:dataValidation>
        <x14:dataValidation type="list" allowBlank="1" showInputMessage="1" showErrorMessage="1" xr:uid="{00000000-0002-0000-0300-0000E1070000}">
          <x14:formula1>
            <xm:f>項目!C1:$JC$17</xm:f>
          </x14:formula1>
          <xm:sqref>JK5:JK28</xm:sqref>
        </x14:dataValidation>
        <x14:dataValidation type="list" allowBlank="1" showInputMessage="1" showErrorMessage="1" xr:uid="{00000000-0002-0000-0300-0000E2070000}">
          <x14:formula1>
            <xm:f>項目!C1:$SY$17</xm:f>
          </x14:formula1>
          <xm:sqref>TG5:TG28</xm:sqref>
        </x14:dataValidation>
        <x14:dataValidation type="list" allowBlank="1" showInputMessage="1" showErrorMessage="1" xr:uid="{00000000-0002-0000-0300-0000E3070000}">
          <x14:formula1>
            <xm:f>項目!C1:$ACU$17</xm:f>
          </x14:formula1>
          <xm:sqref>ADC5:ADC28</xm:sqref>
        </x14:dataValidation>
        <x14:dataValidation type="list" allowBlank="1" showInputMessage="1" showErrorMessage="1" xr:uid="{00000000-0002-0000-0300-0000E4070000}">
          <x14:formula1>
            <xm:f>項目!C1:$AMQ$17</xm:f>
          </x14:formula1>
          <xm:sqref>AMY5:AMY28</xm:sqref>
        </x14:dataValidation>
        <x14:dataValidation type="list" allowBlank="1" showInputMessage="1" showErrorMessage="1" xr:uid="{00000000-0002-0000-0300-0000E5070000}">
          <x14:formula1>
            <xm:f>項目!C1:$AWM$17</xm:f>
          </x14:formula1>
          <xm:sqref>AWU5:AWU28</xm:sqref>
        </x14:dataValidation>
        <x14:dataValidation type="list" allowBlank="1" showInputMessage="1" showErrorMessage="1" xr:uid="{00000000-0002-0000-0300-0000E6070000}">
          <x14:formula1>
            <xm:f>項目!C1:$BGI$17</xm:f>
          </x14:formula1>
          <xm:sqref>BGQ5:BGQ28</xm:sqref>
        </x14:dataValidation>
        <x14:dataValidation type="list" allowBlank="1" showInputMessage="1" showErrorMessage="1" xr:uid="{00000000-0002-0000-0300-0000E7070000}">
          <x14:formula1>
            <xm:f>項目!C1:$BQE$17</xm:f>
          </x14:formula1>
          <xm:sqref>BQM5:BQM28</xm:sqref>
        </x14:dataValidation>
        <x14:dataValidation type="list" allowBlank="1" showInputMessage="1" showErrorMessage="1" xr:uid="{00000000-0002-0000-0300-0000E8070000}">
          <x14:formula1>
            <xm:f>項目!C1:$CAA$17</xm:f>
          </x14:formula1>
          <xm:sqref>CAI5:CAI28</xm:sqref>
        </x14:dataValidation>
        <x14:dataValidation type="list" allowBlank="1" showInputMessage="1" showErrorMessage="1" xr:uid="{00000000-0002-0000-0300-0000E9070000}">
          <x14:formula1>
            <xm:f>項目!C1:$CJW$17</xm:f>
          </x14:formula1>
          <xm:sqref>CKE5:CKE28</xm:sqref>
        </x14:dataValidation>
        <x14:dataValidation type="list" allowBlank="1" showInputMessage="1" showErrorMessage="1" xr:uid="{00000000-0002-0000-0300-0000EA070000}">
          <x14:formula1>
            <xm:f>項目!C1:$CTS$17</xm:f>
          </x14:formula1>
          <xm:sqref>CUA5:CUA28</xm:sqref>
        </x14:dataValidation>
        <x14:dataValidation type="list" allowBlank="1" showInputMessage="1" showErrorMessage="1" xr:uid="{00000000-0002-0000-0300-0000EB070000}">
          <x14:formula1>
            <xm:f>項目!C1:$DDO$17</xm:f>
          </x14:formula1>
          <xm:sqref>DDW5:DDW28</xm:sqref>
        </x14:dataValidation>
        <x14:dataValidation type="list" allowBlank="1" showInputMessage="1" showErrorMessage="1" xr:uid="{00000000-0002-0000-0300-0000EC070000}">
          <x14:formula1>
            <xm:f>項目!C1:$DNK$17</xm:f>
          </x14:formula1>
          <xm:sqref>DNS5:DNS28</xm:sqref>
        </x14:dataValidation>
        <x14:dataValidation type="list" allowBlank="1" showInputMessage="1" showErrorMessage="1" xr:uid="{00000000-0002-0000-0300-0000ED070000}">
          <x14:formula1>
            <xm:f>項目!C1:$DXG$17</xm:f>
          </x14:formula1>
          <xm:sqref>DXO5:DXO28</xm:sqref>
        </x14:dataValidation>
        <x14:dataValidation type="list" allowBlank="1" showInputMessage="1" showErrorMessage="1" xr:uid="{00000000-0002-0000-0300-0000EE070000}">
          <x14:formula1>
            <xm:f>項目!C1:$EHC$17</xm:f>
          </x14:formula1>
          <xm:sqref>EHK5:EHK28</xm:sqref>
        </x14:dataValidation>
        <x14:dataValidation type="list" allowBlank="1" showInputMessage="1" showErrorMessage="1" xr:uid="{00000000-0002-0000-0300-0000EF070000}">
          <x14:formula1>
            <xm:f>項目!C1:$EQY$17</xm:f>
          </x14:formula1>
          <xm:sqref>ERG5:ERG28</xm:sqref>
        </x14:dataValidation>
        <x14:dataValidation type="list" allowBlank="1" showInputMessage="1" showErrorMessage="1" xr:uid="{00000000-0002-0000-0300-0000F0070000}">
          <x14:formula1>
            <xm:f>項目!C1:$FAU$17</xm:f>
          </x14:formula1>
          <xm:sqref>FBC5:FBC28</xm:sqref>
        </x14:dataValidation>
        <x14:dataValidation type="list" allowBlank="1" showInputMessage="1" showErrorMessage="1" xr:uid="{00000000-0002-0000-0300-0000F1070000}">
          <x14:formula1>
            <xm:f>項目!C1:$FKQ$17</xm:f>
          </x14:formula1>
          <xm:sqref>FKY5:FKY28</xm:sqref>
        </x14:dataValidation>
        <x14:dataValidation type="list" allowBlank="1" showInputMessage="1" showErrorMessage="1" xr:uid="{00000000-0002-0000-0300-0000F2070000}">
          <x14:formula1>
            <xm:f>項目!C1:$FUM$17</xm:f>
          </x14:formula1>
          <xm:sqref>FUU5:FUU28</xm:sqref>
        </x14:dataValidation>
        <x14:dataValidation type="list" allowBlank="1" showInputMessage="1" showErrorMessage="1" xr:uid="{00000000-0002-0000-0300-0000F3070000}">
          <x14:formula1>
            <xm:f>項目!C1:$GEI$17</xm:f>
          </x14:formula1>
          <xm:sqref>GEQ5:GEQ28</xm:sqref>
        </x14:dataValidation>
        <x14:dataValidation type="list" allowBlank="1" showInputMessage="1" showErrorMessage="1" xr:uid="{00000000-0002-0000-0300-0000F4070000}">
          <x14:formula1>
            <xm:f>項目!C1:$GOE$17</xm:f>
          </x14:formula1>
          <xm:sqref>GOM5:GOM28</xm:sqref>
        </x14:dataValidation>
        <x14:dataValidation type="list" allowBlank="1" showInputMessage="1" showErrorMessage="1" xr:uid="{00000000-0002-0000-0300-0000F5070000}">
          <x14:formula1>
            <xm:f>項目!C1:$GYA$17</xm:f>
          </x14:formula1>
          <xm:sqref>GYI5:GYI28</xm:sqref>
        </x14:dataValidation>
        <x14:dataValidation type="list" allowBlank="1" showInputMessage="1" showErrorMessage="1" xr:uid="{00000000-0002-0000-0300-0000F6070000}">
          <x14:formula1>
            <xm:f>項目!C1:$HHW$17</xm:f>
          </x14:formula1>
          <xm:sqref>HIE5:HIE28</xm:sqref>
        </x14:dataValidation>
        <x14:dataValidation type="list" allowBlank="1" showInputMessage="1" showErrorMessage="1" xr:uid="{00000000-0002-0000-0300-0000F7070000}">
          <x14:formula1>
            <xm:f>項目!C1:$HRS$17</xm:f>
          </x14:formula1>
          <xm:sqref>HSA5:HSA28</xm:sqref>
        </x14:dataValidation>
        <x14:dataValidation type="list" allowBlank="1" showInputMessage="1" showErrorMessage="1" xr:uid="{00000000-0002-0000-0300-0000F8070000}">
          <x14:formula1>
            <xm:f>項目!C1:$IBO$17</xm:f>
          </x14:formula1>
          <xm:sqref>IBW5:IBW28</xm:sqref>
        </x14:dataValidation>
        <x14:dataValidation type="list" allowBlank="1" showInputMessage="1" showErrorMessage="1" xr:uid="{00000000-0002-0000-0300-0000F9070000}">
          <x14:formula1>
            <xm:f>項目!C1:$ILK$17</xm:f>
          </x14:formula1>
          <xm:sqref>ILS5:ILS28</xm:sqref>
        </x14:dataValidation>
        <x14:dataValidation type="list" allowBlank="1" showInputMessage="1" showErrorMessage="1" xr:uid="{00000000-0002-0000-0300-0000FA070000}">
          <x14:formula1>
            <xm:f>項目!C1:$IVG$17</xm:f>
          </x14:formula1>
          <xm:sqref>IVO5:IVO28</xm:sqref>
        </x14:dataValidation>
        <x14:dataValidation type="list" allowBlank="1" showInputMessage="1" showErrorMessage="1" xr:uid="{00000000-0002-0000-0300-0000FB070000}">
          <x14:formula1>
            <xm:f>項目!C1:$JFC$17</xm:f>
          </x14:formula1>
          <xm:sqref>JFK5:JFK28</xm:sqref>
        </x14:dataValidation>
        <x14:dataValidation type="list" allowBlank="1" showInputMessage="1" showErrorMessage="1" xr:uid="{00000000-0002-0000-0300-0000FC070000}">
          <x14:formula1>
            <xm:f>項目!C1:$JOY$17</xm:f>
          </x14:formula1>
          <xm:sqref>JPG5:JPG28</xm:sqref>
        </x14:dataValidation>
        <x14:dataValidation type="list" allowBlank="1" showInputMessage="1" showErrorMessage="1" xr:uid="{00000000-0002-0000-0300-0000FD070000}">
          <x14:formula1>
            <xm:f>項目!C1:$JYU$17</xm:f>
          </x14:formula1>
          <xm:sqref>JZC5:JZC28</xm:sqref>
        </x14:dataValidation>
        <x14:dataValidation type="list" allowBlank="1" showInputMessage="1" showErrorMessage="1" xr:uid="{00000000-0002-0000-0300-0000FE070000}">
          <x14:formula1>
            <xm:f>項目!C1:$KIQ$17</xm:f>
          </x14:formula1>
          <xm:sqref>KIY5:KIY28</xm:sqref>
        </x14:dataValidation>
        <x14:dataValidation type="list" allowBlank="1" showInputMessage="1" showErrorMessage="1" xr:uid="{00000000-0002-0000-0300-0000FF070000}">
          <x14:formula1>
            <xm:f>項目!C1:$KSM$17</xm:f>
          </x14:formula1>
          <xm:sqref>KSU5:KSU28</xm:sqref>
        </x14:dataValidation>
        <x14:dataValidation type="list" allowBlank="1" showInputMessage="1" showErrorMessage="1" xr:uid="{00000000-0002-0000-0300-000000080000}">
          <x14:formula1>
            <xm:f>項目!C1:$LCI$17</xm:f>
          </x14:formula1>
          <xm:sqref>LCQ5:LCQ28</xm:sqref>
        </x14:dataValidation>
        <x14:dataValidation type="list" allowBlank="1" showInputMessage="1" showErrorMessage="1" xr:uid="{00000000-0002-0000-0300-000001080000}">
          <x14:formula1>
            <xm:f>項目!C1:$LME$17</xm:f>
          </x14:formula1>
          <xm:sqref>LMM5:LMM28</xm:sqref>
        </x14:dataValidation>
        <x14:dataValidation type="list" allowBlank="1" showInputMessage="1" showErrorMessage="1" xr:uid="{00000000-0002-0000-0300-000002080000}">
          <x14:formula1>
            <xm:f>項目!C1:$LWA$17</xm:f>
          </x14:formula1>
          <xm:sqref>LWI5:LWI28</xm:sqref>
        </x14:dataValidation>
        <x14:dataValidation type="list" allowBlank="1" showInputMessage="1" showErrorMessage="1" xr:uid="{00000000-0002-0000-0300-000003080000}">
          <x14:formula1>
            <xm:f>項目!C1:$MFW$17</xm:f>
          </x14:formula1>
          <xm:sqref>MGE5:MGE28</xm:sqref>
        </x14:dataValidation>
        <x14:dataValidation type="list" allowBlank="1" showInputMessage="1" showErrorMessage="1" xr:uid="{00000000-0002-0000-0300-000004080000}">
          <x14:formula1>
            <xm:f>項目!C1:$MPS$17</xm:f>
          </x14:formula1>
          <xm:sqref>MQA5:MQA28</xm:sqref>
        </x14:dataValidation>
        <x14:dataValidation type="list" allowBlank="1" showInputMessage="1" showErrorMessage="1" xr:uid="{00000000-0002-0000-0300-000005080000}">
          <x14:formula1>
            <xm:f>項目!C1:$MZO$17</xm:f>
          </x14:formula1>
          <xm:sqref>MZW5:MZW28</xm:sqref>
        </x14:dataValidation>
        <x14:dataValidation type="list" allowBlank="1" showInputMessage="1" showErrorMessage="1" xr:uid="{00000000-0002-0000-0300-000006080000}">
          <x14:formula1>
            <xm:f>項目!C1:$NJK$17</xm:f>
          </x14:formula1>
          <xm:sqref>NJS5:NJS28</xm:sqref>
        </x14:dataValidation>
        <x14:dataValidation type="list" allowBlank="1" showInputMessage="1" showErrorMessage="1" xr:uid="{00000000-0002-0000-0300-000007080000}">
          <x14:formula1>
            <xm:f>項目!C1:$NTG$17</xm:f>
          </x14:formula1>
          <xm:sqref>NTO5:NTO28</xm:sqref>
        </x14:dataValidation>
        <x14:dataValidation type="list" allowBlank="1" showInputMessage="1" showErrorMessage="1" xr:uid="{00000000-0002-0000-0300-000008080000}">
          <x14:formula1>
            <xm:f>項目!C1:$ODC$17</xm:f>
          </x14:formula1>
          <xm:sqref>ODK5:ODK28</xm:sqref>
        </x14:dataValidation>
        <x14:dataValidation type="list" allowBlank="1" showInputMessage="1" showErrorMessage="1" xr:uid="{00000000-0002-0000-0300-000009080000}">
          <x14:formula1>
            <xm:f>項目!C1:$OMY$17</xm:f>
          </x14:formula1>
          <xm:sqref>ONG5:ONG28</xm:sqref>
        </x14:dataValidation>
        <x14:dataValidation type="list" allowBlank="1" showInputMessage="1" showErrorMessage="1" xr:uid="{00000000-0002-0000-0300-00000A080000}">
          <x14:formula1>
            <xm:f>項目!C1:$OWU$17</xm:f>
          </x14:formula1>
          <xm:sqref>OXC5:OXC28</xm:sqref>
        </x14:dataValidation>
        <x14:dataValidation type="list" allowBlank="1" showInputMessage="1" showErrorMessage="1" xr:uid="{00000000-0002-0000-0300-00000B080000}">
          <x14:formula1>
            <xm:f>項目!C1:$PGQ$17</xm:f>
          </x14:formula1>
          <xm:sqref>PGY5:PGY28</xm:sqref>
        </x14:dataValidation>
        <x14:dataValidation type="list" allowBlank="1" showInputMessage="1" showErrorMessage="1" xr:uid="{00000000-0002-0000-0300-00000C080000}">
          <x14:formula1>
            <xm:f>項目!C1:$PQM$17</xm:f>
          </x14:formula1>
          <xm:sqref>PQU5:PQU28</xm:sqref>
        </x14:dataValidation>
        <x14:dataValidation type="list" allowBlank="1" showInputMessage="1" showErrorMessage="1" xr:uid="{00000000-0002-0000-0300-00000D080000}">
          <x14:formula1>
            <xm:f>項目!C1:$QAI$17</xm:f>
          </x14:formula1>
          <xm:sqref>QAQ5:QAQ28</xm:sqref>
        </x14:dataValidation>
        <x14:dataValidation type="list" allowBlank="1" showInputMessage="1" showErrorMessage="1" xr:uid="{00000000-0002-0000-0300-00000E080000}">
          <x14:formula1>
            <xm:f>項目!C1:$QKE$17</xm:f>
          </x14:formula1>
          <xm:sqref>QKM5:QKM28</xm:sqref>
        </x14:dataValidation>
        <x14:dataValidation type="list" allowBlank="1" showInputMessage="1" showErrorMessage="1" xr:uid="{00000000-0002-0000-0300-00000F080000}">
          <x14:formula1>
            <xm:f>項目!C1:$QUA$17</xm:f>
          </x14:formula1>
          <xm:sqref>QUI5:QUI28</xm:sqref>
        </x14:dataValidation>
        <x14:dataValidation type="list" allowBlank="1" showInputMessage="1" showErrorMessage="1" xr:uid="{00000000-0002-0000-0300-000010080000}">
          <x14:formula1>
            <xm:f>項目!C1:$RDW$17</xm:f>
          </x14:formula1>
          <xm:sqref>REE5:REE28</xm:sqref>
        </x14:dataValidation>
        <x14:dataValidation type="list" allowBlank="1" showInputMessage="1" showErrorMessage="1" xr:uid="{00000000-0002-0000-0300-000011080000}">
          <x14:formula1>
            <xm:f>項目!C1:$RNS$17</xm:f>
          </x14:formula1>
          <xm:sqref>ROA5:ROA28</xm:sqref>
        </x14:dataValidation>
        <x14:dataValidation type="list" allowBlank="1" showInputMessage="1" showErrorMessage="1" xr:uid="{00000000-0002-0000-0300-000012080000}">
          <x14:formula1>
            <xm:f>項目!C1:$RXO$17</xm:f>
          </x14:formula1>
          <xm:sqref>RXW5:RXW28</xm:sqref>
        </x14:dataValidation>
        <x14:dataValidation type="list" allowBlank="1" showInputMessage="1" showErrorMessage="1" xr:uid="{00000000-0002-0000-0300-000013080000}">
          <x14:formula1>
            <xm:f>項目!C1:$SHK$17</xm:f>
          </x14:formula1>
          <xm:sqref>SHS5:SHS28</xm:sqref>
        </x14:dataValidation>
        <x14:dataValidation type="list" allowBlank="1" showInputMessage="1" showErrorMessage="1" xr:uid="{00000000-0002-0000-0300-000014080000}">
          <x14:formula1>
            <xm:f>項目!C1:$SRG$17</xm:f>
          </x14:formula1>
          <xm:sqref>SRO5:SRO28</xm:sqref>
        </x14:dataValidation>
        <x14:dataValidation type="list" allowBlank="1" showInputMessage="1" showErrorMessage="1" xr:uid="{00000000-0002-0000-0300-000015080000}">
          <x14:formula1>
            <xm:f>項目!C1:$TBC$17</xm:f>
          </x14:formula1>
          <xm:sqref>TBK5:TBK28</xm:sqref>
        </x14:dataValidation>
        <x14:dataValidation type="list" allowBlank="1" showInputMessage="1" showErrorMessage="1" xr:uid="{00000000-0002-0000-0300-000016080000}">
          <x14:formula1>
            <xm:f>項目!C1:$TKY$17</xm:f>
          </x14:formula1>
          <xm:sqref>TLG5:TLG28</xm:sqref>
        </x14:dataValidation>
        <x14:dataValidation type="list" allowBlank="1" showInputMessage="1" showErrorMessage="1" xr:uid="{00000000-0002-0000-0300-000017080000}">
          <x14:formula1>
            <xm:f>項目!C1:$TUU$17</xm:f>
          </x14:formula1>
          <xm:sqref>TVC5:TVC28</xm:sqref>
        </x14:dataValidation>
        <x14:dataValidation type="list" allowBlank="1" showInputMessage="1" showErrorMessage="1" xr:uid="{00000000-0002-0000-0300-000018080000}">
          <x14:formula1>
            <xm:f>項目!C1:$UEQ$17</xm:f>
          </x14:formula1>
          <xm:sqref>UEY5:UEY28</xm:sqref>
        </x14:dataValidation>
        <x14:dataValidation type="list" allowBlank="1" showInputMessage="1" showErrorMessage="1" xr:uid="{00000000-0002-0000-0300-000019080000}">
          <x14:formula1>
            <xm:f>項目!C1:$UOM$17</xm:f>
          </x14:formula1>
          <xm:sqref>UOU5:UOU28</xm:sqref>
        </x14:dataValidation>
        <x14:dataValidation type="list" allowBlank="1" showInputMessage="1" showErrorMessage="1" xr:uid="{00000000-0002-0000-0300-00001A080000}">
          <x14:formula1>
            <xm:f>項目!C1:$UYI$17</xm:f>
          </x14:formula1>
          <xm:sqref>UYQ5:UYQ28</xm:sqref>
        </x14:dataValidation>
        <x14:dataValidation type="list" allowBlank="1" showInputMessage="1" showErrorMessage="1" xr:uid="{00000000-0002-0000-0300-00001B080000}">
          <x14:formula1>
            <xm:f>項目!C1:$VIE$17</xm:f>
          </x14:formula1>
          <xm:sqref>VIM5:VIM28</xm:sqref>
        </x14:dataValidation>
        <x14:dataValidation type="list" allowBlank="1" showInputMessage="1" showErrorMessage="1" xr:uid="{00000000-0002-0000-0300-00001C080000}">
          <x14:formula1>
            <xm:f>項目!C1:$VSA$17</xm:f>
          </x14:formula1>
          <xm:sqref>VSI5:VSI28</xm:sqref>
        </x14:dataValidation>
        <x14:dataValidation type="list" allowBlank="1" showInputMessage="1" showErrorMessage="1" xr:uid="{00000000-0002-0000-0300-00001D080000}">
          <x14:formula1>
            <xm:f>項目!C1:$WBW$17</xm:f>
          </x14:formula1>
          <xm:sqref>WCE5:WCE28</xm:sqref>
        </x14:dataValidation>
        <x14:dataValidation type="list" allowBlank="1" showInputMessage="1" showErrorMessage="1" xr:uid="{00000000-0002-0000-0300-00001E080000}">
          <x14:formula1>
            <xm:f>項目!C1:$WLS$17</xm:f>
          </x14:formula1>
          <xm:sqref>WMA5:WMA28</xm:sqref>
        </x14:dataValidation>
        <x14:dataValidation type="list" allowBlank="1" showInputMessage="1" showErrorMessage="1" xr:uid="{00000000-0002-0000-0300-00001F080000}">
          <x14:formula1>
            <xm:f>項目!C1:$WVO$17</xm:f>
          </x14:formula1>
          <xm:sqref>WVW5:WVW28</xm:sqref>
        </x14:dataValidation>
        <x14:dataValidation type="list" allowBlank="1" showInputMessage="1" showErrorMessage="1" xr:uid="{00000000-0002-0000-0300-000020080000}">
          <x14:formula1>
            <xm:f>項目!C17:$J$65537</xm:f>
          </x14:formula1>
          <xm:sqref>O65541:O65564</xm:sqref>
        </x14:dataValidation>
        <x14:dataValidation type="list" allowBlank="1" showInputMessage="1" showErrorMessage="1" xr:uid="{00000000-0002-0000-0300-000021080000}">
          <x14:formula1>
            <xm:f>項目!C17:$JC$65537</xm:f>
          </x14:formula1>
          <xm:sqref>JK65541:JK65564</xm:sqref>
        </x14:dataValidation>
        <x14:dataValidation type="list" allowBlank="1" showInputMessage="1" showErrorMessage="1" xr:uid="{00000000-0002-0000-0300-000022080000}">
          <x14:formula1>
            <xm:f>項目!C17:$SY$65537</xm:f>
          </x14:formula1>
          <xm:sqref>TG65541:TG65564</xm:sqref>
        </x14:dataValidation>
        <x14:dataValidation type="list" allowBlank="1" showInputMessage="1" showErrorMessage="1" xr:uid="{00000000-0002-0000-0300-000023080000}">
          <x14:formula1>
            <xm:f>項目!C17:$ACU$65537</xm:f>
          </x14:formula1>
          <xm:sqref>ADC65541:ADC65564</xm:sqref>
        </x14:dataValidation>
        <x14:dataValidation type="list" allowBlank="1" showInputMessage="1" showErrorMessage="1" xr:uid="{00000000-0002-0000-0300-000024080000}">
          <x14:formula1>
            <xm:f>項目!C17:$AMQ$65537</xm:f>
          </x14:formula1>
          <xm:sqref>AMY65541:AMY65564</xm:sqref>
        </x14:dataValidation>
        <x14:dataValidation type="list" allowBlank="1" showInputMessage="1" showErrorMessage="1" xr:uid="{00000000-0002-0000-0300-000025080000}">
          <x14:formula1>
            <xm:f>項目!C17:$AWM$65537</xm:f>
          </x14:formula1>
          <xm:sqref>AWU65541:AWU65564</xm:sqref>
        </x14:dataValidation>
        <x14:dataValidation type="list" allowBlank="1" showInputMessage="1" showErrorMessage="1" xr:uid="{00000000-0002-0000-0300-000026080000}">
          <x14:formula1>
            <xm:f>項目!C17:$BGI$65537</xm:f>
          </x14:formula1>
          <xm:sqref>BGQ65541:BGQ65564</xm:sqref>
        </x14:dataValidation>
        <x14:dataValidation type="list" allowBlank="1" showInputMessage="1" showErrorMessage="1" xr:uid="{00000000-0002-0000-0300-000027080000}">
          <x14:formula1>
            <xm:f>項目!C17:$BQE$65537</xm:f>
          </x14:formula1>
          <xm:sqref>BQM65541:BQM65564</xm:sqref>
        </x14:dataValidation>
        <x14:dataValidation type="list" allowBlank="1" showInputMessage="1" showErrorMessage="1" xr:uid="{00000000-0002-0000-0300-000028080000}">
          <x14:formula1>
            <xm:f>項目!C17:$CAA$65537</xm:f>
          </x14:formula1>
          <xm:sqref>CAI65541:CAI65564</xm:sqref>
        </x14:dataValidation>
        <x14:dataValidation type="list" allowBlank="1" showInputMessage="1" showErrorMessage="1" xr:uid="{00000000-0002-0000-0300-000029080000}">
          <x14:formula1>
            <xm:f>項目!C17:$CJW$65537</xm:f>
          </x14:formula1>
          <xm:sqref>CKE65541:CKE65564</xm:sqref>
        </x14:dataValidation>
        <x14:dataValidation type="list" allowBlank="1" showInputMessage="1" showErrorMessage="1" xr:uid="{00000000-0002-0000-0300-00002A080000}">
          <x14:formula1>
            <xm:f>項目!C17:$CTS$65537</xm:f>
          </x14:formula1>
          <xm:sqref>CUA65541:CUA65564</xm:sqref>
        </x14:dataValidation>
        <x14:dataValidation type="list" allowBlank="1" showInputMessage="1" showErrorMessage="1" xr:uid="{00000000-0002-0000-0300-00002B080000}">
          <x14:formula1>
            <xm:f>項目!C17:$DDO$65537</xm:f>
          </x14:formula1>
          <xm:sqref>DDW65541:DDW65564</xm:sqref>
        </x14:dataValidation>
        <x14:dataValidation type="list" allowBlank="1" showInputMessage="1" showErrorMessage="1" xr:uid="{00000000-0002-0000-0300-00002C080000}">
          <x14:formula1>
            <xm:f>項目!C17:$DNK$65537</xm:f>
          </x14:formula1>
          <xm:sqref>DNS65541:DNS65564</xm:sqref>
        </x14:dataValidation>
        <x14:dataValidation type="list" allowBlank="1" showInputMessage="1" showErrorMessage="1" xr:uid="{00000000-0002-0000-0300-00002D080000}">
          <x14:formula1>
            <xm:f>項目!C17:$DXG$65537</xm:f>
          </x14:formula1>
          <xm:sqref>DXO65541:DXO65564</xm:sqref>
        </x14:dataValidation>
        <x14:dataValidation type="list" allowBlank="1" showInputMessage="1" showErrorMessage="1" xr:uid="{00000000-0002-0000-0300-00002E080000}">
          <x14:formula1>
            <xm:f>項目!C17:$EHC$65537</xm:f>
          </x14:formula1>
          <xm:sqref>EHK65541:EHK65564</xm:sqref>
        </x14:dataValidation>
        <x14:dataValidation type="list" allowBlank="1" showInputMessage="1" showErrorMessage="1" xr:uid="{00000000-0002-0000-0300-00002F080000}">
          <x14:formula1>
            <xm:f>項目!C17:$EQY$65537</xm:f>
          </x14:formula1>
          <xm:sqref>ERG65541:ERG65564</xm:sqref>
        </x14:dataValidation>
        <x14:dataValidation type="list" allowBlank="1" showInputMessage="1" showErrorMessage="1" xr:uid="{00000000-0002-0000-0300-000030080000}">
          <x14:formula1>
            <xm:f>項目!C17:$FAU$65537</xm:f>
          </x14:formula1>
          <xm:sqref>FBC65541:FBC65564</xm:sqref>
        </x14:dataValidation>
        <x14:dataValidation type="list" allowBlank="1" showInputMessage="1" showErrorMessage="1" xr:uid="{00000000-0002-0000-0300-000031080000}">
          <x14:formula1>
            <xm:f>項目!C17:$FKQ$65537</xm:f>
          </x14:formula1>
          <xm:sqref>FKY65541:FKY65564</xm:sqref>
        </x14:dataValidation>
        <x14:dataValidation type="list" allowBlank="1" showInputMessage="1" showErrorMessage="1" xr:uid="{00000000-0002-0000-0300-000032080000}">
          <x14:formula1>
            <xm:f>項目!C17:$FUM$65537</xm:f>
          </x14:formula1>
          <xm:sqref>FUU65541:FUU65564</xm:sqref>
        </x14:dataValidation>
        <x14:dataValidation type="list" allowBlank="1" showInputMessage="1" showErrorMessage="1" xr:uid="{00000000-0002-0000-0300-000033080000}">
          <x14:formula1>
            <xm:f>項目!C17:$GEI$65537</xm:f>
          </x14:formula1>
          <xm:sqref>GEQ65541:GEQ65564</xm:sqref>
        </x14:dataValidation>
        <x14:dataValidation type="list" allowBlank="1" showInputMessage="1" showErrorMessage="1" xr:uid="{00000000-0002-0000-0300-000034080000}">
          <x14:formula1>
            <xm:f>項目!C17:$GOE$65537</xm:f>
          </x14:formula1>
          <xm:sqref>GOM65541:GOM65564</xm:sqref>
        </x14:dataValidation>
        <x14:dataValidation type="list" allowBlank="1" showInputMessage="1" showErrorMessage="1" xr:uid="{00000000-0002-0000-0300-000035080000}">
          <x14:formula1>
            <xm:f>項目!C17:$GYA$65537</xm:f>
          </x14:formula1>
          <xm:sqref>GYI65541:GYI65564</xm:sqref>
        </x14:dataValidation>
        <x14:dataValidation type="list" allowBlank="1" showInputMessage="1" showErrorMessage="1" xr:uid="{00000000-0002-0000-0300-000036080000}">
          <x14:formula1>
            <xm:f>項目!C17:$HHW$65537</xm:f>
          </x14:formula1>
          <xm:sqref>HIE65541:HIE65564</xm:sqref>
        </x14:dataValidation>
        <x14:dataValidation type="list" allowBlank="1" showInputMessage="1" showErrorMessage="1" xr:uid="{00000000-0002-0000-0300-000037080000}">
          <x14:formula1>
            <xm:f>項目!C17:$HRS$65537</xm:f>
          </x14:formula1>
          <xm:sqref>HSA65541:HSA65564</xm:sqref>
        </x14:dataValidation>
        <x14:dataValidation type="list" allowBlank="1" showInputMessage="1" showErrorMessage="1" xr:uid="{00000000-0002-0000-0300-000038080000}">
          <x14:formula1>
            <xm:f>項目!C17:$IBO$65537</xm:f>
          </x14:formula1>
          <xm:sqref>IBW65541:IBW65564</xm:sqref>
        </x14:dataValidation>
        <x14:dataValidation type="list" allowBlank="1" showInputMessage="1" showErrorMessage="1" xr:uid="{00000000-0002-0000-0300-000039080000}">
          <x14:formula1>
            <xm:f>項目!C17:$ILK$65537</xm:f>
          </x14:formula1>
          <xm:sqref>ILS65541:ILS65564</xm:sqref>
        </x14:dataValidation>
        <x14:dataValidation type="list" allowBlank="1" showInputMessage="1" showErrorMessage="1" xr:uid="{00000000-0002-0000-0300-00003A080000}">
          <x14:formula1>
            <xm:f>項目!C17:$IVG$65537</xm:f>
          </x14:formula1>
          <xm:sqref>IVO65541:IVO65564</xm:sqref>
        </x14:dataValidation>
        <x14:dataValidation type="list" allowBlank="1" showInputMessage="1" showErrorMessage="1" xr:uid="{00000000-0002-0000-0300-00003B080000}">
          <x14:formula1>
            <xm:f>項目!C17:$JFC$65537</xm:f>
          </x14:formula1>
          <xm:sqref>JFK65541:JFK65564</xm:sqref>
        </x14:dataValidation>
        <x14:dataValidation type="list" allowBlank="1" showInputMessage="1" showErrorMessage="1" xr:uid="{00000000-0002-0000-0300-00003C080000}">
          <x14:formula1>
            <xm:f>項目!C17:$JOY$65537</xm:f>
          </x14:formula1>
          <xm:sqref>JPG65541:JPG65564</xm:sqref>
        </x14:dataValidation>
        <x14:dataValidation type="list" allowBlank="1" showInputMessage="1" showErrorMessage="1" xr:uid="{00000000-0002-0000-0300-00003D080000}">
          <x14:formula1>
            <xm:f>項目!C17:$JYU$65537</xm:f>
          </x14:formula1>
          <xm:sqref>JZC65541:JZC65564</xm:sqref>
        </x14:dataValidation>
        <x14:dataValidation type="list" allowBlank="1" showInputMessage="1" showErrorMessage="1" xr:uid="{00000000-0002-0000-0300-00003E080000}">
          <x14:formula1>
            <xm:f>項目!C17:$KIQ$65537</xm:f>
          </x14:formula1>
          <xm:sqref>KIY65541:KIY65564</xm:sqref>
        </x14:dataValidation>
        <x14:dataValidation type="list" allowBlank="1" showInputMessage="1" showErrorMessage="1" xr:uid="{00000000-0002-0000-0300-00003F080000}">
          <x14:formula1>
            <xm:f>項目!C17:$KSM$65537</xm:f>
          </x14:formula1>
          <xm:sqref>KSU65541:KSU65564</xm:sqref>
        </x14:dataValidation>
        <x14:dataValidation type="list" allowBlank="1" showInputMessage="1" showErrorMessage="1" xr:uid="{00000000-0002-0000-0300-000040080000}">
          <x14:formula1>
            <xm:f>項目!C17:$LCI$65537</xm:f>
          </x14:formula1>
          <xm:sqref>LCQ65541:LCQ65564</xm:sqref>
        </x14:dataValidation>
        <x14:dataValidation type="list" allowBlank="1" showInputMessage="1" showErrorMessage="1" xr:uid="{00000000-0002-0000-0300-000041080000}">
          <x14:formula1>
            <xm:f>項目!C17:$LME$65537</xm:f>
          </x14:formula1>
          <xm:sqref>LMM65541:LMM65564</xm:sqref>
        </x14:dataValidation>
        <x14:dataValidation type="list" allowBlank="1" showInputMessage="1" showErrorMessage="1" xr:uid="{00000000-0002-0000-0300-000042080000}">
          <x14:formula1>
            <xm:f>項目!C17:$LWA$65537</xm:f>
          </x14:formula1>
          <xm:sqref>LWI65541:LWI65564</xm:sqref>
        </x14:dataValidation>
        <x14:dataValidation type="list" allowBlank="1" showInputMessage="1" showErrorMessage="1" xr:uid="{00000000-0002-0000-0300-000043080000}">
          <x14:formula1>
            <xm:f>項目!C17:$MFW$65537</xm:f>
          </x14:formula1>
          <xm:sqref>MGE65541:MGE65564</xm:sqref>
        </x14:dataValidation>
        <x14:dataValidation type="list" allowBlank="1" showInputMessage="1" showErrorMessage="1" xr:uid="{00000000-0002-0000-0300-000044080000}">
          <x14:formula1>
            <xm:f>項目!C17:$MPS$65537</xm:f>
          </x14:formula1>
          <xm:sqref>MQA65541:MQA65564</xm:sqref>
        </x14:dataValidation>
        <x14:dataValidation type="list" allowBlank="1" showInputMessage="1" showErrorMessage="1" xr:uid="{00000000-0002-0000-0300-000045080000}">
          <x14:formula1>
            <xm:f>項目!C17:$MZO$65537</xm:f>
          </x14:formula1>
          <xm:sqref>MZW65541:MZW65564</xm:sqref>
        </x14:dataValidation>
        <x14:dataValidation type="list" allowBlank="1" showInputMessage="1" showErrorMessage="1" xr:uid="{00000000-0002-0000-0300-000046080000}">
          <x14:formula1>
            <xm:f>項目!C17:$NJK$65537</xm:f>
          </x14:formula1>
          <xm:sqref>NJS65541:NJS65564</xm:sqref>
        </x14:dataValidation>
        <x14:dataValidation type="list" allowBlank="1" showInputMessage="1" showErrorMessage="1" xr:uid="{00000000-0002-0000-0300-000047080000}">
          <x14:formula1>
            <xm:f>項目!C17:$NTG$65537</xm:f>
          </x14:formula1>
          <xm:sqref>NTO65541:NTO65564</xm:sqref>
        </x14:dataValidation>
        <x14:dataValidation type="list" allowBlank="1" showInputMessage="1" showErrorMessage="1" xr:uid="{00000000-0002-0000-0300-000048080000}">
          <x14:formula1>
            <xm:f>項目!C17:$ODC$65537</xm:f>
          </x14:formula1>
          <xm:sqref>ODK65541:ODK65564</xm:sqref>
        </x14:dataValidation>
        <x14:dataValidation type="list" allowBlank="1" showInputMessage="1" showErrorMessage="1" xr:uid="{00000000-0002-0000-0300-000049080000}">
          <x14:formula1>
            <xm:f>項目!C17:$OMY$65537</xm:f>
          </x14:formula1>
          <xm:sqref>ONG65541:ONG65564</xm:sqref>
        </x14:dataValidation>
        <x14:dataValidation type="list" allowBlank="1" showInputMessage="1" showErrorMessage="1" xr:uid="{00000000-0002-0000-0300-00004A080000}">
          <x14:formula1>
            <xm:f>項目!C17:$OWU$65537</xm:f>
          </x14:formula1>
          <xm:sqref>OXC65541:OXC65564</xm:sqref>
        </x14:dataValidation>
        <x14:dataValidation type="list" allowBlank="1" showInputMessage="1" showErrorMessage="1" xr:uid="{00000000-0002-0000-0300-00004B080000}">
          <x14:formula1>
            <xm:f>項目!C17:$PGQ$65537</xm:f>
          </x14:formula1>
          <xm:sqref>PGY65541:PGY65564</xm:sqref>
        </x14:dataValidation>
        <x14:dataValidation type="list" allowBlank="1" showInputMessage="1" showErrorMessage="1" xr:uid="{00000000-0002-0000-0300-00004C080000}">
          <x14:formula1>
            <xm:f>項目!C17:$PQM$65537</xm:f>
          </x14:formula1>
          <xm:sqref>PQU65541:PQU65564</xm:sqref>
        </x14:dataValidation>
        <x14:dataValidation type="list" allowBlank="1" showInputMessage="1" showErrorMessage="1" xr:uid="{00000000-0002-0000-0300-00004D080000}">
          <x14:formula1>
            <xm:f>項目!C17:$QAI$65537</xm:f>
          </x14:formula1>
          <xm:sqref>QAQ65541:QAQ65564</xm:sqref>
        </x14:dataValidation>
        <x14:dataValidation type="list" allowBlank="1" showInputMessage="1" showErrorMessage="1" xr:uid="{00000000-0002-0000-0300-00004E080000}">
          <x14:formula1>
            <xm:f>項目!C17:$QKE$65537</xm:f>
          </x14:formula1>
          <xm:sqref>QKM65541:QKM65564</xm:sqref>
        </x14:dataValidation>
        <x14:dataValidation type="list" allowBlank="1" showInputMessage="1" showErrorMessage="1" xr:uid="{00000000-0002-0000-0300-00004F080000}">
          <x14:formula1>
            <xm:f>項目!C17:$QUA$65537</xm:f>
          </x14:formula1>
          <xm:sqref>QUI65541:QUI65564</xm:sqref>
        </x14:dataValidation>
        <x14:dataValidation type="list" allowBlank="1" showInputMessage="1" showErrorMessage="1" xr:uid="{00000000-0002-0000-0300-000050080000}">
          <x14:formula1>
            <xm:f>項目!C17:$RDW$65537</xm:f>
          </x14:formula1>
          <xm:sqref>REE65541:REE65564</xm:sqref>
        </x14:dataValidation>
        <x14:dataValidation type="list" allowBlank="1" showInputMessage="1" showErrorMessage="1" xr:uid="{00000000-0002-0000-0300-000051080000}">
          <x14:formula1>
            <xm:f>項目!C17:$RNS$65537</xm:f>
          </x14:formula1>
          <xm:sqref>ROA65541:ROA65564</xm:sqref>
        </x14:dataValidation>
        <x14:dataValidation type="list" allowBlank="1" showInputMessage="1" showErrorMessage="1" xr:uid="{00000000-0002-0000-0300-000052080000}">
          <x14:formula1>
            <xm:f>項目!C17:$RXO$65537</xm:f>
          </x14:formula1>
          <xm:sqref>RXW65541:RXW65564</xm:sqref>
        </x14:dataValidation>
        <x14:dataValidation type="list" allowBlank="1" showInputMessage="1" showErrorMessage="1" xr:uid="{00000000-0002-0000-0300-000053080000}">
          <x14:formula1>
            <xm:f>項目!C17:$SHK$65537</xm:f>
          </x14:formula1>
          <xm:sqref>SHS65541:SHS65564</xm:sqref>
        </x14:dataValidation>
        <x14:dataValidation type="list" allowBlank="1" showInputMessage="1" showErrorMessage="1" xr:uid="{00000000-0002-0000-0300-000054080000}">
          <x14:formula1>
            <xm:f>項目!C17:$SRG$65537</xm:f>
          </x14:formula1>
          <xm:sqref>SRO65541:SRO65564</xm:sqref>
        </x14:dataValidation>
        <x14:dataValidation type="list" allowBlank="1" showInputMessage="1" showErrorMessage="1" xr:uid="{00000000-0002-0000-0300-000055080000}">
          <x14:formula1>
            <xm:f>項目!C17:$TBC$65537</xm:f>
          </x14:formula1>
          <xm:sqref>TBK65541:TBK65564</xm:sqref>
        </x14:dataValidation>
        <x14:dataValidation type="list" allowBlank="1" showInputMessage="1" showErrorMessage="1" xr:uid="{00000000-0002-0000-0300-000056080000}">
          <x14:formula1>
            <xm:f>項目!C17:$TKY$65537</xm:f>
          </x14:formula1>
          <xm:sqref>TLG65541:TLG65564</xm:sqref>
        </x14:dataValidation>
        <x14:dataValidation type="list" allowBlank="1" showInputMessage="1" showErrorMessage="1" xr:uid="{00000000-0002-0000-0300-000057080000}">
          <x14:formula1>
            <xm:f>項目!C17:$TUU$65537</xm:f>
          </x14:formula1>
          <xm:sqref>TVC65541:TVC65564</xm:sqref>
        </x14:dataValidation>
        <x14:dataValidation type="list" allowBlank="1" showInputMessage="1" showErrorMessage="1" xr:uid="{00000000-0002-0000-0300-000058080000}">
          <x14:formula1>
            <xm:f>項目!C17:$UEQ$65537</xm:f>
          </x14:formula1>
          <xm:sqref>UEY65541:UEY65564</xm:sqref>
        </x14:dataValidation>
        <x14:dataValidation type="list" allowBlank="1" showInputMessage="1" showErrorMessage="1" xr:uid="{00000000-0002-0000-0300-000059080000}">
          <x14:formula1>
            <xm:f>項目!C17:$UOM$65537</xm:f>
          </x14:formula1>
          <xm:sqref>UOU65541:UOU65564</xm:sqref>
        </x14:dataValidation>
        <x14:dataValidation type="list" allowBlank="1" showInputMessage="1" showErrorMessage="1" xr:uid="{00000000-0002-0000-0300-00005A080000}">
          <x14:formula1>
            <xm:f>項目!C17:$UYI$65537</xm:f>
          </x14:formula1>
          <xm:sqref>UYQ65541:UYQ65564</xm:sqref>
        </x14:dataValidation>
        <x14:dataValidation type="list" allowBlank="1" showInputMessage="1" showErrorMessage="1" xr:uid="{00000000-0002-0000-0300-00005B080000}">
          <x14:formula1>
            <xm:f>項目!C17:$VIE$65537</xm:f>
          </x14:formula1>
          <xm:sqref>VIM65541:VIM65564</xm:sqref>
        </x14:dataValidation>
        <x14:dataValidation type="list" allowBlank="1" showInputMessage="1" showErrorMessage="1" xr:uid="{00000000-0002-0000-0300-00005C080000}">
          <x14:formula1>
            <xm:f>項目!C17:$VSA$65537</xm:f>
          </x14:formula1>
          <xm:sqref>VSI65541:VSI65564</xm:sqref>
        </x14:dataValidation>
        <x14:dataValidation type="list" allowBlank="1" showInputMessage="1" showErrorMessage="1" xr:uid="{00000000-0002-0000-0300-00005D080000}">
          <x14:formula1>
            <xm:f>項目!C17:$WBW$65537</xm:f>
          </x14:formula1>
          <xm:sqref>WCE65541:WCE65564</xm:sqref>
        </x14:dataValidation>
        <x14:dataValidation type="list" allowBlank="1" showInputMessage="1" showErrorMessage="1" xr:uid="{00000000-0002-0000-0300-00005E080000}">
          <x14:formula1>
            <xm:f>項目!C17:$WLS$65537</xm:f>
          </x14:formula1>
          <xm:sqref>WMA65541:WMA65564</xm:sqref>
        </x14:dataValidation>
        <x14:dataValidation type="list" allowBlank="1" showInputMessage="1" showErrorMessage="1" xr:uid="{00000000-0002-0000-0300-00005F080000}">
          <x14:formula1>
            <xm:f>項目!C17:$WVO$65537</xm:f>
          </x14:formula1>
          <xm:sqref>WVW65541:WVW65564</xm:sqref>
        </x14:dataValidation>
        <x14:dataValidation type="list" allowBlank="1" showInputMessage="1" showErrorMessage="1" xr:uid="{00000000-0002-0000-0300-000060080000}">
          <x14:formula1>
            <xm:f>項目!C17:$J$131073</xm:f>
          </x14:formula1>
          <xm:sqref>O131077:O131100</xm:sqref>
        </x14:dataValidation>
        <x14:dataValidation type="list" allowBlank="1" showInputMessage="1" showErrorMessage="1" xr:uid="{00000000-0002-0000-0300-000061080000}">
          <x14:formula1>
            <xm:f>項目!C17:$JC$131073</xm:f>
          </x14:formula1>
          <xm:sqref>JK131077:JK131100</xm:sqref>
        </x14:dataValidation>
        <x14:dataValidation type="list" allowBlank="1" showInputMessage="1" showErrorMessage="1" xr:uid="{00000000-0002-0000-0300-000062080000}">
          <x14:formula1>
            <xm:f>項目!C17:$SY$131073</xm:f>
          </x14:formula1>
          <xm:sqref>TG131077:TG131100</xm:sqref>
        </x14:dataValidation>
        <x14:dataValidation type="list" allowBlank="1" showInputMessage="1" showErrorMessage="1" xr:uid="{00000000-0002-0000-0300-000063080000}">
          <x14:formula1>
            <xm:f>項目!C17:$ACU$131073</xm:f>
          </x14:formula1>
          <xm:sqref>ADC131077:ADC131100</xm:sqref>
        </x14:dataValidation>
        <x14:dataValidation type="list" allowBlank="1" showInputMessage="1" showErrorMessage="1" xr:uid="{00000000-0002-0000-0300-000064080000}">
          <x14:formula1>
            <xm:f>項目!C17:$AMQ$131073</xm:f>
          </x14:formula1>
          <xm:sqref>AMY131077:AMY131100</xm:sqref>
        </x14:dataValidation>
        <x14:dataValidation type="list" allowBlank="1" showInputMessage="1" showErrorMessage="1" xr:uid="{00000000-0002-0000-0300-000065080000}">
          <x14:formula1>
            <xm:f>項目!C17:$AWM$131073</xm:f>
          </x14:formula1>
          <xm:sqref>AWU131077:AWU131100</xm:sqref>
        </x14:dataValidation>
        <x14:dataValidation type="list" allowBlank="1" showInputMessage="1" showErrorMessage="1" xr:uid="{00000000-0002-0000-0300-000066080000}">
          <x14:formula1>
            <xm:f>項目!C17:$BGI$131073</xm:f>
          </x14:formula1>
          <xm:sqref>BGQ131077:BGQ131100</xm:sqref>
        </x14:dataValidation>
        <x14:dataValidation type="list" allowBlank="1" showInputMessage="1" showErrorMessage="1" xr:uid="{00000000-0002-0000-0300-000067080000}">
          <x14:formula1>
            <xm:f>項目!C17:$BQE$131073</xm:f>
          </x14:formula1>
          <xm:sqref>BQM131077:BQM131100</xm:sqref>
        </x14:dataValidation>
        <x14:dataValidation type="list" allowBlank="1" showInputMessage="1" showErrorMessage="1" xr:uid="{00000000-0002-0000-0300-000068080000}">
          <x14:formula1>
            <xm:f>項目!C17:$CAA$131073</xm:f>
          </x14:formula1>
          <xm:sqref>CAI131077:CAI131100</xm:sqref>
        </x14:dataValidation>
        <x14:dataValidation type="list" allowBlank="1" showInputMessage="1" showErrorMessage="1" xr:uid="{00000000-0002-0000-0300-000069080000}">
          <x14:formula1>
            <xm:f>項目!C17:$CJW$131073</xm:f>
          </x14:formula1>
          <xm:sqref>CKE131077:CKE131100</xm:sqref>
        </x14:dataValidation>
        <x14:dataValidation type="list" allowBlank="1" showInputMessage="1" showErrorMessage="1" xr:uid="{00000000-0002-0000-0300-00006A080000}">
          <x14:formula1>
            <xm:f>項目!C17:$CTS$131073</xm:f>
          </x14:formula1>
          <xm:sqref>CUA131077:CUA131100</xm:sqref>
        </x14:dataValidation>
        <x14:dataValidation type="list" allowBlank="1" showInputMessage="1" showErrorMessage="1" xr:uid="{00000000-0002-0000-0300-00006B080000}">
          <x14:formula1>
            <xm:f>項目!C17:$DDO$131073</xm:f>
          </x14:formula1>
          <xm:sqref>DDW131077:DDW131100</xm:sqref>
        </x14:dataValidation>
        <x14:dataValidation type="list" allowBlank="1" showInputMessage="1" showErrorMessage="1" xr:uid="{00000000-0002-0000-0300-00006C080000}">
          <x14:formula1>
            <xm:f>項目!C17:$DNK$131073</xm:f>
          </x14:formula1>
          <xm:sqref>DNS131077:DNS131100</xm:sqref>
        </x14:dataValidation>
        <x14:dataValidation type="list" allowBlank="1" showInputMessage="1" showErrorMessage="1" xr:uid="{00000000-0002-0000-0300-00006D080000}">
          <x14:formula1>
            <xm:f>項目!C17:$DXG$131073</xm:f>
          </x14:formula1>
          <xm:sqref>DXO131077:DXO131100</xm:sqref>
        </x14:dataValidation>
        <x14:dataValidation type="list" allowBlank="1" showInputMessage="1" showErrorMessage="1" xr:uid="{00000000-0002-0000-0300-00006E080000}">
          <x14:formula1>
            <xm:f>項目!C17:$EHC$131073</xm:f>
          </x14:formula1>
          <xm:sqref>EHK131077:EHK131100</xm:sqref>
        </x14:dataValidation>
        <x14:dataValidation type="list" allowBlank="1" showInputMessage="1" showErrorMessage="1" xr:uid="{00000000-0002-0000-0300-00006F080000}">
          <x14:formula1>
            <xm:f>項目!C17:$EQY$131073</xm:f>
          </x14:formula1>
          <xm:sqref>ERG131077:ERG131100</xm:sqref>
        </x14:dataValidation>
        <x14:dataValidation type="list" allowBlank="1" showInputMessage="1" showErrorMessage="1" xr:uid="{00000000-0002-0000-0300-000070080000}">
          <x14:formula1>
            <xm:f>項目!C17:$FAU$131073</xm:f>
          </x14:formula1>
          <xm:sqref>FBC131077:FBC131100</xm:sqref>
        </x14:dataValidation>
        <x14:dataValidation type="list" allowBlank="1" showInputMessage="1" showErrorMessage="1" xr:uid="{00000000-0002-0000-0300-000071080000}">
          <x14:formula1>
            <xm:f>項目!C17:$FKQ$131073</xm:f>
          </x14:formula1>
          <xm:sqref>FKY131077:FKY131100</xm:sqref>
        </x14:dataValidation>
        <x14:dataValidation type="list" allowBlank="1" showInputMessage="1" showErrorMessage="1" xr:uid="{00000000-0002-0000-0300-000072080000}">
          <x14:formula1>
            <xm:f>項目!C17:$FUM$131073</xm:f>
          </x14:formula1>
          <xm:sqref>FUU131077:FUU131100</xm:sqref>
        </x14:dataValidation>
        <x14:dataValidation type="list" allowBlank="1" showInputMessage="1" showErrorMessage="1" xr:uid="{00000000-0002-0000-0300-000073080000}">
          <x14:formula1>
            <xm:f>項目!C17:$GEI$131073</xm:f>
          </x14:formula1>
          <xm:sqref>GEQ131077:GEQ131100</xm:sqref>
        </x14:dataValidation>
        <x14:dataValidation type="list" allowBlank="1" showInputMessage="1" showErrorMessage="1" xr:uid="{00000000-0002-0000-0300-000074080000}">
          <x14:formula1>
            <xm:f>項目!C17:$GOE$131073</xm:f>
          </x14:formula1>
          <xm:sqref>GOM131077:GOM131100</xm:sqref>
        </x14:dataValidation>
        <x14:dataValidation type="list" allowBlank="1" showInputMessage="1" showErrorMessage="1" xr:uid="{00000000-0002-0000-0300-000075080000}">
          <x14:formula1>
            <xm:f>項目!C17:$GYA$131073</xm:f>
          </x14:formula1>
          <xm:sqref>GYI131077:GYI131100</xm:sqref>
        </x14:dataValidation>
        <x14:dataValidation type="list" allowBlank="1" showInputMessage="1" showErrorMessage="1" xr:uid="{00000000-0002-0000-0300-000076080000}">
          <x14:formula1>
            <xm:f>項目!C17:$HHW$131073</xm:f>
          </x14:formula1>
          <xm:sqref>HIE131077:HIE131100</xm:sqref>
        </x14:dataValidation>
        <x14:dataValidation type="list" allowBlank="1" showInputMessage="1" showErrorMessage="1" xr:uid="{00000000-0002-0000-0300-000077080000}">
          <x14:formula1>
            <xm:f>項目!C17:$HRS$131073</xm:f>
          </x14:formula1>
          <xm:sqref>HSA131077:HSA131100</xm:sqref>
        </x14:dataValidation>
        <x14:dataValidation type="list" allowBlank="1" showInputMessage="1" showErrorMessage="1" xr:uid="{00000000-0002-0000-0300-000078080000}">
          <x14:formula1>
            <xm:f>項目!C17:$IBO$131073</xm:f>
          </x14:formula1>
          <xm:sqref>IBW131077:IBW131100</xm:sqref>
        </x14:dataValidation>
        <x14:dataValidation type="list" allowBlank="1" showInputMessage="1" showErrorMessage="1" xr:uid="{00000000-0002-0000-0300-000079080000}">
          <x14:formula1>
            <xm:f>項目!C17:$ILK$131073</xm:f>
          </x14:formula1>
          <xm:sqref>ILS131077:ILS131100</xm:sqref>
        </x14:dataValidation>
        <x14:dataValidation type="list" allowBlank="1" showInputMessage="1" showErrorMessage="1" xr:uid="{00000000-0002-0000-0300-00007A080000}">
          <x14:formula1>
            <xm:f>項目!C17:$IVG$131073</xm:f>
          </x14:formula1>
          <xm:sqref>IVO131077:IVO131100</xm:sqref>
        </x14:dataValidation>
        <x14:dataValidation type="list" allowBlank="1" showInputMessage="1" showErrorMessage="1" xr:uid="{00000000-0002-0000-0300-00007B080000}">
          <x14:formula1>
            <xm:f>項目!C17:$JFC$131073</xm:f>
          </x14:formula1>
          <xm:sqref>JFK131077:JFK131100</xm:sqref>
        </x14:dataValidation>
        <x14:dataValidation type="list" allowBlank="1" showInputMessage="1" showErrorMessage="1" xr:uid="{00000000-0002-0000-0300-00007C080000}">
          <x14:formula1>
            <xm:f>項目!C17:$JOY$131073</xm:f>
          </x14:formula1>
          <xm:sqref>JPG131077:JPG131100</xm:sqref>
        </x14:dataValidation>
        <x14:dataValidation type="list" allowBlank="1" showInputMessage="1" showErrorMessage="1" xr:uid="{00000000-0002-0000-0300-00007D080000}">
          <x14:formula1>
            <xm:f>項目!C17:$JYU$131073</xm:f>
          </x14:formula1>
          <xm:sqref>JZC131077:JZC131100</xm:sqref>
        </x14:dataValidation>
        <x14:dataValidation type="list" allowBlank="1" showInputMessage="1" showErrorMessage="1" xr:uid="{00000000-0002-0000-0300-00007E080000}">
          <x14:formula1>
            <xm:f>項目!C17:$KIQ$131073</xm:f>
          </x14:formula1>
          <xm:sqref>KIY131077:KIY131100</xm:sqref>
        </x14:dataValidation>
        <x14:dataValidation type="list" allowBlank="1" showInputMessage="1" showErrorMessage="1" xr:uid="{00000000-0002-0000-0300-00007F080000}">
          <x14:formula1>
            <xm:f>項目!C17:$KSM$131073</xm:f>
          </x14:formula1>
          <xm:sqref>KSU131077:KSU131100</xm:sqref>
        </x14:dataValidation>
        <x14:dataValidation type="list" allowBlank="1" showInputMessage="1" showErrorMessage="1" xr:uid="{00000000-0002-0000-0300-000080080000}">
          <x14:formula1>
            <xm:f>項目!C17:$LCI$131073</xm:f>
          </x14:formula1>
          <xm:sqref>LCQ131077:LCQ131100</xm:sqref>
        </x14:dataValidation>
        <x14:dataValidation type="list" allowBlank="1" showInputMessage="1" showErrorMessage="1" xr:uid="{00000000-0002-0000-0300-000081080000}">
          <x14:formula1>
            <xm:f>項目!C17:$LME$131073</xm:f>
          </x14:formula1>
          <xm:sqref>LMM131077:LMM131100</xm:sqref>
        </x14:dataValidation>
        <x14:dataValidation type="list" allowBlank="1" showInputMessage="1" showErrorMessage="1" xr:uid="{00000000-0002-0000-0300-000082080000}">
          <x14:formula1>
            <xm:f>項目!C17:$LWA$131073</xm:f>
          </x14:formula1>
          <xm:sqref>LWI131077:LWI131100</xm:sqref>
        </x14:dataValidation>
        <x14:dataValidation type="list" allowBlank="1" showInputMessage="1" showErrorMessage="1" xr:uid="{00000000-0002-0000-0300-000083080000}">
          <x14:formula1>
            <xm:f>項目!C17:$MFW$131073</xm:f>
          </x14:formula1>
          <xm:sqref>MGE131077:MGE131100</xm:sqref>
        </x14:dataValidation>
        <x14:dataValidation type="list" allowBlank="1" showInputMessage="1" showErrorMessage="1" xr:uid="{00000000-0002-0000-0300-000084080000}">
          <x14:formula1>
            <xm:f>項目!C17:$MPS$131073</xm:f>
          </x14:formula1>
          <xm:sqref>MQA131077:MQA131100</xm:sqref>
        </x14:dataValidation>
        <x14:dataValidation type="list" allowBlank="1" showInputMessage="1" showErrorMessage="1" xr:uid="{00000000-0002-0000-0300-000085080000}">
          <x14:formula1>
            <xm:f>項目!C17:$MZO$131073</xm:f>
          </x14:formula1>
          <xm:sqref>MZW131077:MZW131100</xm:sqref>
        </x14:dataValidation>
        <x14:dataValidation type="list" allowBlank="1" showInputMessage="1" showErrorMessage="1" xr:uid="{00000000-0002-0000-0300-000086080000}">
          <x14:formula1>
            <xm:f>項目!C17:$NJK$131073</xm:f>
          </x14:formula1>
          <xm:sqref>NJS131077:NJS131100</xm:sqref>
        </x14:dataValidation>
        <x14:dataValidation type="list" allowBlank="1" showInputMessage="1" showErrorMessage="1" xr:uid="{00000000-0002-0000-0300-000087080000}">
          <x14:formula1>
            <xm:f>項目!C17:$NTG$131073</xm:f>
          </x14:formula1>
          <xm:sqref>NTO131077:NTO131100</xm:sqref>
        </x14:dataValidation>
        <x14:dataValidation type="list" allowBlank="1" showInputMessage="1" showErrorMessage="1" xr:uid="{00000000-0002-0000-0300-000088080000}">
          <x14:formula1>
            <xm:f>項目!C17:$ODC$131073</xm:f>
          </x14:formula1>
          <xm:sqref>ODK131077:ODK131100</xm:sqref>
        </x14:dataValidation>
        <x14:dataValidation type="list" allowBlank="1" showInputMessage="1" showErrorMessage="1" xr:uid="{00000000-0002-0000-0300-000089080000}">
          <x14:formula1>
            <xm:f>項目!C17:$OMY$131073</xm:f>
          </x14:formula1>
          <xm:sqref>ONG131077:ONG131100</xm:sqref>
        </x14:dataValidation>
        <x14:dataValidation type="list" allowBlank="1" showInputMessage="1" showErrorMessage="1" xr:uid="{00000000-0002-0000-0300-00008A080000}">
          <x14:formula1>
            <xm:f>項目!C17:$OWU$131073</xm:f>
          </x14:formula1>
          <xm:sqref>OXC131077:OXC131100</xm:sqref>
        </x14:dataValidation>
        <x14:dataValidation type="list" allowBlank="1" showInputMessage="1" showErrorMessage="1" xr:uid="{00000000-0002-0000-0300-00008B080000}">
          <x14:formula1>
            <xm:f>項目!C17:$PGQ$131073</xm:f>
          </x14:formula1>
          <xm:sqref>PGY131077:PGY131100</xm:sqref>
        </x14:dataValidation>
        <x14:dataValidation type="list" allowBlank="1" showInputMessage="1" showErrorMessage="1" xr:uid="{00000000-0002-0000-0300-00008C080000}">
          <x14:formula1>
            <xm:f>項目!C17:$PQM$131073</xm:f>
          </x14:formula1>
          <xm:sqref>PQU131077:PQU131100</xm:sqref>
        </x14:dataValidation>
        <x14:dataValidation type="list" allowBlank="1" showInputMessage="1" showErrorMessage="1" xr:uid="{00000000-0002-0000-0300-00008D080000}">
          <x14:formula1>
            <xm:f>項目!C17:$QAI$131073</xm:f>
          </x14:formula1>
          <xm:sqref>QAQ131077:QAQ131100</xm:sqref>
        </x14:dataValidation>
        <x14:dataValidation type="list" allowBlank="1" showInputMessage="1" showErrorMessage="1" xr:uid="{00000000-0002-0000-0300-00008E080000}">
          <x14:formula1>
            <xm:f>項目!C17:$QKE$131073</xm:f>
          </x14:formula1>
          <xm:sqref>QKM131077:QKM131100</xm:sqref>
        </x14:dataValidation>
        <x14:dataValidation type="list" allowBlank="1" showInputMessage="1" showErrorMessage="1" xr:uid="{00000000-0002-0000-0300-00008F080000}">
          <x14:formula1>
            <xm:f>項目!C17:$QUA$131073</xm:f>
          </x14:formula1>
          <xm:sqref>QUI131077:QUI131100</xm:sqref>
        </x14:dataValidation>
        <x14:dataValidation type="list" allowBlank="1" showInputMessage="1" showErrorMessage="1" xr:uid="{00000000-0002-0000-0300-000090080000}">
          <x14:formula1>
            <xm:f>項目!C17:$RDW$131073</xm:f>
          </x14:formula1>
          <xm:sqref>REE131077:REE131100</xm:sqref>
        </x14:dataValidation>
        <x14:dataValidation type="list" allowBlank="1" showInputMessage="1" showErrorMessage="1" xr:uid="{00000000-0002-0000-0300-000091080000}">
          <x14:formula1>
            <xm:f>項目!C17:$RNS$131073</xm:f>
          </x14:formula1>
          <xm:sqref>ROA131077:ROA131100</xm:sqref>
        </x14:dataValidation>
        <x14:dataValidation type="list" allowBlank="1" showInputMessage="1" showErrorMessage="1" xr:uid="{00000000-0002-0000-0300-000092080000}">
          <x14:formula1>
            <xm:f>項目!C17:$RXO$131073</xm:f>
          </x14:formula1>
          <xm:sqref>RXW131077:RXW131100</xm:sqref>
        </x14:dataValidation>
        <x14:dataValidation type="list" allowBlank="1" showInputMessage="1" showErrorMessage="1" xr:uid="{00000000-0002-0000-0300-000093080000}">
          <x14:formula1>
            <xm:f>項目!C17:$SHK$131073</xm:f>
          </x14:formula1>
          <xm:sqref>SHS131077:SHS131100</xm:sqref>
        </x14:dataValidation>
        <x14:dataValidation type="list" allowBlank="1" showInputMessage="1" showErrorMessage="1" xr:uid="{00000000-0002-0000-0300-000094080000}">
          <x14:formula1>
            <xm:f>項目!C17:$SRG$131073</xm:f>
          </x14:formula1>
          <xm:sqref>SRO131077:SRO131100</xm:sqref>
        </x14:dataValidation>
        <x14:dataValidation type="list" allowBlank="1" showInputMessage="1" showErrorMessage="1" xr:uid="{00000000-0002-0000-0300-000095080000}">
          <x14:formula1>
            <xm:f>項目!C17:$TBC$131073</xm:f>
          </x14:formula1>
          <xm:sqref>TBK131077:TBK131100</xm:sqref>
        </x14:dataValidation>
        <x14:dataValidation type="list" allowBlank="1" showInputMessage="1" showErrorMessage="1" xr:uid="{00000000-0002-0000-0300-000096080000}">
          <x14:formula1>
            <xm:f>項目!C17:$TKY$131073</xm:f>
          </x14:formula1>
          <xm:sqref>TLG131077:TLG131100</xm:sqref>
        </x14:dataValidation>
        <x14:dataValidation type="list" allowBlank="1" showInputMessage="1" showErrorMessage="1" xr:uid="{00000000-0002-0000-0300-000097080000}">
          <x14:formula1>
            <xm:f>項目!C17:$TUU$131073</xm:f>
          </x14:formula1>
          <xm:sqref>TVC131077:TVC131100</xm:sqref>
        </x14:dataValidation>
        <x14:dataValidation type="list" allowBlank="1" showInputMessage="1" showErrorMessage="1" xr:uid="{00000000-0002-0000-0300-000098080000}">
          <x14:formula1>
            <xm:f>項目!C17:$UEQ$131073</xm:f>
          </x14:formula1>
          <xm:sqref>UEY131077:UEY131100</xm:sqref>
        </x14:dataValidation>
        <x14:dataValidation type="list" allowBlank="1" showInputMessage="1" showErrorMessage="1" xr:uid="{00000000-0002-0000-0300-000099080000}">
          <x14:formula1>
            <xm:f>項目!C17:$UOM$131073</xm:f>
          </x14:formula1>
          <xm:sqref>UOU131077:UOU131100</xm:sqref>
        </x14:dataValidation>
        <x14:dataValidation type="list" allowBlank="1" showInputMessage="1" showErrorMessage="1" xr:uid="{00000000-0002-0000-0300-00009A080000}">
          <x14:formula1>
            <xm:f>項目!C17:$UYI$131073</xm:f>
          </x14:formula1>
          <xm:sqref>UYQ131077:UYQ131100</xm:sqref>
        </x14:dataValidation>
        <x14:dataValidation type="list" allowBlank="1" showInputMessage="1" showErrorMessage="1" xr:uid="{00000000-0002-0000-0300-00009B080000}">
          <x14:formula1>
            <xm:f>項目!C17:$VIE$131073</xm:f>
          </x14:formula1>
          <xm:sqref>VIM131077:VIM131100</xm:sqref>
        </x14:dataValidation>
        <x14:dataValidation type="list" allowBlank="1" showInputMessage="1" showErrorMessage="1" xr:uid="{00000000-0002-0000-0300-00009C080000}">
          <x14:formula1>
            <xm:f>項目!C17:$VSA$131073</xm:f>
          </x14:formula1>
          <xm:sqref>VSI131077:VSI131100</xm:sqref>
        </x14:dataValidation>
        <x14:dataValidation type="list" allowBlank="1" showInputMessage="1" showErrorMessage="1" xr:uid="{00000000-0002-0000-0300-00009D080000}">
          <x14:formula1>
            <xm:f>項目!C17:$WBW$131073</xm:f>
          </x14:formula1>
          <xm:sqref>WCE131077:WCE131100</xm:sqref>
        </x14:dataValidation>
        <x14:dataValidation type="list" allowBlank="1" showInputMessage="1" showErrorMessage="1" xr:uid="{00000000-0002-0000-0300-00009E080000}">
          <x14:formula1>
            <xm:f>項目!C17:$WLS$131073</xm:f>
          </x14:formula1>
          <xm:sqref>WMA131077:WMA131100</xm:sqref>
        </x14:dataValidation>
        <x14:dataValidation type="list" allowBlank="1" showInputMessage="1" showErrorMessage="1" xr:uid="{00000000-0002-0000-0300-00009F080000}">
          <x14:formula1>
            <xm:f>項目!C17:$WVO$131073</xm:f>
          </x14:formula1>
          <xm:sqref>WVW131077:WVW131100</xm:sqref>
        </x14:dataValidation>
        <x14:dataValidation type="list" allowBlank="1" showInputMessage="1" showErrorMessage="1" xr:uid="{00000000-0002-0000-0300-0000A0080000}">
          <x14:formula1>
            <xm:f>項目!C17:$J$196609</xm:f>
          </x14:formula1>
          <xm:sqref>O196613:O196636</xm:sqref>
        </x14:dataValidation>
        <x14:dataValidation type="list" allowBlank="1" showInputMessage="1" showErrorMessage="1" xr:uid="{00000000-0002-0000-0300-0000A1080000}">
          <x14:formula1>
            <xm:f>項目!C17:$JC$196609</xm:f>
          </x14:formula1>
          <xm:sqref>JK196613:JK196636</xm:sqref>
        </x14:dataValidation>
        <x14:dataValidation type="list" allowBlank="1" showInputMessage="1" showErrorMessage="1" xr:uid="{00000000-0002-0000-0300-0000A2080000}">
          <x14:formula1>
            <xm:f>項目!C17:$SY$196609</xm:f>
          </x14:formula1>
          <xm:sqref>TG196613:TG196636</xm:sqref>
        </x14:dataValidation>
        <x14:dataValidation type="list" allowBlank="1" showInputMessage="1" showErrorMessage="1" xr:uid="{00000000-0002-0000-0300-0000A3080000}">
          <x14:formula1>
            <xm:f>項目!C17:$ACU$196609</xm:f>
          </x14:formula1>
          <xm:sqref>ADC196613:ADC196636</xm:sqref>
        </x14:dataValidation>
        <x14:dataValidation type="list" allowBlank="1" showInputMessage="1" showErrorMessage="1" xr:uid="{00000000-0002-0000-0300-0000A4080000}">
          <x14:formula1>
            <xm:f>項目!C17:$AMQ$196609</xm:f>
          </x14:formula1>
          <xm:sqref>AMY196613:AMY196636</xm:sqref>
        </x14:dataValidation>
        <x14:dataValidation type="list" allowBlank="1" showInputMessage="1" showErrorMessage="1" xr:uid="{00000000-0002-0000-0300-0000A5080000}">
          <x14:formula1>
            <xm:f>項目!C17:$AWM$196609</xm:f>
          </x14:formula1>
          <xm:sqref>AWU196613:AWU196636</xm:sqref>
        </x14:dataValidation>
        <x14:dataValidation type="list" allowBlank="1" showInputMessage="1" showErrorMessage="1" xr:uid="{00000000-0002-0000-0300-0000A6080000}">
          <x14:formula1>
            <xm:f>項目!C17:$BGI$196609</xm:f>
          </x14:formula1>
          <xm:sqref>BGQ196613:BGQ196636</xm:sqref>
        </x14:dataValidation>
        <x14:dataValidation type="list" allowBlank="1" showInputMessage="1" showErrorMessage="1" xr:uid="{00000000-0002-0000-0300-0000A7080000}">
          <x14:formula1>
            <xm:f>項目!C17:$BQE$196609</xm:f>
          </x14:formula1>
          <xm:sqref>BQM196613:BQM196636</xm:sqref>
        </x14:dataValidation>
        <x14:dataValidation type="list" allowBlank="1" showInputMessage="1" showErrorMessage="1" xr:uid="{00000000-0002-0000-0300-0000A8080000}">
          <x14:formula1>
            <xm:f>項目!C17:$CAA$196609</xm:f>
          </x14:formula1>
          <xm:sqref>CAI196613:CAI196636</xm:sqref>
        </x14:dataValidation>
        <x14:dataValidation type="list" allowBlank="1" showInputMessage="1" showErrorMessage="1" xr:uid="{00000000-0002-0000-0300-0000A9080000}">
          <x14:formula1>
            <xm:f>項目!C17:$CJW$196609</xm:f>
          </x14:formula1>
          <xm:sqref>CKE196613:CKE196636</xm:sqref>
        </x14:dataValidation>
        <x14:dataValidation type="list" allowBlank="1" showInputMessage="1" showErrorMessage="1" xr:uid="{00000000-0002-0000-0300-0000AA080000}">
          <x14:formula1>
            <xm:f>項目!C17:$CTS$196609</xm:f>
          </x14:formula1>
          <xm:sqref>CUA196613:CUA196636</xm:sqref>
        </x14:dataValidation>
        <x14:dataValidation type="list" allowBlank="1" showInputMessage="1" showErrorMessage="1" xr:uid="{00000000-0002-0000-0300-0000AB080000}">
          <x14:formula1>
            <xm:f>項目!C17:$DDO$196609</xm:f>
          </x14:formula1>
          <xm:sqref>DDW196613:DDW196636</xm:sqref>
        </x14:dataValidation>
        <x14:dataValidation type="list" allowBlank="1" showInputMessage="1" showErrorMessage="1" xr:uid="{00000000-0002-0000-0300-0000AC080000}">
          <x14:formula1>
            <xm:f>項目!C17:$DNK$196609</xm:f>
          </x14:formula1>
          <xm:sqref>DNS196613:DNS196636</xm:sqref>
        </x14:dataValidation>
        <x14:dataValidation type="list" allowBlank="1" showInputMessage="1" showErrorMessage="1" xr:uid="{00000000-0002-0000-0300-0000AD080000}">
          <x14:formula1>
            <xm:f>項目!C17:$DXG$196609</xm:f>
          </x14:formula1>
          <xm:sqref>DXO196613:DXO196636</xm:sqref>
        </x14:dataValidation>
        <x14:dataValidation type="list" allowBlank="1" showInputMessage="1" showErrorMessage="1" xr:uid="{00000000-0002-0000-0300-0000AE080000}">
          <x14:formula1>
            <xm:f>項目!C17:$EHC$196609</xm:f>
          </x14:formula1>
          <xm:sqref>EHK196613:EHK196636</xm:sqref>
        </x14:dataValidation>
        <x14:dataValidation type="list" allowBlank="1" showInputMessage="1" showErrorMessage="1" xr:uid="{00000000-0002-0000-0300-0000AF080000}">
          <x14:formula1>
            <xm:f>項目!C17:$EQY$196609</xm:f>
          </x14:formula1>
          <xm:sqref>ERG196613:ERG196636</xm:sqref>
        </x14:dataValidation>
        <x14:dataValidation type="list" allowBlank="1" showInputMessage="1" showErrorMessage="1" xr:uid="{00000000-0002-0000-0300-0000B0080000}">
          <x14:formula1>
            <xm:f>項目!C17:$FAU$196609</xm:f>
          </x14:formula1>
          <xm:sqref>FBC196613:FBC196636</xm:sqref>
        </x14:dataValidation>
        <x14:dataValidation type="list" allowBlank="1" showInputMessage="1" showErrorMessage="1" xr:uid="{00000000-0002-0000-0300-0000B1080000}">
          <x14:formula1>
            <xm:f>項目!C17:$FKQ$196609</xm:f>
          </x14:formula1>
          <xm:sqref>FKY196613:FKY196636</xm:sqref>
        </x14:dataValidation>
        <x14:dataValidation type="list" allowBlank="1" showInputMessage="1" showErrorMessage="1" xr:uid="{00000000-0002-0000-0300-0000B2080000}">
          <x14:formula1>
            <xm:f>項目!C17:$FUM$196609</xm:f>
          </x14:formula1>
          <xm:sqref>FUU196613:FUU196636</xm:sqref>
        </x14:dataValidation>
        <x14:dataValidation type="list" allowBlank="1" showInputMessage="1" showErrorMessage="1" xr:uid="{00000000-0002-0000-0300-0000B3080000}">
          <x14:formula1>
            <xm:f>項目!C17:$GEI$196609</xm:f>
          </x14:formula1>
          <xm:sqref>GEQ196613:GEQ196636</xm:sqref>
        </x14:dataValidation>
        <x14:dataValidation type="list" allowBlank="1" showInputMessage="1" showErrorMessage="1" xr:uid="{00000000-0002-0000-0300-0000B4080000}">
          <x14:formula1>
            <xm:f>項目!C17:$GOE$196609</xm:f>
          </x14:formula1>
          <xm:sqref>GOM196613:GOM196636</xm:sqref>
        </x14:dataValidation>
        <x14:dataValidation type="list" allowBlank="1" showInputMessage="1" showErrorMessage="1" xr:uid="{00000000-0002-0000-0300-0000B5080000}">
          <x14:formula1>
            <xm:f>項目!C17:$GYA$196609</xm:f>
          </x14:formula1>
          <xm:sqref>GYI196613:GYI196636</xm:sqref>
        </x14:dataValidation>
        <x14:dataValidation type="list" allowBlank="1" showInputMessage="1" showErrorMessage="1" xr:uid="{00000000-0002-0000-0300-0000B6080000}">
          <x14:formula1>
            <xm:f>項目!C17:$HHW$196609</xm:f>
          </x14:formula1>
          <xm:sqref>HIE196613:HIE196636</xm:sqref>
        </x14:dataValidation>
        <x14:dataValidation type="list" allowBlank="1" showInputMessage="1" showErrorMessage="1" xr:uid="{00000000-0002-0000-0300-0000B7080000}">
          <x14:formula1>
            <xm:f>項目!C17:$HRS$196609</xm:f>
          </x14:formula1>
          <xm:sqref>HSA196613:HSA196636</xm:sqref>
        </x14:dataValidation>
        <x14:dataValidation type="list" allowBlank="1" showInputMessage="1" showErrorMessage="1" xr:uid="{00000000-0002-0000-0300-0000B8080000}">
          <x14:formula1>
            <xm:f>項目!C17:$IBO$196609</xm:f>
          </x14:formula1>
          <xm:sqref>IBW196613:IBW196636</xm:sqref>
        </x14:dataValidation>
        <x14:dataValidation type="list" allowBlank="1" showInputMessage="1" showErrorMessage="1" xr:uid="{00000000-0002-0000-0300-0000B9080000}">
          <x14:formula1>
            <xm:f>項目!C17:$ILK$196609</xm:f>
          </x14:formula1>
          <xm:sqref>ILS196613:ILS196636</xm:sqref>
        </x14:dataValidation>
        <x14:dataValidation type="list" allowBlank="1" showInputMessage="1" showErrorMessage="1" xr:uid="{00000000-0002-0000-0300-0000BA080000}">
          <x14:formula1>
            <xm:f>項目!C17:$IVG$196609</xm:f>
          </x14:formula1>
          <xm:sqref>IVO196613:IVO196636</xm:sqref>
        </x14:dataValidation>
        <x14:dataValidation type="list" allowBlank="1" showInputMessage="1" showErrorMessage="1" xr:uid="{00000000-0002-0000-0300-0000BB080000}">
          <x14:formula1>
            <xm:f>項目!C17:$JFC$196609</xm:f>
          </x14:formula1>
          <xm:sqref>JFK196613:JFK196636</xm:sqref>
        </x14:dataValidation>
        <x14:dataValidation type="list" allowBlank="1" showInputMessage="1" showErrorMessage="1" xr:uid="{00000000-0002-0000-0300-0000BC080000}">
          <x14:formula1>
            <xm:f>項目!C17:$JOY$196609</xm:f>
          </x14:formula1>
          <xm:sqref>JPG196613:JPG196636</xm:sqref>
        </x14:dataValidation>
        <x14:dataValidation type="list" allowBlank="1" showInputMessage="1" showErrorMessage="1" xr:uid="{00000000-0002-0000-0300-0000BD080000}">
          <x14:formula1>
            <xm:f>項目!C17:$JYU$196609</xm:f>
          </x14:formula1>
          <xm:sqref>JZC196613:JZC196636</xm:sqref>
        </x14:dataValidation>
        <x14:dataValidation type="list" allowBlank="1" showInputMessage="1" showErrorMessage="1" xr:uid="{00000000-0002-0000-0300-0000BE080000}">
          <x14:formula1>
            <xm:f>項目!C17:$KIQ$196609</xm:f>
          </x14:formula1>
          <xm:sqref>KIY196613:KIY196636</xm:sqref>
        </x14:dataValidation>
        <x14:dataValidation type="list" allowBlank="1" showInputMessage="1" showErrorMessage="1" xr:uid="{00000000-0002-0000-0300-0000BF080000}">
          <x14:formula1>
            <xm:f>項目!C17:$KSM$196609</xm:f>
          </x14:formula1>
          <xm:sqref>KSU196613:KSU196636</xm:sqref>
        </x14:dataValidation>
        <x14:dataValidation type="list" allowBlank="1" showInputMessage="1" showErrorMessage="1" xr:uid="{00000000-0002-0000-0300-0000C0080000}">
          <x14:formula1>
            <xm:f>項目!C17:$LCI$196609</xm:f>
          </x14:formula1>
          <xm:sqref>LCQ196613:LCQ196636</xm:sqref>
        </x14:dataValidation>
        <x14:dataValidation type="list" allowBlank="1" showInputMessage="1" showErrorMessage="1" xr:uid="{00000000-0002-0000-0300-0000C1080000}">
          <x14:formula1>
            <xm:f>項目!C17:$LME$196609</xm:f>
          </x14:formula1>
          <xm:sqref>LMM196613:LMM196636</xm:sqref>
        </x14:dataValidation>
        <x14:dataValidation type="list" allowBlank="1" showInputMessage="1" showErrorMessage="1" xr:uid="{00000000-0002-0000-0300-0000C2080000}">
          <x14:formula1>
            <xm:f>項目!C17:$LWA$196609</xm:f>
          </x14:formula1>
          <xm:sqref>LWI196613:LWI196636</xm:sqref>
        </x14:dataValidation>
        <x14:dataValidation type="list" allowBlank="1" showInputMessage="1" showErrorMessage="1" xr:uid="{00000000-0002-0000-0300-0000C3080000}">
          <x14:formula1>
            <xm:f>項目!C17:$MFW$196609</xm:f>
          </x14:formula1>
          <xm:sqref>MGE196613:MGE196636</xm:sqref>
        </x14:dataValidation>
        <x14:dataValidation type="list" allowBlank="1" showInputMessage="1" showErrorMessage="1" xr:uid="{00000000-0002-0000-0300-0000C4080000}">
          <x14:formula1>
            <xm:f>項目!C17:$MPS$196609</xm:f>
          </x14:formula1>
          <xm:sqref>MQA196613:MQA196636</xm:sqref>
        </x14:dataValidation>
        <x14:dataValidation type="list" allowBlank="1" showInputMessage="1" showErrorMessage="1" xr:uid="{00000000-0002-0000-0300-0000C5080000}">
          <x14:formula1>
            <xm:f>項目!C17:$MZO$196609</xm:f>
          </x14:formula1>
          <xm:sqref>MZW196613:MZW196636</xm:sqref>
        </x14:dataValidation>
        <x14:dataValidation type="list" allowBlank="1" showInputMessage="1" showErrorMessage="1" xr:uid="{00000000-0002-0000-0300-0000C6080000}">
          <x14:formula1>
            <xm:f>項目!C17:$NJK$196609</xm:f>
          </x14:formula1>
          <xm:sqref>NJS196613:NJS196636</xm:sqref>
        </x14:dataValidation>
        <x14:dataValidation type="list" allowBlank="1" showInputMessage="1" showErrorMessage="1" xr:uid="{00000000-0002-0000-0300-0000C7080000}">
          <x14:formula1>
            <xm:f>項目!C17:$NTG$196609</xm:f>
          </x14:formula1>
          <xm:sqref>NTO196613:NTO196636</xm:sqref>
        </x14:dataValidation>
        <x14:dataValidation type="list" allowBlank="1" showInputMessage="1" showErrorMessage="1" xr:uid="{00000000-0002-0000-0300-0000C8080000}">
          <x14:formula1>
            <xm:f>項目!C17:$ODC$196609</xm:f>
          </x14:formula1>
          <xm:sqref>ODK196613:ODK196636</xm:sqref>
        </x14:dataValidation>
        <x14:dataValidation type="list" allowBlank="1" showInputMessage="1" showErrorMessage="1" xr:uid="{00000000-0002-0000-0300-0000C9080000}">
          <x14:formula1>
            <xm:f>項目!C17:$OMY$196609</xm:f>
          </x14:formula1>
          <xm:sqref>ONG196613:ONG196636</xm:sqref>
        </x14:dataValidation>
        <x14:dataValidation type="list" allowBlank="1" showInputMessage="1" showErrorMessage="1" xr:uid="{00000000-0002-0000-0300-0000CA080000}">
          <x14:formula1>
            <xm:f>項目!C17:$OWU$196609</xm:f>
          </x14:formula1>
          <xm:sqref>OXC196613:OXC196636</xm:sqref>
        </x14:dataValidation>
        <x14:dataValidation type="list" allowBlank="1" showInputMessage="1" showErrorMessage="1" xr:uid="{00000000-0002-0000-0300-0000CB080000}">
          <x14:formula1>
            <xm:f>項目!C17:$PGQ$196609</xm:f>
          </x14:formula1>
          <xm:sqref>PGY196613:PGY196636</xm:sqref>
        </x14:dataValidation>
        <x14:dataValidation type="list" allowBlank="1" showInputMessage="1" showErrorMessage="1" xr:uid="{00000000-0002-0000-0300-0000CC080000}">
          <x14:formula1>
            <xm:f>項目!C17:$PQM$196609</xm:f>
          </x14:formula1>
          <xm:sqref>PQU196613:PQU196636</xm:sqref>
        </x14:dataValidation>
        <x14:dataValidation type="list" allowBlank="1" showInputMessage="1" showErrorMessage="1" xr:uid="{00000000-0002-0000-0300-0000CD080000}">
          <x14:formula1>
            <xm:f>項目!C17:$QAI$196609</xm:f>
          </x14:formula1>
          <xm:sqref>QAQ196613:QAQ196636</xm:sqref>
        </x14:dataValidation>
        <x14:dataValidation type="list" allowBlank="1" showInputMessage="1" showErrorMessage="1" xr:uid="{00000000-0002-0000-0300-0000CE080000}">
          <x14:formula1>
            <xm:f>項目!C17:$QKE$196609</xm:f>
          </x14:formula1>
          <xm:sqref>QKM196613:QKM196636</xm:sqref>
        </x14:dataValidation>
        <x14:dataValidation type="list" allowBlank="1" showInputMessage="1" showErrorMessage="1" xr:uid="{00000000-0002-0000-0300-0000CF080000}">
          <x14:formula1>
            <xm:f>項目!C17:$QUA$196609</xm:f>
          </x14:formula1>
          <xm:sqref>QUI196613:QUI196636</xm:sqref>
        </x14:dataValidation>
        <x14:dataValidation type="list" allowBlank="1" showInputMessage="1" showErrorMessage="1" xr:uid="{00000000-0002-0000-0300-0000D0080000}">
          <x14:formula1>
            <xm:f>項目!C17:$RDW$196609</xm:f>
          </x14:formula1>
          <xm:sqref>REE196613:REE196636</xm:sqref>
        </x14:dataValidation>
        <x14:dataValidation type="list" allowBlank="1" showInputMessage="1" showErrorMessage="1" xr:uid="{00000000-0002-0000-0300-0000D1080000}">
          <x14:formula1>
            <xm:f>項目!C17:$RNS$196609</xm:f>
          </x14:formula1>
          <xm:sqref>ROA196613:ROA196636</xm:sqref>
        </x14:dataValidation>
        <x14:dataValidation type="list" allowBlank="1" showInputMessage="1" showErrorMessage="1" xr:uid="{00000000-0002-0000-0300-0000D2080000}">
          <x14:formula1>
            <xm:f>項目!C17:$RXO$196609</xm:f>
          </x14:formula1>
          <xm:sqref>RXW196613:RXW196636</xm:sqref>
        </x14:dataValidation>
        <x14:dataValidation type="list" allowBlank="1" showInputMessage="1" showErrorMessage="1" xr:uid="{00000000-0002-0000-0300-0000D3080000}">
          <x14:formula1>
            <xm:f>項目!C17:$SHK$196609</xm:f>
          </x14:formula1>
          <xm:sqref>SHS196613:SHS196636</xm:sqref>
        </x14:dataValidation>
        <x14:dataValidation type="list" allowBlank="1" showInputMessage="1" showErrorMessage="1" xr:uid="{00000000-0002-0000-0300-0000D4080000}">
          <x14:formula1>
            <xm:f>項目!C17:$SRG$196609</xm:f>
          </x14:formula1>
          <xm:sqref>SRO196613:SRO196636</xm:sqref>
        </x14:dataValidation>
        <x14:dataValidation type="list" allowBlank="1" showInputMessage="1" showErrorMessage="1" xr:uid="{00000000-0002-0000-0300-0000D5080000}">
          <x14:formula1>
            <xm:f>項目!C17:$TBC$196609</xm:f>
          </x14:formula1>
          <xm:sqref>TBK196613:TBK196636</xm:sqref>
        </x14:dataValidation>
        <x14:dataValidation type="list" allowBlank="1" showInputMessage="1" showErrorMessage="1" xr:uid="{00000000-0002-0000-0300-0000D6080000}">
          <x14:formula1>
            <xm:f>項目!C17:$TKY$196609</xm:f>
          </x14:formula1>
          <xm:sqref>TLG196613:TLG196636</xm:sqref>
        </x14:dataValidation>
        <x14:dataValidation type="list" allowBlank="1" showInputMessage="1" showErrorMessage="1" xr:uid="{00000000-0002-0000-0300-0000D7080000}">
          <x14:formula1>
            <xm:f>項目!C17:$TUU$196609</xm:f>
          </x14:formula1>
          <xm:sqref>TVC196613:TVC196636</xm:sqref>
        </x14:dataValidation>
        <x14:dataValidation type="list" allowBlank="1" showInputMessage="1" showErrorMessage="1" xr:uid="{00000000-0002-0000-0300-0000D8080000}">
          <x14:formula1>
            <xm:f>項目!C17:$UEQ$196609</xm:f>
          </x14:formula1>
          <xm:sqref>UEY196613:UEY196636</xm:sqref>
        </x14:dataValidation>
        <x14:dataValidation type="list" allowBlank="1" showInputMessage="1" showErrorMessage="1" xr:uid="{00000000-0002-0000-0300-0000D9080000}">
          <x14:formula1>
            <xm:f>項目!C17:$UOM$196609</xm:f>
          </x14:formula1>
          <xm:sqref>UOU196613:UOU196636</xm:sqref>
        </x14:dataValidation>
        <x14:dataValidation type="list" allowBlank="1" showInputMessage="1" showErrorMessage="1" xr:uid="{00000000-0002-0000-0300-0000DA080000}">
          <x14:formula1>
            <xm:f>項目!C17:$UYI$196609</xm:f>
          </x14:formula1>
          <xm:sqref>UYQ196613:UYQ196636</xm:sqref>
        </x14:dataValidation>
        <x14:dataValidation type="list" allowBlank="1" showInputMessage="1" showErrorMessage="1" xr:uid="{00000000-0002-0000-0300-0000DB080000}">
          <x14:formula1>
            <xm:f>項目!C17:$VIE$196609</xm:f>
          </x14:formula1>
          <xm:sqref>VIM196613:VIM196636</xm:sqref>
        </x14:dataValidation>
        <x14:dataValidation type="list" allowBlank="1" showInputMessage="1" showErrorMessage="1" xr:uid="{00000000-0002-0000-0300-0000DC080000}">
          <x14:formula1>
            <xm:f>項目!C17:$VSA$196609</xm:f>
          </x14:formula1>
          <xm:sqref>VSI196613:VSI196636</xm:sqref>
        </x14:dataValidation>
        <x14:dataValidation type="list" allowBlank="1" showInputMessage="1" showErrorMessage="1" xr:uid="{00000000-0002-0000-0300-0000DD080000}">
          <x14:formula1>
            <xm:f>項目!C17:$WBW$196609</xm:f>
          </x14:formula1>
          <xm:sqref>WCE196613:WCE196636</xm:sqref>
        </x14:dataValidation>
        <x14:dataValidation type="list" allowBlank="1" showInputMessage="1" showErrorMessage="1" xr:uid="{00000000-0002-0000-0300-0000DE080000}">
          <x14:formula1>
            <xm:f>項目!C17:$WLS$196609</xm:f>
          </x14:formula1>
          <xm:sqref>WMA196613:WMA196636</xm:sqref>
        </x14:dataValidation>
        <x14:dataValidation type="list" allowBlank="1" showInputMessage="1" showErrorMessage="1" xr:uid="{00000000-0002-0000-0300-0000DF080000}">
          <x14:formula1>
            <xm:f>項目!C17:$WVO$196609</xm:f>
          </x14:formula1>
          <xm:sqref>WVW196613:WVW196636</xm:sqref>
        </x14:dataValidation>
        <x14:dataValidation type="list" allowBlank="1" showInputMessage="1" showErrorMessage="1" xr:uid="{00000000-0002-0000-0300-0000E0080000}">
          <x14:formula1>
            <xm:f>項目!C17:$J$262145</xm:f>
          </x14:formula1>
          <xm:sqref>O262149:O262172</xm:sqref>
        </x14:dataValidation>
        <x14:dataValidation type="list" allowBlank="1" showInputMessage="1" showErrorMessage="1" xr:uid="{00000000-0002-0000-0300-0000E1080000}">
          <x14:formula1>
            <xm:f>項目!C17:$JC$262145</xm:f>
          </x14:formula1>
          <xm:sqref>JK262149:JK262172</xm:sqref>
        </x14:dataValidation>
        <x14:dataValidation type="list" allowBlank="1" showInputMessage="1" showErrorMessage="1" xr:uid="{00000000-0002-0000-0300-0000E2080000}">
          <x14:formula1>
            <xm:f>項目!C17:$SY$262145</xm:f>
          </x14:formula1>
          <xm:sqref>TG262149:TG262172</xm:sqref>
        </x14:dataValidation>
        <x14:dataValidation type="list" allowBlank="1" showInputMessage="1" showErrorMessage="1" xr:uid="{00000000-0002-0000-0300-0000E3080000}">
          <x14:formula1>
            <xm:f>項目!C17:$ACU$262145</xm:f>
          </x14:formula1>
          <xm:sqref>ADC262149:ADC262172</xm:sqref>
        </x14:dataValidation>
        <x14:dataValidation type="list" allowBlank="1" showInputMessage="1" showErrorMessage="1" xr:uid="{00000000-0002-0000-0300-0000E4080000}">
          <x14:formula1>
            <xm:f>項目!C17:$AMQ$262145</xm:f>
          </x14:formula1>
          <xm:sqref>AMY262149:AMY262172</xm:sqref>
        </x14:dataValidation>
        <x14:dataValidation type="list" allowBlank="1" showInputMessage="1" showErrorMessage="1" xr:uid="{00000000-0002-0000-0300-0000E5080000}">
          <x14:formula1>
            <xm:f>項目!C17:$AWM$262145</xm:f>
          </x14:formula1>
          <xm:sqref>AWU262149:AWU262172</xm:sqref>
        </x14:dataValidation>
        <x14:dataValidation type="list" allowBlank="1" showInputMessage="1" showErrorMessage="1" xr:uid="{00000000-0002-0000-0300-0000E6080000}">
          <x14:formula1>
            <xm:f>項目!C17:$BGI$262145</xm:f>
          </x14:formula1>
          <xm:sqref>BGQ262149:BGQ262172</xm:sqref>
        </x14:dataValidation>
        <x14:dataValidation type="list" allowBlank="1" showInputMessage="1" showErrorMessage="1" xr:uid="{00000000-0002-0000-0300-0000E7080000}">
          <x14:formula1>
            <xm:f>項目!C17:$BQE$262145</xm:f>
          </x14:formula1>
          <xm:sqref>BQM262149:BQM262172</xm:sqref>
        </x14:dataValidation>
        <x14:dataValidation type="list" allowBlank="1" showInputMessage="1" showErrorMessage="1" xr:uid="{00000000-0002-0000-0300-0000E8080000}">
          <x14:formula1>
            <xm:f>項目!C17:$CAA$262145</xm:f>
          </x14:formula1>
          <xm:sqref>CAI262149:CAI262172</xm:sqref>
        </x14:dataValidation>
        <x14:dataValidation type="list" allowBlank="1" showInputMessage="1" showErrorMessage="1" xr:uid="{00000000-0002-0000-0300-0000E9080000}">
          <x14:formula1>
            <xm:f>項目!C17:$CJW$262145</xm:f>
          </x14:formula1>
          <xm:sqref>CKE262149:CKE262172</xm:sqref>
        </x14:dataValidation>
        <x14:dataValidation type="list" allowBlank="1" showInputMessage="1" showErrorMessage="1" xr:uid="{00000000-0002-0000-0300-0000EA080000}">
          <x14:formula1>
            <xm:f>項目!C17:$CTS$262145</xm:f>
          </x14:formula1>
          <xm:sqref>CUA262149:CUA262172</xm:sqref>
        </x14:dataValidation>
        <x14:dataValidation type="list" allowBlank="1" showInputMessage="1" showErrorMessage="1" xr:uid="{00000000-0002-0000-0300-0000EB080000}">
          <x14:formula1>
            <xm:f>項目!C17:$DDO$262145</xm:f>
          </x14:formula1>
          <xm:sqref>DDW262149:DDW262172</xm:sqref>
        </x14:dataValidation>
        <x14:dataValidation type="list" allowBlank="1" showInputMessage="1" showErrorMessage="1" xr:uid="{00000000-0002-0000-0300-0000EC080000}">
          <x14:formula1>
            <xm:f>項目!C17:$DNK$262145</xm:f>
          </x14:formula1>
          <xm:sqref>DNS262149:DNS262172</xm:sqref>
        </x14:dataValidation>
        <x14:dataValidation type="list" allowBlank="1" showInputMessage="1" showErrorMessage="1" xr:uid="{00000000-0002-0000-0300-0000ED080000}">
          <x14:formula1>
            <xm:f>項目!C17:$DXG$262145</xm:f>
          </x14:formula1>
          <xm:sqref>DXO262149:DXO262172</xm:sqref>
        </x14:dataValidation>
        <x14:dataValidation type="list" allowBlank="1" showInputMessage="1" showErrorMessage="1" xr:uid="{00000000-0002-0000-0300-0000EE080000}">
          <x14:formula1>
            <xm:f>項目!C17:$EHC$262145</xm:f>
          </x14:formula1>
          <xm:sqref>EHK262149:EHK262172</xm:sqref>
        </x14:dataValidation>
        <x14:dataValidation type="list" allowBlank="1" showInputMessage="1" showErrorMessage="1" xr:uid="{00000000-0002-0000-0300-0000EF080000}">
          <x14:formula1>
            <xm:f>項目!C17:$EQY$262145</xm:f>
          </x14:formula1>
          <xm:sqref>ERG262149:ERG262172</xm:sqref>
        </x14:dataValidation>
        <x14:dataValidation type="list" allowBlank="1" showInputMessage="1" showErrorMessage="1" xr:uid="{00000000-0002-0000-0300-0000F0080000}">
          <x14:formula1>
            <xm:f>項目!C17:$FAU$262145</xm:f>
          </x14:formula1>
          <xm:sqref>FBC262149:FBC262172</xm:sqref>
        </x14:dataValidation>
        <x14:dataValidation type="list" allowBlank="1" showInputMessage="1" showErrorMessage="1" xr:uid="{00000000-0002-0000-0300-0000F1080000}">
          <x14:formula1>
            <xm:f>項目!C17:$FKQ$262145</xm:f>
          </x14:formula1>
          <xm:sqref>FKY262149:FKY262172</xm:sqref>
        </x14:dataValidation>
        <x14:dataValidation type="list" allowBlank="1" showInputMessage="1" showErrorMessage="1" xr:uid="{00000000-0002-0000-0300-0000F2080000}">
          <x14:formula1>
            <xm:f>項目!C17:$FUM$262145</xm:f>
          </x14:formula1>
          <xm:sqref>FUU262149:FUU262172</xm:sqref>
        </x14:dataValidation>
        <x14:dataValidation type="list" allowBlank="1" showInputMessage="1" showErrorMessage="1" xr:uid="{00000000-0002-0000-0300-0000F3080000}">
          <x14:formula1>
            <xm:f>項目!C17:$GEI$262145</xm:f>
          </x14:formula1>
          <xm:sqref>GEQ262149:GEQ262172</xm:sqref>
        </x14:dataValidation>
        <x14:dataValidation type="list" allowBlank="1" showInputMessage="1" showErrorMessage="1" xr:uid="{00000000-0002-0000-0300-0000F4080000}">
          <x14:formula1>
            <xm:f>項目!C17:$GOE$262145</xm:f>
          </x14:formula1>
          <xm:sqref>GOM262149:GOM262172</xm:sqref>
        </x14:dataValidation>
        <x14:dataValidation type="list" allowBlank="1" showInputMessage="1" showErrorMessage="1" xr:uid="{00000000-0002-0000-0300-0000F5080000}">
          <x14:formula1>
            <xm:f>項目!C17:$GYA$262145</xm:f>
          </x14:formula1>
          <xm:sqref>GYI262149:GYI262172</xm:sqref>
        </x14:dataValidation>
        <x14:dataValidation type="list" allowBlank="1" showInputMessage="1" showErrorMessage="1" xr:uid="{00000000-0002-0000-0300-0000F6080000}">
          <x14:formula1>
            <xm:f>項目!C17:$HHW$262145</xm:f>
          </x14:formula1>
          <xm:sqref>HIE262149:HIE262172</xm:sqref>
        </x14:dataValidation>
        <x14:dataValidation type="list" allowBlank="1" showInputMessage="1" showErrorMessage="1" xr:uid="{00000000-0002-0000-0300-0000F7080000}">
          <x14:formula1>
            <xm:f>項目!C17:$HRS$262145</xm:f>
          </x14:formula1>
          <xm:sqref>HSA262149:HSA262172</xm:sqref>
        </x14:dataValidation>
        <x14:dataValidation type="list" allowBlank="1" showInputMessage="1" showErrorMessage="1" xr:uid="{00000000-0002-0000-0300-0000F8080000}">
          <x14:formula1>
            <xm:f>項目!C17:$IBO$262145</xm:f>
          </x14:formula1>
          <xm:sqref>IBW262149:IBW262172</xm:sqref>
        </x14:dataValidation>
        <x14:dataValidation type="list" allowBlank="1" showInputMessage="1" showErrorMessage="1" xr:uid="{00000000-0002-0000-0300-0000F9080000}">
          <x14:formula1>
            <xm:f>項目!C17:$ILK$262145</xm:f>
          </x14:formula1>
          <xm:sqref>ILS262149:ILS262172</xm:sqref>
        </x14:dataValidation>
        <x14:dataValidation type="list" allowBlank="1" showInputMessage="1" showErrorMessage="1" xr:uid="{00000000-0002-0000-0300-0000FA080000}">
          <x14:formula1>
            <xm:f>項目!C17:$IVG$262145</xm:f>
          </x14:formula1>
          <xm:sqref>IVO262149:IVO262172</xm:sqref>
        </x14:dataValidation>
        <x14:dataValidation type="list" allowBlank="1" showInputMessage="1" showErrorMessage="1" xr:uid="{00000000-0002-0000-0300-0000FB080000}">
          <x14:formula1>
            <xm:f>項目!C17:$JFC$262145</xm:f>
          </x14:formula1>
          <xm:sqref>JFK262149:JFK262172</xm:sqref>
        </x14:dataValidation>
        <x14:dataValidation type="list" allowBlank="1" showInputMessage="1" showErrorMessage="1" xr:uid="{00000000-0002-0000-0300-0000FC080000}">
          <x14:formula1>
            <xm:f>項目!C17:$JOY$262145</xm:f>
          </x14:formula1>
          <xm:sqref>JPG262149:JPG262172</xm:sqref>
        </x14:dataValidation>
        <x14:dataValidation type="list" allowBlank="1" showInputMessage="1" showErrorMessage="1" xr:uid="{00000000-0002-0000-0300-0000FD080000}">
          <x14:formula1>
            <xm:f>項目!C17:$JYU$262145</xm:f>
          </x14:formula1>
          <xm:sqref>JZC262149:JZC262172</xm:sqref>
        </x14:dataValidation>
        <x14:dataValidation type="list" allowBlank="1" showInputMessage="1" showErrorMessage="1" xr:uid="{00000000-0002-0000-0300-0000FE080000}">
          <x14:formula1>
            <xm:f>項目!C17:$KIQ$262145</xm:f>
          </x14:formula1>
          <xm:sqref>KIY262149:KIY262172</xm:sqref>
        </x14:dataValidation>
        <x14:dataValidation type="list" allowBlank="1" showInputMessage="1" showErrorMessage="1" xr:uid="{00000000-0002-0000-0300-0000FF080000}">
          <x14:formula1>
            <xm:f>項目!C17:$KSM$262145</xm:f>
          </x14:formula1>
          <xm:sqref>KSU262149:KSU262172</xm:sqref>
        </x14:dataValidation>
        <x14:dataValidation type="list" allowBlank="1" showInputMessage="1" showErrorMessage="1" xr:uid="{00000000-0002-0000-0300-000000090000}">
          <x14:formula1>
            <xm:f>項目!C17:$LCI$262145</xm:f>
          </x14:formula1>
          <xm:sqref>LCQ262149:LCQ262172</xm:sqref>
        </x14:dataValidation>
        <x14:dataValidation type="list" allowBlank="1" showInputMessage="1" showErrorMessage="1" xr:uid="{00000000-0002-0000-0300-000001090000}">
          <x14:formula1>
            <xm:f>項目!C17:$LME$262145</xm:f>
          </x14:formula1>
          <xm:sqref>LMM262149:LMM262172</xm:sqref>
        </x14:dataValidation>
        <x14:dataValidation type="list" allowBlank="1" showInputMessage="1" showErrorMessage="1" xr:uid="{00000000-0002-0000-0300-000002090000}">
          <x14:formula1>
            <xm:f>項目!C17:$LWA$262145</xm:f>
          </x14:formula1>
          <xm:sqref>LWI262149:LWI262172</xm:sqref>
        </x14:dataValidation>
        <x14:dataValidation type="list" allowBlank="1" showInputMessage="1" showErrorMessage="1" xr:uid="{00000000-0002-0000-0300-000003090000}">
          <x14:formula1>
            <xm:f>項目!C17:$MFW$262145</xm:f>
          </x14:formula1>
          <xm:sqref>MGE262149:MGE262172</xm:sqref>
        </x14:dataValidation>
        <x14:dataValidation type="list" allowBlank="1" showInputMessage="1" showErrorMessage="1" xr:uid="{00000000-0002-0000-0300-000004090000}">
          <x14:formula1>
            <xm:f>項目!C17:$MPS$262145</xm:f>
          </x14:formula1>
          <xm:sqref>MQA262149:MQA262172</xm:sqref>
        </x14:dataValidation>
        <x14:dataValidation type="list" allowBlank="1" showInputMessage="1" showErrorMessage="1" xr:uid="{00000000-0002-0000-0300-000005090000}">
          <x14:formula1>
            <xm:f>項目!C17:$MZO$262145</xm:f>
          </x14:formula1>
          <xm:sqref>MZW262149:MZW262172</xm:sqref>
        </x14:dataValidation>
        <x14:dataValidation type="list" allowBlank="1" showInputMessage="1" showErrorMessage="1" xr:uid="{00000000-0002-0000-0300-000006090000}">
          <x14:formula1>
            <xm:f>項目!C17:$NJK$262145</xm:f>
          </x14:formula1>
          <xm:sqref>NJS262149:NJS262172</xm:sqref>
        </x14:dataValidation>
        <x14:dataValidation type="list" allowBlank="1" showInputMessage="1" showErrorMessage="1" xr:uid="{00000000-0002-0000-0300-000007090000}">
          <x14:formula1>
            <xm:f>項目!C17:$NTG$262145</xm:f>
          </x14:formula1>
          <xm:sqref>NTO262149:NTO262172</xm:sqref>
        </x14:dataValidation>
        <x14:dataValidation type="list" allowBlank="1" showInputMessage="1" showErrorMessage="1" xr:uid="{00000000-0002-0000-0300-000008090000}">
          <x14:formula1>
            <xm:f>項目!C17:$ODC$262145</xm:f>
          </x14:formula1>
          <xm:sqref>ODK262149:ODK262172</xm:sqref>
        </x14:dataValidation>
        <x14:dataValidation type="list" allowBlank="1" showInputMessage="1" showErrorMessage="1" xr:uid="{00000000-0002-0000-0300-000009090000}">
          <x14:formula1>
            <xm:f>項目!C17:$OMY$262145</xm:f>
          </x14:formula1>
          <xm:sqref>ONG262149:ONG262172</xm:sqref>
        </x14:dataValidation>
        <x14:dataValidation type="list" allowBlank="1" showInputMessage="1" showErrorMessage="1" xr:uid="{00000000-0002-0000-0300-00000A090000}">
          <x14:formula1>
            <xm:f>項目!C17:$OWU$262145</xm:f>
          </x14:formula1>
          <xm:sqref>OXC262149:OXC262172</xm:sqref>
        </x14:dataValidation>
        <x14:dataValidation type="list" allowBlank="1" showInputMessage="1" showErrorMessage="1" xr:uid="{00000000-0002-0000-0300-00000B090000}">
          <x14:formula1>
            <xm:f>項目!C17:$PGQ$262145</xm:f>
          </x14:formula1>
          <xm:sqref>PGY262149:PGY262172</xm:sqref>
        </x14:dataValidation>
        <x14:dataValidation type="list" allowBlank="1" showInputMessage="1" showErrorMessage="1" xr:uid="{00000000-0002-0000-0300-00000C090000}">
          <x14:formula1>
            <xm:f>項目!C17:$PQM$262145</xm:f>
          </x14:formula1>
          <xm:sqref>PQU262149:PQU262172</xm:sqref>
        </x14:dataValidation>
        <x14:dataValidation type="list" allowBlank="1" showInputMessage="1" showErrorMessage="1" xr:uid="{00000000-0002-0000-0300-00000D090000}">
          <x14:formula1>
            <xm:f>項目!C17:$QAI$262145</xm:f>
          </x14:formula1>
          <xm:sqref>QAQ262149:QAQ262172</xm:sqref>
        </x14:dataValidation>
        <x14:dataValidation type="list" allowBlank="1" showInputMessage="1" showErrorMessage="1" xr:uid="{00000000-0002-0000-0300-00000E090000}">
          <x14:formula1>
            <xm:f>項目!C17:$QKE$262145</xm:f>
          </x14:formula1>
          <xm:sqref>QKM262149:QKM262172</xm:sqref>
        </x14:dataValidation>
        <x14:dataValidation type="list" allowBlank="1" showInputMessage="1" showErrorMessage="1" xr:uid="{00000000-0002-0000-0300-00000F090000}">
          <x14:formula1>
            <xm:f>項目!C17:$QUA$262145</xm:f>
          </x14:formula1>
          <xm:sqref>QUI262149:QUI262172</xm:sqref>
        </x14:dataValidation>
        <x14:dataValidation type="list" allowBlank="1" showInputMessage="1" showErrorMessage="1" xr:uid="{00000000-0002-0000-0300-000010090000}">
          <x14:formula1>
            <xm:f>項目!C17:$RDW$262145</xm:f>
          </x14:formula1>
          <xm:sqref>REE262149:REE262172</xm:sqref>
        </x14:dataValidation>
        <x14:dataValidation type="list" allowBlank="1" showInputMessage="1" showErrorMessage="1" xr:uid="{00000000-0002-0000-0300-000011090000}">
          <x14:formula1>
            <xm:f>項目!C17:$RNS$262145</xm:f>
          </x14:formula1>
          <xm:sqref>ROA262149:ROA262172</xm:sqref>
        </x14:dataValidation>
        <x14:dataValidation type="list" allowBlank="1" showInputMessage="1" showErrorMessage="1" xr:uid="{00000000-0002-0000-0300-000012090000}">
          <x14:formula1>
            <xm:f>項目!C17:$RXO$262145</xm:f>
          </x14:formula1>
          <xm:sqref>RXW262149:RXW262172</xm:sqref>
        </x14:dataValidation>
        <x14:dataValidation type="list" allowBlank="1" showInputMessage="1" showErrorMessage="1" xr:uid="{00000000-0002-0000-0300-000013090000}">
          <x14:formula1>
            <xm:f>項目!C17:$SHK$262145</xm:f>
          </x14:formula1>
          <xm:sqref>SHS262149:SHS262172</xm:sqref>
        </x14:dataValidation>
        <x14:dataValidation type="list" allowBlank="1" showInputMessage="1" showErrorMessage="1" xr:uid="{00000000-0002-0000-0300-000014090000}">
          <x14:formula1>
            <xm:f>項目!C17:$SRG$262145</xm:f>
          </x14:formula1>
          <xm:sqref>SRO262149:SRO262172</xm:sqref>
        </x14:dataValidation>
        <x14:dataValidation type="list" allowBlank="1" showInputMessage="1" showErrorMessage="1" xr:uid="{00000000-0002-0000-0300-000015090000}">
          <x14:formula1>
            <xm:f>項目!C17:$TBC$262145</xm:f>
          </x14:formula1>
          <xm:sqref>TBK262149:TBK262172</xm:sqref>
        </x14:dataValidation>
        <x14:dataValidation type="list" allowBlank="1" showInputMessage="1" showErrorMessage="1" xr:uid="{00000000-0002-0000-0300-000016090000}">
          <x14:formula1>
            <xm:f>項目!C17:$TKY$262145</xm:f>
          </x14:formula1>
          <xm:sqref>TLG262149:TLG262172</xm:sqref>
        </x14:dataValidation>
        <x14:dataValidation type="list" allowBlank="1" showInputMessage="1" showErrorMessage="1" xr:uid="{00000000-0002-0000-0300-000017090000}">
          <x14:formula1>
            <xm:f>項目!C17:$TUU$262145</xm:f>
          </x14:formula1>
          <xm:sqref>TVC262149:TVC262172</xm:sqref>
        </x14:dataValidation>
        <x14:dataValidation type="list" allowBlank="1" showInputMessage="1" showErrorMessage="1" xr:uid="{00000000-0002-0000-0300-000018090000}">
          <x14:formula1>
            <xm:f>項目!C17:$UEQ$262145</xm:f>
          </x14:formula1>
          <xm:sqref>UEY262149:UEY262172</xm:sqref>
        </x14:dataValidation>
        <x14:dataValidation type="list" allowBlank="1" showInputMessage="1" showErrorMessage="1" xr:uid="{00000000-0002-0000-0300-000019090000}">
          <x14:formula1>
            <xm:f>項目!C17:$UOM$262145</xm:f>
          </x14:formula1>
          <xm:sqref>UOU262149:UOU262172</xm:sqref>
        </x14:dataValidation>
        <x14:dataValidation type="list" allowBlank="1" showInputMessage="1" showErrorMessage="1" xr:uid="{00000000-0002-0000-0300-00001A090000}">
          <x14:formula1>
            <xm:f>項目!C17:$UYI$262145</xm:f>
          </x14:formula1>
          <xm:sqref>UYQ262149:UYQ262172</xm:sqref>
        </x14:dataValidation>
        <x14:dataValidation type="list" allowBlank="1" showInputMessage="1" showErrorMessage="1" xr:uid="{00000000-0002-0000-0300-00001B090000}">
          <x14:formula1>
            <xm:f>項目!C17:$VIE$262145</xm:f>
          </x14:formula1>
          <xm:sqref>VIM262149:VIM262172</xm:sqref>
        </x14:dataValidation>
        <x14:dataValidation type="list" allowBlank="1" showInputMessage="1" showErrorMessage="1" xr:uid="{00000000-0002-0000-0300-00001C090000}">
          <x14:formula1>
            <xm:f>項目!C17:$VSA$262145</xm:f>
          </x14:formula1>
          <xm:sqref>VSI262149:VSI262172</xm:sqref>
        </x14:dataValidation>
        <x14:dataValidation type="list" allowBlank="1" showInputMessage="1" showErrorMessage="1" xr:uid="{00000000-0002-0000-0300-00001D090000}">
          <x14:formula1>
            <xm:f>項目!C17:$WBW$262145</xm:f>
          </x14:formula1>
          <xm:sqref>WCE262149:WCE262172</xm:sqref>
        </x14:dataValidation>
        <x14:dataValidation type="list" allowBlank="1" showInputMessage="1" showErrorMessage="1" xr:uid="{00000000-0002-0000-0300-00001E090000}">
          <x14:formula1>
            <xm:f>項目!C17:$WLS$262145</xm:f>
          </x14:formula1>
          <xm:sqref>WMA262149:WMA262172</xm:sqref>
        </x14:dataValidation>
        <x14:dataValidation type="list" allowBlank="1" showInputMessage="1" showErrorMessage="1" xr:uid="{00000000-0002-0000-0300-00001F090000}">
          <x14:formula1>
            <xm:f>項目!C17:$WVO$262145</xm:f>
          </x14:formula1>
          <xm:sqref>WVW262149:WVW262172</xm:sqref>
        </x14:dataValidation>
        <x14:dataValidation type="list" allowBlank="1" showInputMessage="1" showErrorMessage="1" xr:uid="{00000000-0002-0000-0300-000020090000}">
          <x14:formula1>
            <xm:f>項目!C17:$J$327681</xm:f>
          </x14:formula1>
          <xm:sqref>O327685:O327708</xm:sqref>
        </x14:dataValidation>
        <x14:dataValidation type="list" allowBlank="1" showInputMessage="1" showErrorMessage="1" xr:uid="{00000000-0002-0000-0300-000021090000}">
          <x14:formula1>
            <xm:f>項目!C17:$JC$327681</xm:f>
          </x14:formula1>
          <xm:sqref>JK327685:JK327708</xm:sqref>
        </x14:dataValidation>
        <x14:dataValidation type="list" allowBlank="1" showInputMessage="1" showErrorMessage="1" xr:uid="{00000000-0002-0000-0300-000022090000}">
          <x14:formula1>
            <xm:f>項目!C17:$SY$327681</xm:f>
          </x14:formula1>
          <xm:sqref>TG327685:TG327708</xm:sqref>
        </x14:dataValidation>
        <x14:dataValidation type="list" allowBlank="1" showInputMessage="1" showErrorMessage="1" xr:uid="{00000000-0002-0000-0300-000023090000}">
          <x14:formula1>
            <xm:f>項目!C17:$ACU$327681</xm:f>
          </x14:formula1>
          <xm:sqref>ADC327685:ADC327708</xm:sqref>
        </x14:dataValidation>
        <x14:dataValidation type="list" allowBlank="1" showInputMessage="1" showErrorMessage="1" xr:uid="{00000000-0002-0000-0300-000024090000}">
          <x14:formula1>
            <xm:f>項目!C17:$AMQ$327681</xm:f>
          </x14:formula1>
          <xm:sqref>AMY327685:AMY327708</xm:sqref>
        </x14:dataValidation>
        <x14:dataValidation type="list" allowBlank="1" showInputMessage="1" showErrorMessage="1" xr:uid="{00000000-0002-0000-0300-000025090000}">
          <x14:formula1>
            <xm:f>項目!C17:$AWM$327681</xm:f>
          </x14:formula1>
          <xm:sqref>AWU327685:AWU327708</xm:sqref>
        </x14:dataValidation>
        <x14:dataValidation type="list" allowBlank="1" showInputMessage="1" showErrorMessage="1" xr:uid="{00000000-0002-0000-0300-000026090000}">
          <x14:formula1>
            <xm:f>項目!C17:$BGI$327681</xm:f>
          </x14:formula1>
          <xm:sqref>BGQ327685:BGQ327708</xm:sqref>
        </x14:dataValidation>
        <x14:dataValidation type="list" allowBlank="1" showInputMessage="1" showErrorMessage="1" xr:uid="{00000000-0002-0000-0300-000027090000}">
          <x14:formula1>
            <xm:f>項目!C17:$BQE$327681</xm:f>
          </x14:formula1>
          <xm:sqref>BQM327685:BQM327708</xm:sqref>
        </x14:dataValidation>
        <x14:dataValidation type="list" allowBlank="1" showInputMessage="1" showErrorMessage="1" xr:uid="{00000000-0002-0000-0300-000028090000}">
          <x14:formula1>
            <xm:f>項目!C17:$CAA$327681</xm:f>
          </x14:formula1>
          <xm:sqref>CAI327685:CAI327708</xm:sqref>
        </x14:dataValidation>
        <x14:dataValidation type="list" allowBlank="1" showInputMessage="1" showErrorMessage="1" xr:uid="{00000000-0002-0000-0300-000029090000}">
          <x14:formula1>
            <xm:f>項目!C17:$CJW$327681</xm:f>
          </x14:formula1>
          <xm:sqref>CKE327685:CKE327708</xm:sqref>
        </x14:dataValidation>
        <x14:dataValidation type="list" allowBlank="1" showInputMessage="1" showErrorMessage="1" xr:uid="{00000000-0002-0000-0300-00002A090000}">
          <x14:formula1>
            <xm:f>項目!C17:$CTS$327681</xm:f>
          </x14:formula1>
          <xm:sqref>CUA327685:CUA327708</xm:sqref>
        </x14:dataValidation>
        <x14:dataValidation type="list" allowBlank="1" showInputMessage="1" showErrorMessage="1" xr:uid="{00000000-0002-0000-0300-00002B090000}">
          <x14:formula1>
            <xm:f>項目!C17:$DDO$327681</xm:f>
          </x14:formula1>
          <xm:sqref>DDW327685:DDW327708</xm:sqref>
        </x14:dataValidation>
        <x14:dataValidation type="list" allowBlank="1" showInputMessage="1" showErrorMessage="1" xr:uid="{00000000-0002-0000-0300-00002C090000}">
          <x14:formula1>
            <xm:f>項目!C17:$DNK$327681</xm:f>
          </x14:formula1>
          <xm:sqref>DNS327685:DNS327708</xm:sqref>
        </x14:dataValidation>
        <x14:dataValidation type="list" allowBlank="1" showInputMessage="1" showErrorMessage="1" xr:uid="{00000000-0002-0000-0300-00002D090000}">
          <x14:formula1>
            <xm:f>項目!C17:$DXG$327681</xm:f>
          </x14:formula1>
          <xm:sqref>DXO327685:DXO327708</xm:sqref>
        </x14:dataValidation>
        <x14:dataValidation type="list" allowBlank="1" showInputMessage="1" showErrorMessage="1" xr:uid="{00000000-0002-0000-0300-00002E090000}">
          <x14:formula1>
            <xm:f>項目!C17:$EHC$327681</xm:f>
          </x14:formula1>
          <xm:sqref>EHK327685:EHK327708</xm:sqref>
        </x14:dataValidation>
        <x14:dataValidation type="list" allowBlank="1" showInputMessage="1" showErrorMessage="1" xr:uid="{00000000-0002-0000-0300-00002F090000}">
          <x14:formula1>
            <xm:f>項目!C17:$EQY$327681</xm:f>
          </x14:formula1>
          <xm:sqref>ERG327685:ERG327708</xm:sqref>
        </x14:dataValidation>
        <x14:dataValidation type="list" allowBlank="1" showInputMessage="1" showErrorMessage="1" xr:uid="{00000000-0002-0000-0300-000030090000}">
          <x14:formula1>
            <xm:f>項目!C17:$FAU$327681</xm:f>
          </x14:formula1>
          <xm:sqref>FBC327685:FBC327708</xm:sqref>
        </x14:dataValidation>
        <x14:dataValidation type="list" allowBlank="1" showInputMessage="1" showErrorMessage="1" xr:uid="{00000000-0002-0000-0300-000031090000}">
          <x14:formula1>
            <xm:f>項目!C17:$FKQ$327681</xm:f>
          </x14:formula1>
          <xm:sqref>FKY327685:FKY327708</xm:sqref>
        </x14:dataValidation>
        <x14:dataValidation type="list" allowBlank="1" showInputMessage="1" showErrorMessage="1" xr:uid="{00000000-0002-0000-0300-000032090000}">
          <x14:formula1>
            <xm:f>項目!C17:$FUM$327681</xm:f>
          </x14:formula1>
          <xm:sqref>FUU327685:FUU327708</xm:sqref>
        </x14:dataValidation>
        <x14:dataValidation type="list" allowBlank="1" showInputMessage="1" showErrorMessage="1" xr:uid="{00000000-0002-0000-0300-000033090000}">
          <x14:formula1>
            <xm:f>項目!C17:$GEI$327681</xm:f>
          </x14:formula1>
          <xm:sqref>GEQ327685:GEQ327708</xm:sqref>
        </x14:dataValidation>
        <x14:dataValidation type="list" allowBlank="1" showInputMessage="1" showErrorMessage="1" xr:uid="{00000000-0002-0000-0300-000034090000}">
          <x14:formula1>
            <xm:f>項目!C17:$GOE$327681</xm:f>
          </x14:formula1>
          <xm:sqref>GOM327685:GOM327708</xm:sqref>
        </x14:dataValidation>
        <x14:dataValidation type="list" allowBlank="1" showInputMessage="1" showErrorMessage="1" xr:uid="{00000000-0002-0000-0300-000035090000}">
          <x14:formula1>
            <xm:f>項目!C17:$GYA$327681</xm:f>
          </x14:formula1>
          <xm:sqref>GYI327685:GYI327708</xm:sqref>
        </x14:dataValidation>
        <x14:dataValidation type="list" allowBlank="1" showInputMessage="1" showErrorMessage="1" xr:uid="{00000000-0002-0000-0300-000036090000}">
          <x14:formula1>
            <xm:f>項目!C17:$HHW$327681</xm:f>
          </x14:formula1>
          <xm:sqref>HIE327685:HIE327708</xm:sqref>
        </x14:dataValidation>
        <x14:dataValidation type="list" allowBlank="1" showInputMessage="1" showErrorMessage="1" xr:uid="{00000000-0002-0000-0300-000037090000}">
          <x14:formula1>
            <xm:f>項目!C17:$HRS$327681</xm:f>
          </x14:formula1>
          <xm:sqref>HSA327685:HSA327708</xm:sqref>
        </x14:dataValidation>
        <x14:dataValidation type="list" allowBlank="1" showInputMessage="1" showErrorMessage="1" xr:uid="{00000000-0002-0000-0300-000038090000}">
          <x14:formula1>
            <xm:f>項目!C17:$IBO$327681</xm:f>
          </x14:formula1>
          <xm:sqref>IBW327685:IBW327708</xm:sqref>
        </x14:dataValidation>
        <x14:dataValidation type="list" allowBlank="1" showInputMessage="1" showErrorMessage="1" xr:uid="{00000000-0002-0000-0300-000039090000}">
          <x14:formula1>
            <xm:f>項目!C17:$ILK$327681</xm:f>
          </x14:formula1>
          <xm:sqref>ILS327685:ILS327708</xm:sqref>
        </x14:dataValidation>
        <x14:dataValidation type="list" allowBlank="1" showInputMessage="1" showErrorMessage="1" xr:uid="{00000000-0002-0000-0300-00003A090000}">
          <x14:formula1>
            <xm:f>項目!C17:$IVG$327681</xm:f>
          </x14:formula1>
          <xm:sqref>IVO327685:IVO327708</xm:sqref>
        </x14:dataValidation>
        <x14:dataValidation type="list" allowBlank="1" showInputMessage="1" showErrorMessage="1" xr:uid="{00000000-0002-0000-0300-00003B090000}">
          <x14:formula1>
            <xm:f>項目!C17:$JFC$327681</xm:f>
          </x14:formula1>
          <xm:sqref>JFK327685:JFK327708</xm:sqref>
        </x14:dataValidation>
        <x14:dataValidation type="list" allowBlank="1" showInputMessage="1" showErrorMessage="1" xr:uid="{00000000-0002-0000-0300-00003C090000}">
          <x14:formula1>
            <xm:f>項目!C17:$JOY$327681</xm:f>
          </x14:formula1>
          <xm:sqref>JPG327685:JPG327708</xm:sqref>
        </x14:dataValidation>
        <x14:dataValidation type="list" allowBlank="1" showInputMessage="1" showErrorMessage="1" xr:uid="{00000000-0002-0000-0300-00003D090000}">
          <x14:formula1>
            <xm:f>項目!C17:$JYU$327681</xm:f>
          </x14:formula1>
          <xm:sqref>JZC327685:JZC327708</xm:sqref>
        </x14:dataValidation>
        <x14:dataValidation type="list" allowBlank="1" showInputMessage="1" showErrorMessage="1" xr:uid="{00000000-0002-0000-0300-00003E090000}">
          <x14:formula1>
            <xm:f>項目!C17:$KIQ$327681</xm:f>
          </x14:formula1>
          <xm:sqref>KIY327685:KIY327708</xm:sqref>
        </x14:dataValidation>
        <x14:dataValidation type="list" allowBlank="1" showInputMessage="1" showErrorMessage="1" xr:uid="{00000000-0002-0000-0300-00003F090000}">
          <x14:formula1>
            <xm:f>項目!C17:$KSM$327681</xm:f>
          </x14:formula1>
          <xm:sqref>KSU327685:KSU327708</xm:sqref>
        </x14:dataValidation>
        <x14:dataValidation type="list" allowBlank="1" showInputMessage="1" showErrorMessage="1" xr:uid="{00000000-0002-0000-0300-000040090000}">
          <x14:formula1>
            <xm:f>項目!C17:$LCI$327681</xm:f>
          </x14:formula1>
          <xm:sqref>LCQ327685:LCQ327708</xm:sqref>
        </x14:dataValidation>
        <x14:dataValidation type="list" allowBlank="1" showInputMessage="1" showErrorMessage="1" xr:uid="{00000000-0002-0000-0300-000041090000}">
          <x14:formula1>
            <xm:f>項目!C17:$LME$327681</xm:f>
          </x14:formula1>
          <xm:sqref>LMM327685:LMM327708</xm:sqref>
        </x14:dataValidation>
        <x14:dataValidation type="list" allowBlank="1" showInputMessage="1" showErrorMessage="1" xr:uid="{00000000-0002-0000-0300-000042090000}">
          <x14:formula1>
            <xm:f>項目!C17:$LWA$327681</xm:f>
          </x14:formula1>
          <xm:sqref>LWI327685:LWI327708</xm:sqref>
        </x14:dataValidation>
        <x14:dataValidation type="list" allowBlank="1" showInputMessage="1" showErrorMessage="1" xr:uid="{00000000-0002-0000-0300-000043090000}">
          <x14:formula1>
            <xm:f>項目!C17:$MFW$327681</xm:f>
          </x14:formula1>
          <xm:sqref>MGE327685:MGE327708</xm:sqref>
        </x14:dataValidation>
        <x14:dataValidation type="list" allowBlank="1" showInputMessage="1" showErrorMessage="1" xr:uid="{00000000-0002-0000-0300-000044090000}">
          <x14:formula1>
            <xm:f>項目!C17:$MPS$327681</xm:f>
          </x14:formula1>
          <xm:sqref>MQA327685:MQA327708</xm:sqref>
        </x14:dataValidation>
        <x14:dataValidation type="list" allowBlank="1" showInputMessage="1" showErrorMessage="1" xr:uid="{00000000-0002-0000-0300-000045090000}">
          <x14:formula1>
            <xm:f>項目!C17:$MZO$327681</xm:f>
          </x14:formula1>
          <xm:sqref>MZW327685:MZW327708</xm:sqref>
        </x14:dataValidation>
        <x14:dataValidation type="list" allowBlank="1" showInputMessage="1" showErrorMessage="1" xr:uid="{00000000-0002-0000-0300-000046090000}">
          <x14:formula1>
            <xm:f>項目!C17:$NJK$327681</xm:f>
          </x14:formula1>
          <xm:sqref>NJS327685:NJS327708</xm:sqref>
        </x14:dataValidation>
        <x14:dataValidation type="list" allowBlank="1" showInputMessage="1" showErrorMessage="1" xr:uid="{00000000-0002-0000-0300-000047090000}">
          <x14:formula1>
            <xm:f>項目!C17:$NTG$327681</xm:f>
          </x14:formula1>
          <xm:sqref>NTO327685:NTO327708</xm:sqref>
        </x14:dataValidation>
        <x14:dataValidation type="list" allowBlank="1" showInputMessage="1" showErrorMessage="1" xr:uid="{00000000-0002-0000-0300-000048090000}">
          <x14:formula1>
            <xm:f>項目!C17:$ODC$327681</xm:f>
          </x14:formula1>
          <xm:sqref>ODK327685:ODK327708</xm:sqref>
        </x14:dataValidation>
        <x14:dataValidation type="list" allowBlank="1" showInputMessage="1" showErrorMessage="1" xr:uid="{00000000-0002-0000-0300-000049090000}">
          <x14:formula1>
            <xm:f>項目!C17:$OMY$327681</xm:f>
          </x14:formula1>
          <xm:sqref>ONG327685:ONG327708</xm:sqref>
        </x14:dataValidation>
        <x14:dataValidation type="list" allowBlank="1" showInputMessage="1" showErrorMessage="1" xr:uid="{00000000-0002-0000-0300-00004A090000}">
          <x14:formula1>
            <xm:f>項目!C17:$OWU$327681</xm:f>
          </x14:formula1>
          <xm:sqref>OXC327685:OXC327708</xm:sqref>
        </x14:dataValidation>
        <x14:dataValidation type="list" allowBlank="1" showInputMessage="1" showErrorMessage="1" xr:uid="{00000000-0002-0000-0300-00004B090000}">
          <x14:formula1>
            <xm:f>項目!C17:$PGQ$327681</xm:f>
          </x14:formula1>
          <xm:sqref>PGY327685:PGY327708</xm:sqref>
        </x14:dataValidation>
        <x14:dataValidation type="list" allowBlank="1" showInputMessage="1" showErrorMessage="1" xr:uid="{00000000-0002-0000-0300-00004C090000}">
          <x14:formula1>
            <xm:f>項目!C17:$PQM$327681</xm:f>
          </x14:formula1>
          <xm:sqref>PQU327685:PQU327708</xm:sqref>
        </x14:dataValidation>
        <x14:dataValidation type="list" allowBlank="1" showInputMessage="1" showErrorMessage="1" xr:uid="{00000000-0002-0000-0300-00004D090000}">
          <x14:formula1>
            <xm:f>項目!C17:$QAI$327681</xm:f>
          </x14:formula1>
          <xm:sqref>QAQ327685:QAQ327708</xm:sqref>
        </x14:dataValidation>
        <x14:dataValidation type="list" allowBlank="1" showInputMessage="1" showErrorMessage="1" xr:uid="{00000000-0002-0000-0300-00004E090000}">
          <x14:formula1>
            <xm:f>項目!C17:$QKE$327681</xm:f>
          </x14:formula1>
          <xm:sqref>QKM327685:QKM327708</xm:sqref>
        </x14:dataValidation>
        <x14:dataValidation type="list" allowBlank="1" showInputMessage="1" showErrorMessage="1" xr:uid="{00000000-0002-0000-0300-00004F090000}">
          <x14:formula1>
            <xm:f>項目!C17:$QUA$327681</xm:f>
          </x14:formula1>
          <xm:sqref>QUI327685:QUI327708</xm:sqref>
        </x14:dataValidation>
        <x14:dataValidation type="list" allowBlank="1" showInputMessage="1" showErrorMessage="1" xr:uid="{00000000-0002-0000-0300-000050090000}">
          <x14:formula1>
            <xm:f>項目!C17:$RDW$327681</xm:f>
          </x14:formula1>
          <xm:sqref>REE327685:REE327708</xm:sqref>
        </x14:dataValidation>
        <x14:dataValidation type="list" allowBlank="1" showInputMessage="1" showErrorMessage="1" xr:uid="{00000000-0002-0000-0300-000051090000}">
          <x14:formula1>
            <xm:f>項目!C17:$RNS$327681</xm:f>
          </x14:formula1>
          <xm:sqref>ROA327685:ROA327708</xm:sqref>
        </x14:dataValidation>
        <x14:dataValidation type="list" allowBlank="1" showInputMessage="1" showErrorMessage="1" xr:uid="{00000000-0002-0000-0300-000052090000}">
          <x14:formula1>
            <xm:f>項目!C17:$RXO$327681</xm:f>
          </x14:formula1>
          <xm:sqref>RXW327685:RXW327708</xm:sqref>
        </x14:dataValidation>
        <x14:dataValidation type="list" allowBlank="1" showInputMessage="1" showErrorMessage="1" xr:uid="{00000000-0002-0000-0300-000053090000}">
          <x14:formula1>
            <xm:f>項目!C17:$SHK$327681</xm:f>
          </x14:formula1>
          <xm:sqref>SHS327685:SHS327708</xm:sqref>
        </x14:dataValidation>
        <x14:dataValidation type="list" allowBlank="1" showInputMessage="1" showErrorMessage="1" xr:uid="{00000000-0002-0000-0300-000054090000}">
          <x14:formula1>
            <xm:f>項目!C17:$SRG$327681</xm:f>
          </x14:formula1>
          <xm:sqref>SRO327685:SRO327708</xm:sqref>
        </x14:dataValidation>
        <x14:dataValidation type="list" allowBlank="1" showInputMessage="1" showErrorMessage="1" xr:uid="{00000000-0002-0000-0300-000055090000}">
          <x14:formula1>
            <xm:f>項目!C17:$TBC$327681</xm:f>
          </x14:formula1>
          <xm:sqref>TBK327685:TBK327708</xm:sqref>
        </x14:dataValidation>
        <x14:dataValidation type="list" allowBlank="1" showInputMessage="1" showErrorMessage="1" xr:uid="{00000000-0002-0000-0300-000056090000}">
          <x14:formula1>
            <xm:f>項目!C17:$TKY$327681</xm:f>
          </x14:formula1>
          <xm:sqref>TLG327685:TLG327708</xm:sqref>
        </x14:dataValidation>
        <x14:dataValidation type="list" allowBlank="1" showInputMessage="1" showErrorMessage="1" xr:uid="{00000000-0002-0000-0300-000057090000}">
          <x14:formula1>
            <xm:f>項目!C17:$TUU$327681</xm:f>
          </x14:formula1>
          <xm:sqref>TVC327685:TVC327708</xm:sqref>
        </x14:dataValidation>
        <x14:dataValidation type="list" allowBlank="1" showInputMessage="1" showErrorMessage="1" xr:uid="{00000000-0002-0000-0300-000058090000}">
          <x14:formula1>
            <xm:f>項目!C17:$UEQ$327681</xm:f>
          </x14:formula1>
          <xm:sqref>UEY327685:UEY327708</xm:sqref>
        </x14:dataValidation>
        <x14:dataValidation type="list" allowBlank="1" showInputMessage="1" showErrorMessage="1" xr:uid="{00000000-0002-0000-0300-000059090000}">
          <x14:formula1>
            <xm:f>項目!C17:$UOM$327681</xm:f>
          </x14:formula1>
          <xm:sqref>UOU327685:UOU327708</xm:sqref>
        </x14:dataValidation>
        <x14:dataValidation type="list" allowBlank="1" showInputMessage="1" showErrorMessage="1" xr:uid="{00000000-0002-0000-0300-00005A090000}">
          <x14:formula1>
            <xm:f>項目!C17:$UYI$327681</xm:f>
          </x14:formula1>
          <xm:sqref>UYQ327685:UYQ327708</xm:sqref>
        </x14:dataValidation>
        <x14:dataValidation type="list" allowBlank="1" showInputMessage="1" showErrorMessage="1" xr:uid="{00000000-0002-0000-0300-00005B090000}">
          <x14:formula1>
            <xm:f>項目!C17:$VIE$327681</xm:f>
          </x14:formula1>
          <xm:sqref>VIM327685:VIM327708</xm:sqref>
        </x14:dataValidation>
        <x14:dataValidation type="list" allowBlank="1" showInputMessage="1" showErrorMessage="1" xr:uid="{00000000-0002-0000-0300-00005C090000}">
          <x14:formula1>
            <xm:f>項目!C17:$VSA$327681</xm:f>
          </x14:formula1>
          <xm:sqref>VSI327685:VSI327708</xm:sqref>
        </x14:dataValidation>
        <x14:dataValidation type="list" allowBlank="1" showInputMessage="1" showErrorMessage="1" xr:uid="{00000000-0002-0000-0300-00005D090000}">
          <x14:formula1>
            <xm:f>項目!C17:$WBW$327681</xm:f>
          </x14:formula1>
          <xm:sqref>WCE327685:WCE327708</xm:sqref>
        </x14:dataValidation>
        <x14:dataValidation type="list" allowBlank="1" showInputMessage="1" showErrorMessage="1" xr:uid="{00000000-0002-0000-0300-00005E090000}">
          <x14:formula1>
            <xm:f>項目!C17:$WLS$327681</xm:f>
          </x14:formula1>
          <xm:sqref>WMA327685:WMA327708</xm:sqref>
        </x14:dataValidation>
        <x14:dataValidation type="list" allowBlank="1" showInputMessage="1" showErrorMessage="1" xr:uid="{00000000-0002-0000-0300-00005F090000}">
          <x14:formula1>
            <xm:f>項目!C17:$WVO$327681</xm:f>
          </x14:formula1>
          <xm:sqref>WVW327685:WVW327708</xm:sqref>
        </x14:dataValidation>
        <x14:dataValidation type="list" allowBlank="1" showInputMessage="1" showErrorMessage="1" xr:uid="{00000000-0002-0000-0300-000060090000}">
          <x14:formula1>
            <xm:f>項目!C17:$J$393217</xm:f>
          </x14:formula1>
          <xm:sqref>O393221:O393244</xm:sqref>
        </x14:dataValidation>
        <x14:dataValidation type="list" allowBlank="1" showInputMessage="1" showErrorMessage="1" xr:uid="{00000000-0002-0000-0300-000061090000}">
          <x14:formula1>
            <xm:f>項目!C17:$JC$393217</xm:f>
          </x14:formula1>
          <xm:sqref>JK393221:JK393244</xm:sqref>
        </x14:dataValidation>
        <x14:dataValidation type="list" allowBlank="1" showInputMessage="1" showErrorMessage="1" xr:uid="{00000000-0002-0000-0300-000062090000}">
          <x14:formula1>
            <xm:f>項目!C17:$SY$393217</xm:f>
          </x14:formula1>
          <xm:sqref>TG393221:TG393244</xm:sqref>
        </x14:dataValidation>
        <x14:dataValidation type="list" allowBlank="1" showInputMessage="1" showErrorMessage="1" xr:uid="{00000000-0002-0000-0300-000063090000}">
          <x14:formula1>
            <xm:f>項目!C17:$ACU$393217</xm:f>
          </x14:formula1>
          <xm:sqref>ADC393221:ADC393244</xm:sqref>
        </x14:dataValidation>
        <x14:dataValidation type="list" allowBlank="1" showInputMessage="1" showErrorMessage="1" xr:uid="{00000000-0002-0000-0300-000064090000}">
          <x14:formula1>
            <xm:f>項目!C17:$AMQ$393217</xm:f>
          </x14:formula1>
          <xm:sqref>AMY393221:AMY393244</xm:sqref>
        </x14:dataValidation>
        <x14:dataValidation type="list" allowBlank="1" showInputMessage="1" showErrorMessage="1" xr:uid="{00000000-0002-0000-0300-000065090000}">
          <x14:formula1>
            <xm:f>項目!C17:$AWM$393217</xm:f>
          </x14:formula1>
          <xm:sqref>AWU393221:AWU393244</xm:sqref>
        </x14:dataValidation>
        <x14:dataValidation type="list" allowBlank="1" showInputMessage="1" showErrorMessage="1" xr:uid="{00000000-0002-0000-0300-000066090000}">
          <x14:formula1>
            <xm:f>項目!C17:$BGI$393217</xm:f>
          </x14:formula1>
          <xm:sqref>BGQ393221:BGQ393244</xm:sqref>
        </x14:dataValidation>
        <x14:dataValidation type="list" allowBlank="1" showInputMessage="1" showErrorMessage="1" xr:uid="{00000000-0002-0000-0300-000067090000}">
          <x14:formula1>
            <xm:f>項目!C17:$BQE$393217</xm:f>
          </x14:formula1>
          <xm:sqref>BQM393221:BQM393244</xm:sqref>
        </x14:dataValidation>
        <x14:dataValidation type="list" allowBlank="1" showInputMessage="1" showErrorMessage="1" xr:uid="{00000000-0002-0000-0300-000068090000}">
          <x14:formula1>
            <xm:f>項目!C17:$CAA$393217</xm:f>
          </x14:formula1>
          <xm:sqref>CAI393221:CAI393244</xm:sqref>
        </x14:dataValidation>
        <x14:dataValidation type="list" allowBlank="1" showInputMessage="1" showErrorMessage="1" xr:uid="{00000000-0002-0000-0300-000069090000}">
          <x14:formula1>
            <xm:f>項目!C17:$CJW$393217</xm:f>
          </x14:formula1>
          <xm:sqref>CKE393221:CKE393244</xm:sqref>
        </x14:dataValidation>
        <x14:dataValidation type="list" allowBlank="1" showInputMessage="1" showErrorMessage="1" xr:uid="{00000000-0002-0000-0300-00006A090000}">
          <x14:formula1>
            <xm:f>項目!C17:$CTS$393217</xm:f>
          </x14:formula1>
          <xm:sqref>CUA393221:CUA393244</xm:sqref>
        </x14:dataValidation>
        <x14:dataValidation type="list" allowBlank="1" showInputMessage="1" showErrorMessage="1" xr:uid="{00000000-0002-0000-0300-00006B090000}">
          <x14:formula1>
            <xm:f>項目!C17:$DDO$393217</xm:f>
          </x14:formula1>
          <xm:sqref>DDW393221:DDW393244</xm:sqref>
        </x14:dataValidation>
        <x14:dataValidation type="list" allowBlank="1" showInputMessage="1" showErrorMessage="1" xr:uid="{00000000-0002-0000-0300-00006C090000}">
          <x14:formula1>
            <xm:f>項目!C17:$DNK$393217</xm:f>
          </x14:formula1>
          <xm:sqref>DNS393221:DNS393244</xm:sqref>
        </x14:dataValidation>
        <x14:dataValidation type="list" allowBlank="1" showInputMessage="1" showErrorMessage="1" xr:uid="{00000000-0002-0000-0300-00006D090000}">
          <x14:formula1>
            <xm:f>項目!C17:$DXG$393217</xm:f>
          </x14:formula1>
          <xm:sqref>DXO393221:DXO393244</xm:sqref>
        </x14:dataValidation>
        <x14:dataValidation type="list" allowBlank="1" showInputMessage="1" showErrorMessage="1" xr:uid="{00000000-0002-0000-0300-00006E090000}">
          <x14:formula1>
            <xm:f>項目!C17:$EHC$393217</xm:f>
          </x14:formula1>
          <xm:sqref>EHK393221:EHK393244</xm:sqref>
        </x14:dataValidation>
        <x14:dataValidation type="list" allowBlank="1" showInputMessage="1" showErrorMessage="1" xr:uid="{00000000-0002-0000-0300-00006F090000}">
          <x14:formula1>
            <xm:f>項目!C17:$EQY$393217</xm:f>
          </x14:formula1>
          <xm:sqref>ERG393221:ERG393244</xm:sqref>
        </x14:dataValidation>
        <x14:dataValidation type="list" allowBlank="1" showInputMessage="1" showErrorMessage="1" xr:uid="{00000000-0002-0000-0300-000070090000}">
          <x14:formula1>
            <xm:f>項目!C17:$FAU$393217</xm:f>
          </x14:formula1>
          <xm:sqref>FBC393221:FBC393244</xm:sqref>
        </x14:dataValidation>
        <x14:dataValidation type="list" allowBlank="1" showInputMessage="1" showErrorMessage="1" xr:uid="{00000000-0002-0000-0300-000071090000}">
          <x14:formula1>
            <xm:f>項目!C17:$FKQ$393217</xm:f>
          </x14:formula1>
          <xm:sqref>FKY393221:FKY393244</xm:sqref>
        </x14:dataValidation>
        <x14:dataValidation type="list" allowBlank="1" showInputMessage="1" showErrorMessage="1" xr:uid="{00000000-0002-0000-0300-000072090000}">
          <x14:formula1>
            <xm:f>項目!C17:$FUM$393217</xm:f>
          </x14:formula1>
          <xm:sqref>FUU393221:FUU393244</xm:sqref>
        </x14:dataValidation>
        <x14:dataValidation type="list" allowBlank="1" showInputMessage="1" showErrorMessage="1" xr:uid="{00000000-0002-0000-0300-000073090000}">
          <x14:formula1>
            <xm:f>項目!C17:$GEI$393217</xm:f>
          </x14:formula1>
          <xm:sqref>GEQ393221:GEQ393244</xm:sqref>
        </x14:dataValidation>
        <x14:dataValidation type="list" allowBlank="1" showInputMessage="1" showErrorMessage="1" xr:uid="{00000000-0002-0000-0300-000074090000}">
          <x14:formula1>
            <xm:f>項目!C17:$GOE$393217</xm:f>
          </x14:formula1>
          <xm:sqref>GOM393221:GOM393244</xm:sqref>
        </x14:dataValidation>
        <x14:dataValidation type="list" allowBlank="1" showInputMessage="1" showErrorMessage="1" xr:uid="{00000000-0002-0000-0300-000075090000}">
          <x14:formula1>
            <xm:f>項目!C17:$GYA$393217</xm:f>
          </x14:formula1>
          <xm:sqref>GYI393221:GYI393244</xm:sqref>
        </x14:dataValidation>
        <x14:dataValidation type="list" allowBlank="1" showInputMessage="1" showErrorMessage="1" xr:uid="{00000000-0002-0000-0300-000076090000}">
          <x14:formula1>
            <xm:f>項目!C17:$HHW$393217</xm:f>
          </x14:formula1>
          <xm:sqref>HIE393221:HIE393244</xm:sqref>
        </x14:dataValidation>
        <x14:dataValidation type="list" allowBlank="1" showInputMessage="1" showErrorMessage="1" xr:uid="{00000000-0002-0000-0300-000077090000}">
          <x14:formula1>
            <xm:f>項目!C17:$HRS$393217</xm:f>
          </x14:formula1>
          <xm:sqref>HSA393221:HSA393244</xm:sqref>
        </x14:dataValidation>
        <x14:dataValidation type="list" allowBlank="1" showInputMessage="1" showErrorMessage="1" xr:uid="{00000000-0002-0000-0300-000078090000}">
          <x14:formula1>
            <xm:f>項目!C17:$IBO$393217</xm:f>
          </x14:formula1>
          <xm:sqref>IBW393221:IBW393244</xm:sqref>
        </x14:dataValidation>
        <x14:dataValidation type="list" allowBlank="1" showInputMessage="1" showErrorMessage="1" xr:uid="{00000000-0002-0000-0300-000079090000}">
          <x14:formula1>
            <xm:f>項目!C17:$ILK$393217</xm:f>
          </x14:formula1>
          <xm:sqref>ILS393221:ILS393244</xm:sqref>
        </x14:dataValidation>
        <x14:dataValidation type="list" allowBlank="1" showInputMessage="1" showErrorMessage="1" xr:uid="{00000000-0002-0000-0300-00007A090000}">
          <x14:formula1>
            <xm:f>項目!C17:$IVG$393217</xm:f>
          </x14:formula1>
          <xm:sqref>IVO393221:IVO393244</xm:sqref>
        </x14:dataValidation>
        <x14:dataValidation type="list" allowBlank="1" showInputMessage="1" showErrorMessage="1" xr:uid="{00000000-0002-0000-0300-00007B090000}">
          <x14:formula1>
            <xm:f>項目!C17:$JFC$393217</xm:f>
          </x14:formula1>
          <xm:sqref>JFK393221:JFK393244</xm:sqref>
        </x14:dataValidation>
        <x14:dataValidation type="list" allowBlank="1" showInputMessage="1" showErrorMessage="1" xr:uid="{00000000-0002-0000-0300-00007C090000}">
          <x14:formula1>
            <xm:f>項目!C17:$JOY$393217</xm:f>
          </x14:formula1>
          <xm:sqref>JPG393221:JPG393244</xm:sqref>
        </x14:dataValidation>
        <x14:dataValidation type="list" allowBlank="1" showInputMessage="1" showErrorMessage="1" xr:uid="{00000000-0002-0000-0300-00007D090000}">
          <x14:formula1>
            <xm:f>項目!C17:$JYU$393217</xm:f>
          </x14:formula1>
          <xm:sqref>JZC393221:JZC393244</xm:sqref>
        </x14:dataValidation>
        <x14:dataValidation type="list" allowBlank="1" showInputMessage="1" showErrorMessage="1" xr:uid="{00000000-0002-0000-0300-00007E090000}">
          <x14:formula1>
            <xm:f>項目!C17:$KIQ$393217</xm:f>
          </x14:formula1>
          <xm:sqref>KIY393221:KIY393244</xm:sqref>
        </x14:dataValidation>
        <x14:dataValidation type="list" allowBlank="1" showInputMessage="1" showErrorMessage="1" xr:uid="{00000000-0002-0000-0300-00007F090000}">
          <x14:formula1>
            <xm:f>項目!C17:$KSM$393217</xm:f>
          </x14:formula1>
          <xm:sqref>KSU393221:KSU393244</xm:sqref>
        </x14:dataValidation>
        <x14:dataValidation type="list" allowBlank="1" showInputMessage="1" showErrorMessage="1" xr:uid="{00000000-0002-0000-0300-000080090000}">
          <x14:formula1>
            <xm:f>項目!C17:$LCI$393217</xm:f>
          </x14:formula1>
          <xm:sqref>LCQ393221:LCQ393244</xm:sqref>
        </x14:dataValidation>
        <x14:dataValidation type="list" allowBlank="1" showInputMessage="1" showErrorMessage="1" xr:uid="{00000000-0002-0000-0300-000081090000}">
          <x14:formula1>
            <xm:f>項目!C17:$LME$393217</xm:f>
          </x14:formula1>
          <xm:sqref>LMM393221:LMM393244</xm:sqref>
        </x14:dataValidation>
        <x14:dataValidation type="list" allowBlank="1" showInputMessage="1" showErrorMessage="1" xr:uid="{00000000-0002-0000-0300-000082090000}">
          <x14:formula1>
            <xm:f>項目!C17:$LWA$393217</xm:f>
          </x14:formula1>
          <xm:sqref>LWI393221:LWI393244</xm:sqref>
        </x14:dataValidation>
        <x14:dataValidation type="list" allowBlank="1" showInputMessage="1" showErrorMessage="1" xr:uid="{00000000-0002-0000-0300-000083090000}">
          <x14:formula1>
            <xm:f>項目!C17:$MFW$393217</xm:f>
          </x14:formula1>
          <xm:sqref>MGE393221:MGE393244</xm:sqref>
        </x14:dataValidation>
        <x14:dataValidation type="list" allowBlank="1" showInputMessage="1" showErrorMessage="1" xr:uid="{00000000-0002-0000-0300-000084090000}">
          <x14:formula1>
            <xm:f>項目!C17:$MPS$393217</xm:f>
          </x14:formula1>
          <xm:sqref>MQA393221:MQA393244</xm:sqref>
        </x14:dataValidation>
        <x14:dataValidation type="list" allowBlank="1" showInputMessage="1" showErrorMessage="1" xr:uid="{00000000-0002-0000-0300-000085090000}">
          <x14:formula1>
            <xm:f>項目!C17:$MZO$393217</xm:f>
          </x14:formula1>
          <xm:sqref>MZW393221:MZW393244</xm:sqref>
        </x14:dataValidation>
        <x14:dataValidation type="list" allowBlank="1" showInputMessage="1" showErrorMessage="1" xr:uid="{00000000-0002-0000-0300-000086090000}">
          <x14:formula1>
            <xm:f>項目!C17:$NJK$393217</xm:f>
          </x14:formula1>
          <xm:sqref>NJS393221:NJS393244</xm:sqref>
        </x14:dataValidation>
        <x14:dataValidation type="list" allowBlank="1" showInputMessage="1" showErrorMessage="1" xr:uid="{00000000-0002-0000-0300-000087090000}">
          <x14:formula1>
            <xm:f>項目!C17:$NTG$393217</xm:f>
          </x14:formula1>
          <xm:sqref>NTO393221:NTO393244</xm:sqref>
        </x14:dataValidation>
        <x14:dataValidation type="list" allowBlank="1" showInputMessage="1" showErrorMessage="1" xr:uid="{00000000-0002-0000-0300-000088090000}">
          <x14:formula1>
            <xm:f>項目!C17:$ODC$393217</xm:f>
          </x14:formula1>
          <xm:sqref>ODK393221:ODK393244</xm:sqref>
        </x14:dataValidation>
        <x14:dataValidation type="list" allowBlank="1" showInputMessage="1" showErrorMessage="1" xr:uid="{00000000-0002-0000-0300-000089090000}">
          <x14:formula1>
            <xm:f>項目!C17:$OMY$393217</xm:f>
          </x14:formula1>
          <xm:sqref>ONG393221:ONG393244</xm:sqref>
        </x14:dataValidation>
        <x14:dataValidation type="list" allowBlank="1" showInputMessage="1" showErrorMessage="1" xr:uid="{00000000-0002-0000-0300-00008A090000}">
          <x14:formula1>
            <xm:f>項目!C17:$OWU$393217</xm:f>
          </x14:formula1>
          <xm:sqref>OXC393221:OXC393244</xm:sqref>
        </x14:dataValidation>
        <x14:dataValidation type="list" allowBlank="1" showInputMessage="1" showErrorMessage="1" xr:uid="{00000000-0002-0000-0300-00008B090000}">
          <x14:formula1>
            <xm:f>項目!C17:$PGQ$393217</xm:f>
          </x14:formula1>
          <xm:sqref>PGY393221:PGY393244</xm:sqref>
        </x14:dataValidation>
        <x14:dataValidation type="list" allowBlank="1" showInputMessage="1" showErrorMessage="1" xr:uid="{00000000-0002-0000-0300-00008C090000}">
          <x14:formula1>
            <xm:f>項目!C17:$PQM$393217</xm:f>
          </x14:formula1>
          <xm:sqref>PQU393221:PQU393244</xm:sqref>
        </x14:dataValidation>
        <x14:dataValidation type="list" allowBlank="1" showInputMessage="1" showErrorMessage="1" xr:uid="{00000000-0002-0000-0300-00008D090000}">
          <x14:formula1>
            <xm:f>項目!C17:$QAI$393217</xm:f>
          </x14:formula1>
          <xm:sqref>QAQ393221:QAQ393244</xm:sqref>
        </x14:dataValidation>
        <x14:dataValidation type="list" allowBlank="1" showInputMessage="1" showErrorMessage="1" xr:uid="{00000000-0002-0000-0300-00008E090000}">
          <x14:formula1>
            <xm:f>項目!C17:$QKE$393217</xm:f>
          </x14:formula1>
          <xm:sqref>QKM393221:QKM393244</xm:sqref>
        </x14:dataValidation>
        <x14:dataValidation type="list" allowBlank="1" showInputMessage="1" showErrorMessage="1" xr:uid="{00000000-0002-0000-0300-00008F090000}">
          <x14:formula1>
            <xm:f>項目!C17:$QUA$393217</xm:f>
          </x14:formula1>
          <xm:sqref>QUI393221:QUI393244</xm:sqref>
        </x14:dataValidation>
        <x14:dataValidation type="list" allowBlank="1" showInputMessage="1" showErrorMessage="1" xr:uid="{00000000-0002-0000-0300-000090090000}">
          <x14:formula1>
            <xm:f>項目!C17:$RDW$393217</xm:f>
          </x14:formula1>
          <xm:sqref>REE393221:REE393244</xm:sqref>
        </x14:dataValidation>
        <x14:dataValidation type="list" allowBlank="1" showInputMessage="1" showErrorMessage="1" xr:uid="{00000000-0002-0000-0300-000091090000}">
          <x14:formula1>
            <xm:f>項目!C17:$RNS$393217</xm:f>
          </x14:formula1>
          <xm:sqref>ROA393221:ROA393244</xm:sqref>
        </x14:dataValidation>
        <x14:dataValidation type="list" allowBlank="1" showInputMessage="1" showErrorMessage="1" xr:uid="{00000000-0002-0000-0300-000092090000}">
          <x14:formula1>
            <xm:f>項目!C17:$RXO$393217</xm:f>
          </x14:formula1>
          <xm:sqref>RXW393221:RXW393244</xm:sqref>
        </x14:dataValidation>
        <x14:dataValidation type="list" allowBlank="1" showInputMessage="1" showErrorMessage="1" xr:uid="{00000000-0002-0000-0300-000093090000}">
          <x14:formula1>
            <xm:f>項目!C17:$SHK$393217</xm:f>
          </x14:formula1>
          <xm:sqref>SHS393221:SHS393244</xm:sqref>
        </x14:dataValidation>
        <x14:dataValidation type="list" allowBlank="1" showInputMessage="1" showErrorMessage="1" xr:uid="{00000000-0002-0000-0300-000094090000}">
          <x14:formula1>
            <xm:f>項目!C17:$SRG$393217</xm:f>
          </x14:formula1>
          <xm:sqref>SRO393221:SRO393244</xm:sqref>
        </x14:dataValidation>
        <x14:dataValidation type="list" allowBlank="1" showInputMessage="1" showErrorMessage="1" xr:uid="{00000000-0002-0000-0300-000095090000}">
          <x14:formula1>
            <xm:f>項目!C17:$TBC$393217</xm:f>
          </x14:formula1>
          <xm:sqref>TBK393221:TBK393244</xm:sqref>
        </x14:dataValidation>
        <x14:dataValidation type="list" allowBlank="1" showInputMessage="1" showErrorMessage="1" xr:uid="{00000000-0002-0000-0300-000096090000}">
          <x14:formula1>
            <xm:f>項目!C17:$TKY$393217</xm:f>
          </x14:formula1>
          <xm:sqref>TLG393221:TLG393244</xm:sqref>
        </x14:dataValidation>
        <x14:dataValidation type="list" allowBlank="1" showInputMessage="1" showErrorMessage="1" xr:uid="{00000000-0002-0000-0300-000097090000}">
          <x14:formula1>
            <xm:f>項目!C17:$TUU$393217</xm:f>
          </x14:formula1>
          <xm:sqref>TVC393221:TVC393244</xm:sqref>
        </x14:dataValidation>
        <x14:dataValidation type="list" allowBlank="1" showInputMessage="1" showErrorMessage="1" xr:uid="{00000000-0002-0000-0300-000098090000}">
          <x14:formula1>
            <xm:f>項目!C17:$UEQ$393217</xm:f>
          </x14:formula1>
          <xm:sqref>UEY393221:UEY393244</xm:sqref>
        </x14:dataValidation>
        <x14:dataValidation type="list" allowBlank="1" showInputMessage="1" showErrorMessage="1" xr:uid="{00000000-0002-0000-0300-000099090000}">
          <x14:formula1>
            <xm:f>項目!C17:$UOM$393217</xm:f>
          </x14:formula1>
          <xm:sqref>UOU393221:UOU393244</xm:sqref>
        </x14:dataValidation>
        <x14:dataValidation type="list" allowBlank="1" showInputMessage="1" showErrorMessage="1" xr:uid="{00000000-0002-0000-0300-00009A090000}">
          <x14:formula1>
            <xm:f>項目!C17:$UYI$393217</xm:f>
          </x14:formula1>
          <xm:sqref>UYQ393221:UYQ393244</xm:sqref>
        </x14:dataValidation>
        <x14:dataValidation type="list" allowBlank="1" showInputMessage="1" showErrorMessage="1" xr:uid="{00000000-0002-0000-0300-00009B090000}">
          <x14:formula1>
            <xm:f>項目!C17:$VIE$393217</xm:f>
          </x14:formula1>
          <xm:sqref>VIM393221:VIM393244</xm:sqref>
        </x14:dataValidation>
        <x14:dataValidation type="list" allowBlank="1" showInputMessage="1" showErrorMessage="1" xr:uid="{00000000-0002-0000-0300-00009C090000}">
          <x14:formula1>
            <xm:f>項目!C17:$VSA$393217</xm:f>
          </x14:formula1>
          <xm:sqref>VSI393221:VSI393244</xm:sqref>
        </x14:dataValidation>
        <x14:dataValidation type="list" allowBlank="1" showInputMessage="1" showErrorMessage="1" xr:uid="{00000000-0002-0000-0300-00009D090000}">
          <x14:formula1>
            <xm:f>項目!C17:$WBW$393217</xm:f>
          </x14:formula1>
          <xm:sqref>WCE393221:WCE393244</xm:sqref>
        </x14:dataValidation>
        <x14:dataValidation type="list" allowBlank="1" showInputMessage="1" showErrorMessage="1" xr:uid="{00000000-0002-0000-0300-00009E090000}">
          <x14:formula1>
            <xm:f>項目!C17:$WLS$393217</xm:f>
          </x14:formula1>
          <xm:sqref>WMA393221:WMA393244</xm:sqref>
        </x14:dataValidation>
        <x14:dataValidation type="list" allowBlank="1" showInputMessage="1" showErrorMessage="1" xr:uid="{00000000-0002-0000-0300-00009F090000}">
          <x14:formula1>
            <xm:f>項目!C17:$WVO$393217</xm:f>
          </x14:formula1>
          <xm:sqref>WVW393221:WVW393244</xm:sqref>
        </x14:dataValidation>
        <x14:dataValidation type="list" allowBlank="1" showInputMessage="1" showErrorMessage="1" xr:uid="{00000000-0002-0000-0300-0000A0090000}">
          <x14:formula1>
            <xm:f>項目!C17:$J$458753</xm:f>
          </x14:formula1>
          <xm:sqref>O458757:O458780</xm:sqref>
        </x14:dataValidation>
        <x14:dataValidation type="list" allowBlank="1" showInputMessage="1" showErrorMessage="1" xr:uid="{00000000-0002-0000-0300-0000A1090000}">
          <x14:formula1>
            <xm:f>項目!C17:$JC$458753</xm:f>
          </x14:formula1>
          <xm:sqref>JK458757:JK458780</xm:sqref>
        </x14:dataValidation>
        <x14:dataValidation type="list" allowBlank="1" showInputMessage="1" showErrorMessage="1" xr:uid="{00000000-0002-0000-0300-0000A2090000}">
          <x14:formula1>
            <xm:f>項目!C17:$SY$458753</xm:f>
          </x14:formula1>
          <xm:sqref>TG458757:TG458780</xm:sqref>
        </x14:dataValidation>
        <x14:dataValidation type="list" allowBlank="1" showInputMessage="1" showErrorMessage="1" xr:uid="{00000000-0002-0000-0300-0000A3090000}">
          <x14:formula1>
            <xm:f>項目!C17:$ACU$458753</xm:f>
          </x14:formula1>
          <xm:sqref>ADC458757:ADC458780</xm:sqref>
        </x14:dataValidation>
        <x14:dataValidation type="list" allowBlank="1" showInputMessage="1" showErrorMessage="1" xr:uid="{00000000-0002-0000-0300-0000A4090000}">
          <x14:formula1>
            <xm:f>項目!C17:$AMQ$458753</xm:f>
          </x14:formula1>
          <xm:sqref>AMY458757:AMY458780</xm:sqref>
        </x14:dataValidation>
        <x14:dataValidation type="list" allowBlank="1" showInputMessage="1" showErrorMessage="1" xr:uid="{00000000-0002-0000-0300-0000A5090000}">
          <x14:formula1>
            <xm:f>項目!C17:$AWM$458753</xm:f>
          </x14:formula1>
          <xm:sqref>AWU458757:AWU458780</xm:sqref>
        </x14:dataValidation>
        <x14:dataValidation type="list" allowBlank="1" showInputMessage="1" showErrorMessage="1" xr:uid="{00000000-0002-0000-0300-0000A6090000}">
          <x14:formula1>
            <xm:f>項目!C17:$BGI$458753</xm:f>
          </x14:formula1>
          <xm:sqref>BGQ458757:BGQ458780</xm:sqref>
        </x14:dataValidation>
        <x14:dataValidation type="list" allowBlank="1" showInputMessage="1" showErrorMessage="1" xr:uid="{00000000-0002-0000-0300-0000A7090000}">
          <x14:formula1>
            <xm:f>項目!C17:$BQE$458753</xm:f>
          </x14:formula1>
          <xm:sqref>BQM458757:BQM458780</xm:sqref>
        </x14:dataValidation>
        <x14:dataValidation type="list" allowBlank="1" showInputMessage="1" showErrorMessage="1" xr:uid="{00000000-0002-0000-0300-0000A8090000}">
          <x14:formula1>
            <xm:f>項目!C17:$CAA$458753</xm:f>
          </x14:formula1>
          <xm:sqref>CAI458757:CAI458780</xm:sqref>
        </x14:dataValidation>
        <x14:dataValidation type="list" allowBlank="1" showInputMessage="1" showErrorMessage="1" xr:uid="{00000000-0002-0000-0300-0000A9090000}">
          <x14:formula1>
            <xm:f>項目!C17:$CJW$458753</xm:f>
          </x14:formula1>
          <xm:sqref>CKE458757:CKE458780</xm:sqref>
        </x14:dataValidation>
        <x14:dataValidation type="list" allowBlank="1" showInputMessage="1" showErrorMessage="1" xr:uid="{00000000-0002-0000-0300-0000AA090000}">
          <x14:formula1>
            <xm:f>項目!C17:$CTS$458753</xm:f>
          </x14:formula1>
          <xm:sqref>CUA458757:CUA458780</xm:sqref>
        </x14:dataValidation>
        <x14:dataValidation type="list" allowBlank="1" showInputMessage="1" showErrorMessage="1" xr:uid="{00000000-0002-0000-0300-0000AB090000}">
          <x14:formula1>
            <xm:f>項目!C17:$DDO$458753</xm:f>
          </x14:formula1>
          <xm:sqref>DDW458757:DDW458780</xm:sqref>
        </x14:dataValidation>
        <x14:dataValidation type="list" allowBlank="1" showInputMessage="1" showErrorMessage="1" xr:uid="{00000000-0002-0000-0300-0000AC090000}">
          <x14:formula1>
            <xm:f>項目!C17:$DNK$458753</xm:f>
          </x14:formula1>
          <xm:sqref>DNS458757:DNS458780</xm:sqref>
        </x14:dataValidation>
        <x14:dataValidation type="list" allowBlank="1" showInputMessage="1" showErrorMessage="1" xr:uid="{00000000-0002-0000-0300-0000AD090000}">
          <x14:formula1>
            <xm:f>項目!C17:$DXG$458753</xm:f>
          </x14:formula1>
          <xm:sqref>DXO458757:DXO458780</xm:sqref>
        </x14:dataValidation>
        <x14:dataValidation type="list" allowBlank="1" showInputMessage="1" showErrorMessage="1" xr:uid="{00000000-0002-0000-0300-0000AE090000}">
          <x14:formula1>
            <xm:f>項目!C17:$EHC$458753</xm:f>
          </x14:formula1>
          <xm:sqref>EHK458757:EHK458780</xm:sqref>
        </x14:dataValidation>
        <x14:dataValidation type="list" allowBlank="1" showInputMessage="1" showErrorMessage="1" xr:uid="{00000000-0002-0000-0300-0000AF090000}">
          <x14:formula1>
            <xm:f>項目!C17:$EQY$458753</xm:f>
          </x14:formula1>
          <xm:sqref>ERG458757:ERG458780</xm:sqref>
        </x14:dataValidation>
        <x14:dataValidation type="list" allowBlank="1" showInputMessage="1" showErrorMessage="1" xr:uid="{00000000-0002-0000-0300-0000B0090000}">
          <x14:formula1>
            <xm:f>項目!C17:$FAU$458753</xm:f>
          </x14:formula1>
          <xm:sqref>FBC458757:FBC458780</xm:sqref>
        </x14:dataValidation>
        <x14:dataValidation type="list" allowBlank="1" showInputMessage="1" showErrorMessage="1" xr:uid="{00000000-0002-0000-0300-0000B1090000}">
          <x14:formula1>
            <xm:f>項目!C17:$FKQ$458753</xm:f>
          </x14:formula1>
          <xm:sqref>FKY458757:FKY458780</xm:sqref>
        </x14:dataValidation>
        <x14:dataValidation type="list" allowBlank="1" showInputMessage="1" showErrorMessage="1" xr:uid="{00000000-0002-0000-0300-0000B2090000}">
          <x14:formula1>
            <xm:f>項目!C17:$FUM$458753</xm:f>
          </x14:formula1>
          <xm:sqref>FUU458757:FUU458780</xm:sqref>
        </x14:dataValidation>
        <x14:dataValidation type="list" allowBlank="1" showInputMessage="1" showErrorMessage="1" xr:uid="{00000000-0002-0000-0300-0000B3090000}">
          <x14:formula1>
            <xm:f>項目!C17:$GEI$458753</xm:f>
          </x14:formula1>
          <xm:sqref>GEQ458757:GEQ458780</xm:sqref>
        </x14:dataValidation>
        <x14:dataValidation type="list" allowBlank="1" showInputMessage="1" showErrorMessage="1" xr:uid="{00000000-0002-0000-0300-0000B4090000}">
          <x14:formula1>
            <xm:f>項目!C17:$GOE$458753</xm:f>
          </x14:formula1>
          <xm:sqref>GOM458757:GOM458780</xm:sqref>
        </x14:dataValidation>
        <x14:dataValidation type="list" allowBlank="1" showInputMessage="1" showErrorMessage="1" xr:uid="{00000000-0002-0000-0300-0000B5090000}">
          <x14:formula1>
            <xm:f>項目!C17:$GYA$458753</xm:f>
          </x14:formula1>
          <xm:sqref>GYI458757:GYI458780</xm:sqref>
        </x14:dataValidation>
        <x14:dataValidation type="list" allowBlank="1" showInputMessage="1" showErrorMessage="1" xr:uid="{00000000-0002-0000-0300-0000B6090000}">
          <x14:formula1>
            <xm:f>項目!C17:$HHW$458753</xm:f>
          </x14:formula1>
          <xm:sqref>HIE458757:HIE458780</xm:sqref>
        </x14:dataValidation>
        <x14:dataValidation type="list" allowBlank="1" showInputMessage="1" showErrorMessage="1" xr:uid="{00000000-0002-0000-0300-0000B7090000}">
          <x14:formula1>
            <xm:f>項目!C17:$HRS$458753</xm:f>
          </x14:formula1>
          <xm:sqref>HSA458757:HSA458780</xm:sqref>
        </x14:dataValidation>
        <x14:dataValidation type="list" allowBlank="1" showInputMessage="1" showErrorMessage="1" xr:uid="{00000000-0002-0000-0300-0000B8090000}">
          <x14:formula1>
            <xm:f>項目!C17:$IBO$458753</xm:f>
          </x14:formula1>
          <xm:sqref>IBW458757:IBW458780</xm:sqref>
        </x14:dataValidation>
        <x14:dataValidation type="list" allowBlank="1" showInputMessage="1" showErrorMessage="1" xr:uid="{00000000-0002-0000-0300-0000B9090000}">
          <x14:formula1>
            <xm:f>項目!C17:$ILK$458753</xm:f>
          </x14:formula1>
          <xm:sqref>ILS458757:ILS458780</xm:sqref>
        </x14:dataValidation>
        <x14:dataValidation type="list" allowBlank="1" showInputMessage="1" showErrorMessage="1" xr:uid="{00000000-0002-0000-0300-0000BA090000}">
          <x14:formula1>
            <xm:f>項目!C17:$IVG$458753</xm:f>
          </x14:formula1>
          <xm:sqref>IVO458757:IVO458780</xm:sqref>
        </x14:dataValidation>
        <x14:dataValidation type="list" allowBlank="1" showInputMessage="1" showErrorMessage="1" xr:uid="{00000000-0002-0000-0300-0000BB090000}">
          <x14:formula1>
            <xm:f>項目!C17:$JFC$458753</xm:f>
          </x14:formula1>
          <xm:sqref>JFK458757:JFK458780</xm:sqref>
        </x14:dataValidation>
        <x14:dataValidation type="list" allowBlank="1" showInputMessage="1" showErrorMessage="1" xr:uid="{00000000-0002-0000-0300-0000BC090000}">
          <x14:formula1>
            <xm:f>項目!C17:$JOY$458753</xm:f>
          </x14:formula1>
          <xm:sqref>JPG458757:JPG458780</xm:sqref>
        </x14:dataValidation>
        <x14:dataValidation type="list" allowBlank="1" showInputMessage="1" showErrorMessage="1" xr:uid="{00000000-0002-0000-0300-0000BD090000}">
          <x14:formula1>
            <xm:f>項目!C17:$JYU$458753</xm:f>
          </x14:formula1>
          <xm:sqref>JZC458757:JZC458780</xm:sqref>
        </x14:dataValidation>
        <x14:dataValidation type="list" allowBlank="1" showInputMessage="1" showErrorMessage="1" xr:uid="{00000000-0002-0000-0300-0000BE090000}">
          <x14:formula1>
            <xm:f>項目!C17:$KIQ$458753</xm:f>
          </x14:formula1>
          <xm:sqref>KIY458757:KIY458780</xm:sqref>
        </x14:dataValidation>
        <x14:dataValidation type="list" allowBlank="1" showInputMessage="1" showErrorMessage="1" xr:uid="{00000000-0002-0000-0300-0000BF090000}">
          <x14:formula1>
            <xm:f>項目!C17:$KSM$458753</xm:f>
          </x14:formula1>
          <xm:sqref>KSU458757:KSU458780</xm:sqref>
        </x14:dataValidation>
        <x14:dataValidation type="list" allowBlank="1" showInputMessage="1" showErrorMessage="1" xr:uid="{00000000-0002-0000-0300-0000C0090000}">
          <x14:formula1>
            <xm:f>項目!C17:$LCI$458753</xm:f>
          </x14:formula1>
          <xm:sqref>LCQ458757:LCQ458780</xm:sqref>
        </x14:dataValidation>
        <x14:dataValidation type="list" allowBlank="1" showInputMessage="1" showErrorMessage="1" xr:uid="{00000000-0002-0000-0300-0000C1090000}">
          <x14:formula1>
            <xm:f>項目!C17:$LME$458753</xm:f>
          </x14:formula1>
          <xm:sqref>LMM458757:LMM458780</xm:sqref>
        </x14:dataValidation>
        <x14:dataValidation type="list" allowBlank="1" showInputMessage="1" showErrorMessage="1" xr:uid="{00000000-0002-0000-0300-0000C2090000}">
          <x14:formula1>
            <xm:f>項目!C17:$LWA$458753</xm:f>
          </x14:formula1>
          <xm:sqref>LWI458757:LWI458780</xm:sqref>
        </x14:dataValidation>
        <x14:dataValidation type="list" allowBlank="1" showInputMessage="1" showErrorMessage="1" xr:uid="{00000000-0002-0000-0300-0000C3090000}">
          <x14:formula1>
            <xm:f>項目!C17:$MFW$458753</xm:f>
          </x14:formula1>
          <xm:sqref>MGE458757:MGE458780</xm:sqref>
        </x14:dataValidation>
        <x14:dataValidation type="list" allowBlank="1" showInputMessage="1" showErrorMessage="1" xr:uid="{00000000-0002-0000-0300-0000C4090000}">
          <x14:formula1>
            <xm:f>項目!C17:$MPS$458753</xm:f>
          </x14:formula1>
          <xm:sqref>MQA458757:MQA458780</xm:sqref>
        </x14:dataValidation>
        <x14:dataValidation type="list" allowBlank="1" showInputMessage="1" showErrorMessage="1" xr:uid="{00000000-0002-0000-0300-0000C5090000}">
          <x14:formula1>
            <xm:f>項目!C17:$MZO$458753</xm:f>
          </x14:formula1>
          <xm:sqref>MZW458757:MZW458780</xm:sqref>
        </x14:dataValidation>
        <x14:dataValidation type="list" allowBlank="1" showInputMessage="1" showErrorMessage="1" xr:uid="{00000000-0002-0000-0300-0000C6090000}">
          <x14:formula1>
            <xm:f>項目!C17:$NJK$458753</xm:f>
          </x14:formula1>
          <xm:sqref>NJS458757:NJS458780</xm:sqref>
        </x14:dataValidation>
        <x14:dataValidation type="list" allowBlank="1" showInputMessage="1" showErrorMessage="1" xr:uid="{00000000-0002-0000-0300-0000C7090000}">
          <x14:formula1>
            <xm:f>項目!C17:$NTG$458753</xm:f>
          </x14:formula1>
          <xm:sqref>NTO458757:NTO458780</xm:sqref>
        </x14:dataValidation>
        <x14:dataValidation type="list" allowBlank="1" showInputMessage="1" showErrorMessage="1" xr:uid="{00000000-0002-0000-0300-0000C8090000}">
          <x14:formula1>
            <xm:f>項目!C17:$ODC$458753</xm:f>
          </x14:formula1>
          <xm:sqref>ODK458757:ODK458780</xm:sqref>
        </x14:dataValidation>
        <x14:dataValidation type="list" allowBlank="1" showInputMessage="1" showErrorMessage="1" xr:uid="{00000000-0002-0000-0300-0000C9090000}">
          <x14:formula1>
            <xm:f>項目!C17:$OMY$458753</xm:f>
          </x14:formula1>
          <xm:sqref>ONG458757:ONG458780</xm:sqref>
        </x14:dataValidation>
        <x14:dataValidation type="list" allowBlank="1" showInputMessage="1" showErrorMessage="1" xr:uid="{00000000-0002-0000-0300-0000CA090000}">
          <x14:formula1>
            <xm:f>項目!C17:$OWU$458753</xm:f>
          </x14:formula1>
          <xm:sqref>OXC458757:OXC458780</xm:sqref>
        </x14:dataValidation>
        <x14:dataValidation type="list" allowBlank="1" showInputMessage="1" showErrorMessage="1" xr:uid="{00000000-0002-0000-0300-0000CB090000}">
          <x14:formula1>
            <xm:f>項目!C17:$PGQ$458753</xm:f>
          </x14:formula1>
          <xm:sqref>PGY458757:PGY458780</xm:sqref>
        </x14:dataValidation>
        <x14:dataValidation type="list" allowBlank="1" showInputMessage="1" showErrorMessage="1" xr:uid="{00000000-0002-0000-0300-0000CC090000}">
          <x14:formula1>
            <xm:f>項目!C17:$PQM$458753</xm:f>
          </x14:formula1>
          <xm:sqref>PQU458757:PQU458780</xm:sqref>
        </x14:dataValidation>
        <x14:dataValidation type="list" allowBlank="1" showInputMessage="1" showErrorMessage="1" xr:uid="{00000000-0002-0000-0300-0000CD090000}">
          <x14:formula1>
            <xm:f>項目!C17:$QAI$458753</xm:f>
          </x14:formula1>
          <xm:sqref>QAQ458757:QAQ458780</xm:sqref>
        </x14:dataValidation>
        <x14:dataValidation type="list" allowBlank="1" showInputMessage="1" showErrorMessage="1" xr:uid="{00000000-0002-0000-0300-0000CE090000}">
          <x14:formula1>
            <xm:f>項目!C17:$QKE$458753</xm:f>
          </x14:formula1>
          <xm:sqref>QKM458757:QKM458780</xm:sqref>
        </x14:dataValidation>
        <x14:dataValidation type="list" allowBlank="1" showInputMessage="1" showErrorMessage="1" xr:uid="{00000000-0002-0000-0300-0000CF090000}">
          <x14:formula1>
            <xm:f>項目!C17:$QUA$458753</xm:f>
          </x14:formula1>
          <xm:sqref>QUI458757:QUI458780</xm:sqref>
        </x14:dataValidation>
        <x14:dataValidation type="list" allowBlank="1" showInputMessage="1" showErrorMessage="1" xr:uid="{00000000-0002-0000-0300-0000D0090000}">
          <x14:formula1>
            <xm:f>項目!C17:$RDW$458753</xm:f>
          </x14:formula1>
          <xm:sqref>REE458757:REE458780</xm:sqref>
        </x14:dataValidation>
        <x14:dataValidation type="list" allowBlank="1" showInputMessage="1" showErrorMessage="1" xr:uid="{00000000-0002-0000-0300-0000D1090000}">
          <x14:formula1>
            <xm:f>項目!C17:$RNS$458753</xm:f>
          </x14:formula1>
          <xm:sqref>ROA458757:ROA458780</xm:sqref>
        </x14:dataValidation>
        <x14:dataValidation type="list" allowBlank="1" showInputMessage="1" showErrorMessage="1" xr:uid="{00000000-0002-0000-0300-0000D2090000}">
          <x14:formula1>
            <xm:f>項目!C17:$RXO$458753</xm:f>
          </x14:formula1>
          <xm:sqref>RXW458757:RXW458780</xm:sqref>
        </x14:dataValidation>
        <x14:dataValidation type="list" allowBlank="1" showInputMessage="1" showErrorMessage="1" xr:uid="{00000000-0002-0000-0300-0000D3090000}">
          <x14:formula1>
            <xm:f>項目!C17:$SHK$458753</xm:f>
          </x14:formula1>
          <xm:sqref>SHS458757:SHS458780</xm:sqref>
        </x14:dataValidation>
        <x14:dataValidation type="list" allowBlank="1" showInputMessage="1" showErrorMessage="1" xr:uid="{00000000-0002-0000-0300-0000D4090000}">
          <x14:formula1>
            <xm:f>項目!C17:$SRG$458753</xm:f>
          </x14:formula1>
          <xm:sqref>SRO458757:SRO458780</xm:sqref>
        </x14:dataValidation>
        <x14:dataValidation type="list" allowBlank="1" showInputMessage="1" showErrorMessage="1" xr:uid="{00000000-0002-0000-0300-0000D5090000}">
          <x14:formula1>
            <xm:f>項目!C17:$TBC$458753</xm:f>
          </x14:formula1>
          <xm:sqref>TBK458757:TBK458780</xm:sqref>
        </x14:dataValidation>
        <x14:dataValidation type="list" allowBlank="1" showInputMessage="1" showErrorMessage="1" xr:uid="{00000000-0002-0000-0300-0000D6090000}">
          <x14:formula1>
            <xm:f>項目!C17:$TKY$458753</xm:f>
          </x14:formula1>
          <xm:sqref>TLG458757:TLG458780</xm:sqref>
        </x14:dataValidation>
        <x14:dataValidation type="list" allowBlank="1" showInputMessage="1" showErrorMessage="1" xr:uid="{00000000-0002-0000-0300-0000D7090000}">
          <x14:formula1>
            <xm:f>項目!C17:$TUU$458753</xm:f>
          </x14:formula1>
          <xm:sqref>TVC458757:TVC458780</xm:sqref>
        </x14:dataValidation>
        <x14:dataValidation type="list" allowBlank="1" showInputMessage="1" showErrorMessage="1" xr:uid="{00000000-0002-0000-0300-0000D8090000}">
          <x14:formula1>
            <xm:f>項目!C17:$UEQ$458753</xm:f>
          </x14:formula1>
          <xm:sqref>UEY458757:UEY458780</xm:sqref>
        </x14:dataValidation>
        <x14:dataValidation type="list" allowBlank="1" showInputMessage="1" showErrorMessage="1" xr:uid="{00000000-0002-0000-0300-0000D9090000}">
          <x14:formula1>
            <xm:f>項目!C17:$UOM$458753</xm:f>
          </x14:formula1>
          <xm:sqref>UOU458757:UOU458780</xm:sqref>
        </x14:dataValidation>
        <x14:dataValidation type="list" allowBlank="1" showInputMessage="1" showErrorMessage="1" xr:uid="{00000000-0002-0000-0300-0000DA090000}">
          <x14:formula1>
            <xm:f>項目!C17:$UYI$458753</xm:f>
          </x14:formula1>
          <xm:sqref>UYQ458757:UYQ458780</xm:sqref>
        </x14:dataValidation>
        <x14:dataValidation type="list" allowBlank="1" showInputMessage="1" showErrorMessage="1" xr:uid="{00000000-0002-0000-0300-0000DB090000}">
          <x14:formula1>
            <xm:f>項目!C17:$VIE$458753</xm:f>
          </x14:formula1>
          <xm:sqref>VIM458757:VIM458780</xm:sqref>
        </x14:dataValidation>
        <x14:dataValidation type="list" allowBlank="1" showInputMessage="1" showErrorMessage="1" xr:uid="{00000000-0002-0000-0300-0000DC090000}">
          <x14:formula1>
            <xm:f>項目!C17:$VSA$458753</xm:f>
          </x14:formula1>
          <xm:sqref>VSI458757:VSI458780</xm:sqref>
        </x14:dataValidation>
        <x14:dataValidation type="list" allowBlank="1" showInputMessage="1" showErrorMessage="1" xr:uid="{00000000-0002-0000-0300-0000DD090000}">
          <x14:formula1>
            <xm:f>項目!C17:$WBW$458753</xm:f>
          </x14:formula1>
          <xm:sqref>WCE458757:WCE458780</xm:sqref>
        </x14:dataValidation>
        <x14:dataValidation type="list" allowBlank="1" showInputMessage="1" showErrorMessage="1" xr:uid="{00000000-0002-0000-0300-0000DE090000}">
          <x14:formula1>
            <xm:f>項目!C17:$WLS$458753</xm:f>
          </x14:formula1>
          <xm:sqref>WMA458757:WMA458780</xm:sqref>
        </x14:dataValidation>
        <x14:dataValidation type="list" allowBlank="1" showInputMessage="1" showErrorMessage="1" xr:uid="{00000000-0002-0000-0300-0000DF090000}">
          <x14:formula1>
            <xm:f>項目!C17:$WVO$458753</xm:f>
          </x14:formula1>
          <xm:sqref>WVW458757:WVW458780</xm:sqref>
        </x14:dataValidation>
        <x14:dataValidation type="list" allowBlank="1" showInputMessage="1" showErrorMessage="1" xr:uid="{00000000-0002-0000-0300-0000E0090000}">
          <x14:formula1>
            <xm:f>項目!C17:$J$524289</xm:f>
          </x14:formula1>
          <xm:sqref>O524293:O524316</xm:sqref>
        </x14:dataValidation>
        <x14:dataValidation type="list" allowBlank="1" showInputMessage="1" showErrorMessage="1" xr:uid="{00000000-0002-0000-0300-0000E1090000}">
          <x14:formula1>
            <xm:f>項目!C17:$JC$524289</xm:f>
          </x14:formula1>
          <xm:sqref>JK524293:JK524316</xm:sqref>
        </x14:dataValidation>
        <x14:dataValidation type="list" allowBlank="1" showInputMessage="1" showErrorMessage="1" xr:uid="{00000000-0002-0000-0300-0000E2090000}">
          <x14:formula1>
            <xm:f>項目!C17:$SY$524289</xm:f>
          </x14:formula1>
          <xm:sqref>TG524293:TG524316</xm:sqref>
        </x14:dataValidation>
        <x14:dataValidation type="list" allowBlank="1" showInputMessage="1" showErrorMessage="1" xr:uid="{00000000-0002-0000-0300-0000E3090000}">
          <x14:formula1>
            <xm:f>項目!C17:$ACU$524289</xm:f>
          </x14:formula1>
          <xm:sqref>ADC524293:ADC524316</xm:sqref>
        </x14:dataValidation>
        <x14:dataValidation type="list" allowBlank="1" showInputMessage="1" showErrorMessage="1" xr:uid="{00000000-0002-0000-0300-0000E4090000}">
          <x14:formula1>
            <xm:f>項目!C17:$AMQ$524289</xm:f>
          </x14:formula1>
          <xm:sqref>AMY524293:AMY524316</xm:sqref>
        </x14:dataValidation>
        <x14:dataValidation type="list" allowBlank="1" showInputMessage="1" showErrorMessage="1" xr:uid="{00000000-0002-0000-0300-0000E5090000}">
          <x14:formula1>
            <xm:f>項目!C17:$AWM$524289</xm:f>
          </x14:formula1>
          <xm:sqref>AWU524293:AWU524316</xm:sqref>
        </x14:dataValidation>
        <x14:dataValidation type="list" allowBlank="1" showInputMessage="1" showErrorMessage="1" xr:uid="{00000000-0002-0000-0300-0000E6090000}">
          <x14:formula1>
            <xm:f>項目!C17:$BGI$524289</xm:f>
          </x14:formula1>
          <xm:sqref>BGQ524293:BGQ524316</xm:sqref>
        </x14:dataValidation>
        <x14:dataValidation type="list" allowBlank="1" showInputMessage="1" showErrorMessage="1" xr:uid="{00000000-0002-0000-0300-0000E7090000}">
          <x14:formula1>
            <xm:f>項目!C17:$BQE$524289</xm:f>
          </x14:formula1>
          <xm:sqref>BQM524293:BQM524316</xm:sqref>
        </x14:dataValidation>
        <x14:dataValidation type="list" allowBlank="1" showInputMessage="1" showErrorMessage="1" xr:uid="{00000000-0002-0000-0300-0000E8090000}">
          <x14:formula1>
            <xm:f>項目!C17:$CAA$524289</xm:f>
          </x14:formula1>
          <xm:sqref>CAI524293:CAI524316</xm:sqref>
        </x14:dataValidation>
        <x14:dataValidation type="list" allowBlank="1" showInputMessage="1" showErrorMessage="1" xr:uid="{00000000-0002-0000-0300-0000E9090000}">
          <x14:formula1>
            <xm:f>項目!C17:$CJW$524289</xm:f>
          </x14:formula1>
          <xm:sqref>CKE524293:CKE524316</xm:sqref>
        </x14:dataValidation>
        <x14:dataValidation type="list" allowBlank="1" showInputMessage="1" showErrorMessage="1" xr:uid="{00000000-0002-0000-0300-0000EA090000}">
          <x14:formula1>
            <xm:f>項目!C17:$CTS$524289</xm:f>
          </x14:formula1>
          <xm:sqref>CUA524293:CUA524316</xm:sqref>
        </x14:dataValidation>
        <x14:dataValidation type="list" allowBlank="1" showInputMessage="1" showErrorMessage="1" xr:uid="{00000000-0002-0000-0300-0000EB090000}">
          <x14:formula1>
            <xm:f>項目!C17:$DDO$524289</xm:f>
          </x14:formula1>
          <xm:sqref>DDW524293:DDW524316</xm:sqref>
        </x14:dataValidation>
        <x14:dataValidation type="list" allowBlank="1" showInputMessage="1" showErrorMessage="1" xr:uid="{00000000-0002-0000-0300-0000EC090000}">
          <x14:formula1>
            <xm:f>項目!C17:$DNK$524289</xm:f>
          </x14:formula1>
          <xm:sqref>DNS524293:DNS524316</xm:sqref>
        </x14:dataValidation>
        <x14:dataValidation type="list" allowBlank="1" showInputMessage="1" showErrorMessage="1" xr:uid="{00000000-0002-0000-0300-0000ED090000}">
          <x14:formula1>
            <xm:f>項目!C17:$DXG$524289</xm:f>
          </x14:formula1>
          <xm:sqref>DXO524293:DXO524316</xm:sqref>
        </x14:dataValidation>
        <x14:dataValidation type="list" allowBlank="1" showInputMessage="1" showErrorMessage="1" xr:uid="{00000000-0002-0000-0300-0000EE090000}">
          <x14:formula1>
            <xm:f>項目!C17:$EHC$524289</xm:f>
          </x14:formula1>
          <xm:sqref>EHK524293:EHK524316</xm:sqref>
        </x14:dataValidation>
        <x14:dataValidation type="list" allowBlank="1" showInputMessage="1" showErrorMessage="1" xr:uid="{00000000-0002-0000-0300-0000EF090000}">
          <x14:formula1>
            <xm:f>項目!C17:$EQY$524289</xm:f>
          </x14:formula1>
          <xm:sqref>ERG524293:ERG524316</xm:sqref>
        </x14:dataValidation>
        <x14:dataValidation type="list" allowBlank="1" showInputMessage="1" showErrorMessage="1" xr:uid="{00000000-0002-0000-0300-0000F0090000}">
          <x14:formula1>
            <xm:f>項目!C17:$FAU$524289</xm:f>
          </x14:formula1>
          <xm:sqref>FBC524293:FBC524316</xm:sqref>
        </x14:dataValidation>
        <x14:dataValidation type="list" allowBlank="1" showInputMessage="1" showErrorMessage="1" xr:uid="{00000000-0002-0000-0300-0000F1090000}">
          <x14:formula1>
            <xm:f>項目!C17:$FKQ$524289</xm:f>
          </x14:formula1>
          <xm:sqref>FKY524293:FKY524316</xm:sqref>
        </x14:dataValidation>
        <x14:dataValidation type="list" allowBlank="1" showInputMessage="1" showErrorMessage="1" xr:uid="{00000000-0002-0000-0300-0000F2090000}">
          <x14:formula1>
            <xm:f>項目!C17:$FUM$524289</xm:f>
          </x14:formula1>
          <xm:sqref>FUU524293:FUU524316</xm:sqref>
        </x14:dataValidation>
        <x14:dataValidation type="list" allowBlank="1" showInputMessage="1" showErrorMessage="1" xr:uid="{00000000-0002-0000-0300-0000F3090000}">
          <x14:formula1>
            <xm:f>項目!C17:$GEI$524289</xm:f>
          </x14:formula1>
          <xm:sqref>GEQ524293:GEQ524316</xm:sqref>
        </x14:dataValidation>
        <x14:dataValidation type="list" allowBlank="1" showInputMessage="1" showErrorMessage="1" xr:uid="{00000000-0002-0000-0300-0000F4090000}">
          <x14:formula1>
            <xm:f>項目!C17:$GOE$524289</xm:f>
          </x14:formula1>
          <xm:sqref>GOM524293:GOM524316</xm:sqref>
        </x14:dataValidation>
        <x14:dataValidation type="list" allowBlank="1" showInputMessage="1" showErrorMessage="1" xr:uid="{00000000-0002-0000-0300-0000F5090000}">
          <x14:formula1>
            <xm:f>項目!C17:$GYA$524289</xm:f>
          </x14:formula1>
          <xm:sqref>GYI524293:GYI524316</xm:sqref>
        </x14:dataValidation>
        <x14:dataValidation type="list" allowBlank="1" showInputMessage="1" showErrorMessage="1" xr:uid="{00000000-0002-0000-0300-0000F6090000}">
          <x14:formula1>
            <xm:f>項目!C17:$HHW$524289</xm:f>
          </x14:formula1>
          <xm:sqref>HIE524293:HIE524316</xm:sqref>
        </x14:dataValidation>
        <x14:dataValidation type="list" allowBlank="1" showInputMessage="1" showErrorMessage="1" xr:uid="{00000000-0002-0000-0300-0000F7090000}">
          <x14:formula1>
            <xm:f>項目!C17:$HRS$524289</xm:f>
          </x14:formula1>
          <xm:sqref>HSA524293:HSA524316</xm:sqref>
        </x14:dataValidation>
        <x14:dataValidation type="list" allowBlank="1" showInputMessage="1" showErrorMessage="1" xr:uid="{00000000-0002-0000-0300-0000F8090000}">
          <x14:formula1>
            <xm:f>項目!C17:$IBO$524289</xm:f>
          </x14:formula1>
          <xm:sqref>IBW524293:IBW524316</xm:sqref>
        </x14:dataValidation>
        <x14:dataValidation type="list" allowBlank="1" showInputMessage="1" showErrorMessage="1" xr:uid="{00000000-0002-0000-0300-0000F9090000}">
          <x14:formula1>
            <xm:f>項目!C17:$ILK$524289</xm:f>
          </x14:formula1>
          <xm:sqref>ILS524293:ILS524316</xm:sqref>
        </x14:dataValidation>
        <x14:dataValidation type="list" allowBlank="1" showInputMessage="1" showErrorMessage="1" xr:uid="{00000000-0002-0000-0300-0000FA090000}">
          <x14:formula1>
            <xm:f>項目!C17:$IVG$524289</xm:f>
          </x14:formula1>
          <xm:sqref>IVO524293:IVO524316</xm:sqref>
        </x14:dataValidation>
        <x14:dataValidation type="list" allowBlank="1" showInputMessage="1" showErrorMessage="1" xr:uid="{00000000-0002-0000-0300-0000FB090000}">
          <x14:formula1>
            <xm:f>項目!C17:$JFC$524289</xm:f>
          </x14:formula1>
          <xm:sqref>JFK524293:JFK524316</xm:sqref>
        </x14:dataValidation>
        <x14:dataValidation type="list" allowBlank="1" showInputMessage="1" showErrorMessage="1" xr:uid="{00000000-0002-0000-0300-0000FC090000}">
          <x14:formula1>
            <xm:f>項目!C17:$JOY$524289</xm:f>
          </x14:formula1>
          <xm:sqref>JPG524293:JPG524316</xm:sqref>
        </x14:dataValidation>
        <x14:dataValidation type="list" allowBlank="1" showInputMessage="1" showErrorMessage="1" xr:uid="{00000000-0002-0000-0300-0000FD090000}">
          <x14:formula1>
            <xm:f>項目!C17:$JYU$524289</xm:f>
          </x14:formula1>
          <xm:sqref>JZC524293:JZC524316</xm:sqref>
        </x14:dataValidation>
        <x14:dataValidation type="list" allowBlank="1" showInputMessage="1" showErrorMessage="1" xr:uid="{00000000-0002-0000-0300-0000FE090000}">
          <x14:formula1>
            <xm:f>項目!C17:$KIQ$524289</xm:f>
          </x14:formula1>
          <xm:sqref>KIY524293:KIY524316</xm:sqref>
        </x14:dataValidation>
        <x14:dataValidation type="list" allowBlank="1" showInputMessage="1" showErrorMessage="1" xr:uid="{00000000-0002-0000-0300-0000FF090000}">
          <x14:formula1>
            <xm:f>項目!C17:$KSM$524289</xm:f>
          </x14:formula1>
          <xm:sqref>KSU524293:KSU524316</xm:sqref>
        </x14:dataValidation>
        <x14:dataValidation type="list" allowBlank="1" showInputMessage="1" showErrorMessage="1" xr:uid="{00000000-0002-0000-0300-0000000A0000}">
          <x14:formula1>
            <xm:f>項目!C17:$LCI$524289</xm:f>
          </x14:formula1>
          <xm:sqref>LCQ524293:LCQ524316</xm:sqref>
        </x14:dataValidation>
        <x14:dataValidation type="list" allowBlank="1" showInputMessage="1" showErrorMessage="1" xr:uid="{00000000-0002-0000-0300-0000010A0000}">
          <x14:formula1>
            <xm:f>項目!C17:$LME$524289</xm:f>
          </x14:formula1>
          <xm:sqref>LMM524293:LMM524316</xm:sqref>
        </x14:dataValidation>
        <x14:dataValidation type="list" allowBlank="1" showInputMessage="1" showErrorMessage="1" xr:uid="{00000000-0002-0000-0300-0000020A0000}">
          <x14:formula1>
            <xm:f>項目!C17:$LWA$524289</xm:f>
          </x14:formula1>
          <xm:sqref>LWI524293:LWI524316</xm:sqref>
        </x14:dataValidation>
        <x14:dataValidation type="list" allowBlank="1" showInputMessage="1" showErrorMessage="1" xr:uid="{00000000-0002-0000-0300-0000030A0000}">
          <x14:formula1>
            <xm:f>項目!C17:$MFW$524289</xm:f>
          </x14:formula1>
          <xm:sqref>MGE524293:MGE524316</xm:sqref>
        </x14:dataValidation>
        <x14:dataValidation type="list" allowBlank="1" showInputMessage="1" showErrorMessage="1" xr:uid="{00000000-0002-0000-0300-0000040A0000}">
          <x14:formula1>
            <xm:f>項目!C17:$MPS$524289</xm:f>
          </x14:formula1>
          <xm:sqref>MQA524293:MQA524316</xm:sqref>
        </x14:dataValidation>
        <x14:dataValidation type="list" allowBlank="1" showInputMessage="1" showErrorMessage="1" xr:uid="{00000000-0002-0000-0300-0000050A0000}">
          <x14:formula1>
            <xm:f>項目!C17:$MZO$524289</xm:f>
          </x14:formula1>
          <xm:sqref>MZW524293:MZW524316</xm:sqref>
        </x14:dataValidation>
        <x14:dataValidation type="list" allowBlank="1" showInputMessage="1" showErrorMessage="1" xr:uid="{00000000-0002-0000-0300-0000060A0000}">
          <x14:formula1>
            <xm:f>項目!C17:$NJK$524289</xm:f>
          </x14:formula1>
          <xm:sqref>NJS524293:NJS524316</xm:sqref>
        </x14:dataValidation>
        <x14:dataValidation type="list" allowBlank="1" showInputMessage="1" showErrorMessage="1" xr:uid="{00000000-0002-0000-0300-0000070A0000}">
          <x14:formula1>
            <xm:f>項目!C17:$NTG$524289</xm:f>
          </x14:formula1>
          <xm:sqref>NTO524293:NTO524316</xm:sqref>
        </x14:dataValidation>
        <x14:dataValidation type="list" allowBlank="1" showInputMessage="1" showErrorMessage="1" xr:uid="{00000000-0002-0000-0300-0000080A0000}">
          <x14:formula1>
            <xm:f>項目!C17:$ODC$524289</xm:f>
          </x14:formula1>
          <xm:sqref>ODK524293:ODK524316</xm:sqref>
        </x14:dataValidation>
        <x14:dataValidation type="list" allowBlank="1" showInputMessage="1" showErrorMessage="1" xr:uid="{00000000-0002-0000-0300-0000090A0000}">
          <x14:formula1>
            <xm:f>項目!C17:$OMY$524289</xm:f>
          </x14:formula1>
          <xm:sqref>ONG524293:ONG524316</xm:sqref>
        </x14:dataValidation>
        <x14:dataValidation type="list" allowBlank="1" showInputMessage="1" showErrorMessage="1" xr:uid="{00000000-0002-0000-0300-00000A0A0000}">
          <x14:formula1>
            <xm:f>項目!C17:$OWU$524289</xm:f>
          </x14:formula1>
          <xm:sqref>OXC524293:OXC524316</xm:sqref>
        </x14:dataValidation>
        <x14:dataValidation type="list" allowBlank="1" showInputMessage="1" showErrorMessage="1" xr:uid="{00000000-0002-0000-0300-00000B0A0000}">
          <x14:formula1>
            <xm:f>項目!C17:$PGQ$524289</xm:f>
          </x14:formula1>
          <xm:sqref>PGY524293:PGY524316</xm:sqref>
        </x14:dataValidation>
        <x14:dataValidation type="list" allowBlank="1" showInputMessage="1" showErrorMessage="1" xr:uid="{00000000-0002-0000-0300-00000C0A0000}">
          <x14:formula1>
            <xm:f>項目!C17:$PQM$524289</xm:f>
          </x14:formula1>
          <xm:sqref>PQU524293:PQU524316</xm:sqref>
        </x14:dataValidation>
        <x14:dataValidation type="list" allowBlank="1" showInputMessage="1" showErrorMessage="1" xr:uid="{00000000-0002-0000-0300-00000D0A0000}">
          <x14:formula1>
            <xm:f>項目!C17:$QAI$524289</xm:f>
          </x14:formula1>
          <xm:sqref>QAQ524293:QAQ524316</xm:sqref>
        </x14:dataValidation>
        <x14:dataValidation type="list" allowBlank="1" showInputMessage="1" showErrorMessage="1" xr:uid="{00000000-0002-0000-0300-00000E0A0000}">
          <x14:formula1>
            <xm:f>項目!C17:$QKE$524289</xm:f>
          </x14:formula1>
          <xm:sqref>QKM524293:QKM524316</xm:sqref>
        </x14:dataValidation>
        <x14:dataValidation type="list" allowBlank="1" showInputMessage="1" showErrorMessage="1" xr:uid="{00000000-0002-0000-0300-00000F0A0000}">
          <x14:formula1>
            <xm:f>項目!C17:$QUA$524289</xm:f>
          </x14:formula1>
          <xm:sqref>QUI524293:QUI524316</xm:sqref>
        </x14:dataValidation>
        <x14:dataValidation type="list" allowBlank="1" showInputMessage="1" showErrorMessage="1" xr:uid="{00000000-0002-0000-0300-0000100A0000}">
          <x14:formula1>
            <xm:f>項目!C17:$RDW$524289</xm:f>
          </x14:formula1>
          <xm:sqref>REE524293:REE524316</xm:sqref>
        </x14:dataValidation>
        <x14:dataValidation type="list" allowBlank="1" showInputMessage="1" showErrorMessage="1" xr:uid="{00000000-0002-0000-0300-0000110A0000}">
          <x14:formula1>
            <xm:f>項目!C17:$RNS$524289</xm:f>
          </x14:formula1>
          <xm:sqref>ROA524293:ROA524316</xm:sqref>
        </x14:dataValidation>
        <x14:dataValidation type="list" allowBlank="1" showInputMessage="1" showErrorMessage="1" xr:uid="{00000000-0002-0000-0300-0000120A0000}">
          <x14:formula1>
            <xm:f>項目!C17:$RXO$524289</xm:f>
          </x14:formula1>
          <xm:sqref>RXW524293:RXW524316</xm:sqref>
        </x14:dataValidation>
        <x14:dataValidation type="list" allowBlank="1" showInputMessage="1" showErrorMessage="1" xr:uid="{00000000-0002-0000-0300-0000130A0000}">
          <x14:formula1>
            <xm:f>項目!C17:$SHK$524289</xm:f>
          </x14:formula1>
          <xm:sqref>SHS524293:SHS524316</xm:sqref>
        </x14:dataValidation>
        <x14:dataValidation type="list" allowBlank="1" showInputMessage="1" showErrorMessage="1" xr:uid="{00000000-0002-0000-0300-0000140A0000}">
          <x14:formula1>
            <xm:f>項目!C17:$SRG$524289</xm:f>
          </x14:formula1>
          <xm:sqref>SRO524293:SRO524316</xm:sqref>
        </x14:dataValidation>
        <x14:dataValidation type="list" allowBlank="1" showInputMessage="1" showErrorMessage="1" xr:uid="{00000000-0002-0000-0300-0000150A0000}">
          <x14:formula1>
            <xm:f>項目!C17:$TBC$524289</xm:f>
          </x14:formula1>
          <xm:sqref>TBK524293:TBK524316</xm:sqref>
        </x14:dataValidation>
        <x14:dataValidation type="list" allowBlank="1" showInputMessage="1" showErrorMessage="1" xr:uid="{00000000-0002-0000-0300-0000160A0000}">
          <x14:formula1>
            <xm:f>項目!C17:$TKY$524289</xm:f>
          </x14:formula1>
          <xm:sqref>TLG524293:TLG524316</xm:sqref>
        </x14:dataValidation>
        <x14:dataValidation type="list" allowBlank="1" showInputMessage="1" showErrorMessage="1" xr:uid="{00000000-0002-0000-0300-0000170A0000}">
          <x14:formula1>
            <xm:f>項目!C17:$TUU$524289</xm:f>
          </x14:formula1>
          <xm:sqref>TVC524293:TVC524316</xm:sqref>
        </x14:dataValidation>
        <x14:dataValidation type="list" allowBlank="1" showInputMessage="1" showErrorMessage="1" xr:uid="{00000000-0002-0000-0300-0000180A0000}">
          <x14:formula1>
            <xm:f>項目!C17:$UEQ$524289</xm:f>
          </x14:formula1>
          <xm:sqref>UEY524293:UEY524316</xm:sqref>
        </x14:dataValidation>
        <x14:dataValidation type="list" allowBlank="1" showInputMessage="1" showErrorMessage="1" xr:uid="{00000000-0002-0000-0300-0000190A0000}">
          <x14:formula1>
            <xm:f>項目!C17:$UOM$524289</xm:f>
          </x14:formula1>
          <xm:sqref>UOU524293:UOU524316</xm:sqref>
        </x14:dataValidation>
        <x14:dataValidation type="list" allowBlank="1" showInputMessage="1" showErrorMessage="1" xr:uid="{00000000-0002-0000-0300-00001A0A0000}">
          <x14:formula1>
            <xm:f>項目!C17:$UYI$524289</xm:f>
          </x14:formula1>
          <xm:sqref>UYQ524293:UYQ524316</xm:sqref>
        </x14:dataValidation>
        <x14:dataValidation type="list" allowBlank="1" showInputMessage="1" showErrorMessage="1" xr:uid="{00000000-0002-0000-0300-00001B0A0000}">
          <x14:formula1>
            <xm:f>項目!C17:$VIE$524289</xm:f>
          </x14:formula1>
          <xm:sqref>VIM524293:VIM524316</xm:sqref>
        </x14:dataValidation>
        <x14:dataValidation type="list" allowBlank="1" showInputMessage="1" showErrorMessage="1" xr:uid="{00000000-0002-0000-0300-00001C0A0000}">
          <x14:formula1>
            <xm:f>項目!C17:$VSA$524289</xm:f>
          </x14:formula1>
          <xm:sqref>VSI524293:VSI524316</xm:sqref>
        </x14:dataValidation>
        <x14:dataValidation type="list" allowBlank="1" showInputMessage="1" showErrorMessage="1" xr:uid="{00000000-0002-0000-0300-00001D0A0000}">
          <x14:formula1>
            <xm:f>項目!C17:$WBW$524289</xm:f>
          </x14:formula1>
          <xm:sqref>WCE524293:WCE524316</xm:sqref>
        </x14:dataValidation>
        <x14:dataValidation type="list" allowBlank="1" showInputMessage="1" showErrorMessage="1" xr:uid="{00000000-0002-0000-0300-00001E0A0000}">
          <x14:formula1>
            <xm:f>項目!C17:$WLS$524289</xm:f>
          </x14:formula1>
          <xm:sqref>WMA524293:WMA524316</xm:sqref>
        </x14:dataValidation>
        <x14:dataValidation type="list" allowBlank="1" showInputMessage="1" showErrorMessage="1" xr:uid="{00000000-0002-0000-0300-00001F0A0000}">
          <x14:formula1>
            <xm:f>項目!C17:$WVO$524289</xm:f>
          </x14:formula1>
          <xm:sqref>WVW524293:WVW524316</xm:sqref>
        </x14:dataValidation>
        <x14:dataValidation type="list" allowBlank="1" showInputMessage="1" showErrorMessage="1" xr:uid="{00000000-0002-0000-0300-0000200A0000}">
          <x14:formula1>
            <xm:f>項目!C17:$J$589825</xm:f>
          </x14:formula1>
          <xm:sqref>O589829:O589852</xm:sqref>
        </x14:dataValidation>
        <x14:dataValidation type="list" allowBlank="1" showInputMessage="1" showErrorMessage="1" xr:uid="{00000000-0002-0000-0300-0000210A0000}">
          <x14:formula1>
            <xm:f>項目!C17:$JC$589825</xm:f>
          </x14:formula1>
          <xm:sqref>JK589829:JK589852</xm:sqref>
        </x14:dataValidation>
        <x14:dataValidation type="list" allowBlank="1" showInputMessage="1" showErrorMessage="1" xr:uid="{00000000-0002-0000-0300-0000220A0000}">
          <x14:formula1>
            <xm:f>項目!C17:$SY$589825</xm:f>
          </x14:formula1>
          <xm:sqref>TG589829:TG589852</xm:sqref>
        </x14:dataValidation>
        <x14:dataValidation type="list" allowBlank="1" showInputMessage="1" showErrorMessage="1" xr:uid="{00000000-0002-0000-0300-0000230A0000}">
          <x14:formula1>
            <xm:f>項目!C17:$ACU$589825</xm:f>
          </x14:formula1>
          <xm:sqref>ADC589829:ADC589852</xm:sqref>
        </x14:dataValidation>
        <x14:dataValidation type="list" allowBlank="1" showInputMessage="1" showErrorMessage="1" xr:uid="{00000000-0002-0000-0300-0000240A0000}">
          <x14:formula1>
            <xm:f>項目!C17:$AMQ$589825</xm:f>
          </x14:formula1>
          <xm:sqref>AMY589829:AMY589852</xm:sqref>
        </x14:dataValidation>
        <x14:dataValidation type="list" allowBlank="1" showInputMessage="1" showErrorMessage="1" xr:uid="{00000000-0002-0000-0300-0000250A0000}">
          <x14:formula1>
            <xm:f>項目!C17:$AWM$589825</xm:f>
          </x14:formula1>
          <xm:sqref>AWU589829:AWU589852</xm:sqref>
        </x14:dataValidation>
        <x14:dataValidation type="list" allowBlank="1" showInputMessage="1" showErrorMessage="1" xr:uid="{00000000-0002-0000-0300-0000260A0000}">
          <x14:formula1>
            <xm:f>項目!C17:$BGI$589825</xm:f>
          </x14:formula1>
          <xm:sqref>BGQ589829:BGQ589852</xm:sqref>
        </x14:dataValidation>
        <x14:dataValidation type="list" allowBlank="1" showInputMessage="1" showErrorMessage="1" xr:uid="{00000000-0002-0000-0300-0000270A0000}">
          <x14:formula1>
            <xm:f>項目!C17:$BQE$589825</xm:f>
          </x14:formula1>
          <xm:sqref>BQM589829:BQM589852</xm:sqref>
        </x14:dataValidation>
        <x14:dataValidation type="list" allowBlank="1" showInputMessage="1" showErrorMessage="1" xr:uid="{00000000-0002-0000-0300-0000280A0000}">
          <x14:formula1>
            <xm:f>項目!C17:$CAA$589825</xm:f>
          </x14:formula1>
          <xm:sqref>CAI589829:CAI589852</xm:sqref>
        </x14:dataValidation>
        <x14:dataValidation type="list" allowBlank="1" showInputMessage="1" showErrorMessage="1" xr:uid="{00000000-0002-0000-0300-0000290A0000}">
          <x14:formula1>
            <xm:f>項目!C17:$CJW$589825</xm:f>
          </x14:formula1>
          <xm:sqref>CKE589829:CKE589852</xm:sqref>
        </x14:dataValidation>
        <x14:dataValidation type="list" allowBlank="1" showInputMessage="1" showErrorMessage="1" xr:uid="{00000000-0002-0000-0300-00002A0A0000}">
          <x14:formula1>
            <xm:f>項目!C17:$CTS$589825</xm:f>
          </x14:formula1>
          <xm:sqref>CUA589829:CUA589852</xm:sqref>
        </x14:dataValidation>
        <x14:dataValidation type="list" allowBlank="1" showInputMessage="1" showErrorMessage="1" xr:uid="{00000000-0002-0000-0300-00002B0A0000}">
          <x14:formula1>
            <xm:f>項目!C17:$DDO$589825</xm:f>
          </x14:formula1>
          <xm:sqref>DDW589829:DDW589852</xm:sqref>
        </x14:dataValidation>
        <x14:dataValidation type="list" allowBlank="1" showInputMessage="1" showErrorMessage="1" xr:uid="{00000000-0002-0000-0300-00002C0A0000}">
          <x14:formula1>
            <xm:f>項目!C17:$DNK$589825</xm:f>
          </x14:formula1>
          <xm:sqref>DNS589829:DNS589852</xm:sqref>
        </x14:dataValidation>
        <x14:dataValidation type="list" allowBlank="1" showInputMessage="1" showErrorMessage="1" xr:uid="{00000000-0002-0000-0300-00002D0A0000}">
          <x14:formula1>
            <xm:f>項目!C17:$DXG$589825</xm:f>
          </x14:formula1>
          <xm:sqref>DXO589829:DXO589852</xm:sqref>
        </x14:dataValidation>
        <x14:dataValidation type="list" allowBlank="1" showInputMessage="1" showErrorMessage="1" xr:uid="{00000000-0002-0000-0300-00002E0A0000}">
          <x14:formula1>
            <xm:f>項目!C17:$EHC$589825</xm:f>
          </x14:formula1>
          <xm:sqref>EHK589829:EHK589852</xm:sqref>
        </x14:dataValidation>
        <x14:dataValidation type="list" allowBlank="1" showInputMessage="1" showErrorMessage="1" xr:uid="{00000000-0002-0000-0300-00002F0A0000}">
          <x14:formula1>
            <xm:f>項目!C17:$EQY$589825</xm:f>
          </x14:formula1>
          <xm:sqref>ERG589829:ERG589852</xm:sqref>
        </x14:dataValidation>
        <x14:dataValidation type="list" allowBlank="1" showInputMessage="1" showErrorMessage="1" xr:uid="{00000000-0002-0000-0300-0000300A0000}">
          <x14:formula1>
            <xm:f>項目!C17:$FAU$589825</xm:f>
          </x14:formula1>
          <xm:sqref>FBC589829:FBC589852</xm:sqref>
        </x14:dataValidation>
        <x14:dataValidation type="list" allowBlank="1" showInputMessage="1" showErrorMessage="1" xr:uid="{00000000-0002-0000-0300-0000310A0000}">
          <x14:formula1>
            <xm:f>項目!C17:$FKQ$589825</xm:f>
          </x14:formula1>
          <xm:sqref>FKY589829:FKY589852</xm:sqref>
        </x14:dataValidation>
        <x14:dataValidation type="list" allowBlank="1" showInputMessage="1" showErrorMessage="1" xr:uid="{00000000-0002-0000-0300-0000320A0000}">
          <x14:formula1>
            <xm:f>項目!C17:$FUM$589825</xm:f>
          </x14:formula1>
          <xm:sqref>FUU589829:FUU589852</xm:sqref>
        </x14:dataValidation>
        <x14:dataValidation type="list" allowBlank="1" showInputMessage="1" showErrorMessage="1" xr:uid="{00000000-0002-0000-0300-0000330A0000}">
          <x14:formula1>
            <xm:f>項目!C17:$GEI$589825</xm:f>
          </x14:formula1>
          <xm:sqref>GEQ589829:GEQ589852</xm:sqref>
        </x14:dataValidation>
        <x14:dataValidation type="list" allowBlank="1" showInputMessage="1" showErrorMessage="1" xr:uid="{00000000-0002-0000-0300-0000340A0000}">
          <x14:formula1>
            <xm:f>項目!C17:$GOE$589825</xm:f>
          </x14:formula1>
          <xm:sqref>GOM589829:GOM589852</xm:sqref>
        </x14:dataValidation>
        <x14:dataValidation type="list" allowBlank="1" showInputMessage="1" showErrorMessage="1" xr:uid="{00000000-0002-0000-0300-0000350A0000}">
          <x14:formula1>
            <xm:f>項目!C17:$GYA$589825</xm:f>
          </x14:formula1>
          <xm:sqref>GYI589829:GYI589852</xm:sqref>
        </x14:dataValidation>
        <x14:dataValidation type="list" allowBlank="1" showInputMessage="1" showErrorMessage="1" xr:uid="{00000000-0002-0000-0300-0000360A0000}">
          <x14:formula1>
            <xm:f>項目!C17:$HHW$589825</xm:f>
          </x14:formula1>
          <xm:sqref>HIE589829:HIE589852</xm:sqref>
        </x14:dataValidation>
        <x14:dataValidation type="list" allowBlank="1" showInputMessage="1" showErrorMessage="1" xr:uid="{00000000-0002-0000-0300-0000370A0000}">
          <x14:formula1>
            <xm:f>項目!C17:$HRS$589825</xm:f>
          </x14:formula1>
          <xm:sqref>HSA589829:HSA589852</xm:sqref>
        </x14:dataValidation>
        <x14:dataValidation type="list" allowBlank="1" showInputMessage="1" showErrorMessage="1" xr:uid="{00000000-0002-0000-0300-0000380A0000}">
          <x14:formula1>
            <xm:f>項目!C17:$IBO$589825</xm:f>
          </x14:formula1>
          <xm:sqref>IBW589829:IBW589852</xm:sqref>
        </x14:dataValidation>
        <x14:dataValidation type="list" allowBlank="1" showInputMessage="1" showErrorMessage="1" xr:uid="{00000000-0002-0000-0300-0000390A0000}">
          <x14:formula1>
            <xm:f>項目!C17:$ILK$589825</xm:f>
          </x14:formula1>
          <xm:sqref>ILS589829:ILS589852</xm:sqref>
        </x14:dataValidation>
        <x14:dataValidation type="list" allowBlank="1" showInputMessage="1" showErrorMessage="1" xr:uid="{00000000-0002-0000-0300-00003A0A0000}">
          <x14:formula1>
            <xm:f>項目!C17:$IVG$589825</xm:f>
          </x14:formula1>
          <xm:sqref>IVO589829:IVO589852</xm:sqref>
        </x14:dataValidation>
        <x14:dataValidation type="list" allowBlank="1" showInputMessage="1" showErrorMessage="1" xr:uid="{00000000-0002-0000-0300-00003B0A0000}">
          <x14:formula1>
            <xm:f>項目!C17:$JFC$589825</xm:f>
          </x14:formula1>
          <xm:sqref>JFK589829:JFK589852</xm:sqref>
        </x14:dataValidation>
        <x14:dataValidation type="list" allowBlank="1" showInputMessage="1" showErrorMessage="1" xr:uid="{00000000-0002-0000-0300-00003C0A0000}">
          <x14:formula1>
            <xm:f>項目!C17:$JOY$589825</xm:f>
          </x14:formula1>
          <xm:sqref>JPG589829:JPG589852</xm:sqref>
        </x14:dataValidation>
        <x14:dataValidation type="list" allowBlank="1" showInputMessage="1" showErrorMessage="1" xr:uid="{00000000-0002-0000-0300-00003D0A0000}">
          <x14:formula1>
            <xm:f>項目!C17:$JYU$589825</xm:f>
          </x14:formula1>
          <xm:sqref>JZC589829:JZC589852</xm:sqref>
        </x14:dataValidation>
        <x14:dataValidation type="list" allowBlank="1" showInputMessage="1" showErrorMessage="1" xr:uid="{00000000-0002-0000-0300-00003E0A0000}">
          <x14:formula1>
            <xm:f>項目!C17:$KIQ$589825</xm:f>
          </x14:formula1>
          <xm:sqref>KIY589829:KIY589852</xm:sqref>
        </x14:dataValidation>
        <x14:dataValidation type="list" allowBlank="1" showInputMessage="1" showErrorMessage="1" xr:uid="{00000000-0002-0000-0300-00003F0A0000}">
          <x14:formula1>
            <xm:f>項目!C17:$KSM$589825</xm:f>
          </x14:formula1>
          <xm:sqref>KSU589829:KSU589852</xm:sqref>
        </x14:dataValidation>
        <x14:dataValidation type="list" allowBlank="1" showInputMessage="1" showErrorMessage="1" xr:uid="{00000000-0002-0000-0300-0000400A0000}">
          <x14:formula1>
            <xm:f>項目!C17:$LCI$589825</xm:f>
          </x14:formula1>
          <xm:sqref>LCQ589829:LCQ589852</xm:sqref>
        </x14:dataValidation>
        <x14:dataValidation type="list" allowBlank="1" showInputMessage="1" showErrorMessage="1" xr:uid="{00000000-0002-0000-0300-0000410A0000}">
          <x14:formula1>
            <xm:f>項目!C17:$LME$589825</xm:f>
          </x14:formula1>
          <xm:sqref>LMM589829:LMM589852</xm:sqref>
        </x14:dataValidation>
        <x14:dataValidation type="list" allowBlank="1" showInputMessage="1" showErrorMessage="1" xr:uid="{00000000-0002-0000-0300-0000420A0000}">
          <x14:formula1>
            <xm:f>項目!C17:$LWA$589825</xm:f>
          </x14:formula1>
          <xm:sqref>LWI589829:LWI589852</xm:sqref>
        </x14:dataValidation>
        <x14:dataValidation type="list" allowBlank="1" showInputMessage="1" showErrorMessage="1" xr:uid="{00000000-0002-0000-0300-0000430A0000}">
          <x14:formula1>
            <xm:f>項目!C17:$MFW$589825</xm:f>
          </x14:formula1>
          <xm:sqref>MGE589829:MGE589852</xm:sqref>
        </x14:dataValidation>
        <x14:dataValidation type="list" allowBlank="1" showInputMessage="1" showErrorMessage="1" xr:uid="{00000000-0002-0000-0300-0000440A0000}">
          <x14:formula1>
            <xm:f>項目!C17:$MPS$589825</xm:f>
          </x14:formula1>
          <xm:sqref>MQA589829:MQA589852</xm:sqref>
        </x14:dataValidation>
        <x14:dataValidation type="list" allowBlank="1" showInputMessage="1" showErrorMessage="1" xr:uid="{00000000-0002-0000-0300-0000450A0000}">
          <x14:formula1>
            <xm:f>項目!C17:$MZO$589825</xm:f>
          </x14:formula1>
          <xm:sqref>MZW589829:MZW589852</xm:sqref>
        </x14:dataValidation>
        <x14:dataValidation type="list" allowBlank="1" showInputMessage="1" showErrorMessage="1" xr:uid="{00000000-0002-0000-0300-0000460A0000}">
          <x14:formula1>
            <xm:f>項目!C17:$NJK$589825</xm:f>
          </x14:formula1>
          <xm:sqref>NJS589829:NJS589852</xm:sqref>
        </x14:dataValidation>
        <x14:dataValidation type="list" allowBlank="1" showInputMessage="1" showErrorMessage="1" xr:uid="{00000000-0002-0000-0300-0000470A0000}">
          <x14:formula1>
            <xm:f>項目!C17:$NTG$589825</xm:f>
          </x14:formula1>
          <xm:sqref>NTO589829:NTO589852</xm:sqref>
        </x14:dataValidation>
        <x14:dataValidation type="list" allowBlank="1" showInputMessage="1" showErrorMessage="1" xr:uid="{00000000-0002-0000-0300-0000480A0000}">
          <x14:formula1>
            <xm:f>項目!C17:$ODC$589825</xm:f>
          </x14:formula1>
          <xm:sqref>ODK589829:ODK589852</xm:sqref>
        </x14:dataValidation>
        <x14:dataValidation type="list" allowBlank="1" showInputMessage="1" showErrorMessage="1" xr:uid="{00000000-0002-0000-0300-0000490A0000}">
          <x14:formula1>
            <xm:f>項目!C17:$OMY$589825</xm:f>
          </x14:formula1>
          <xm:sqref>ONG589829:ONG589852</xm:sqref>
        </x14:dataValidation>
        <x14:dataValidation type="list" allowBlank="1" showInputMessage="1" showErrorMessage="1" xr:uid="{00000000-0002-0000-0300-00004A0A0000}">
          <x14:formula1>
            <xm:f>項目!C17:$OWU$589825</xm:f>
          </x14:formula1>
          <xm:sqref>OXC589829:OXC589852</xm:sqref>
        </x14:dataValidation>
        <x14:dataValidation type="list" allowBlank="1" showInputMessage="1" showErrorMessage="1" xr:uid="{00000000-0002-0000-0300-00004B0A0000}">
          <x14:formula1>
            <xm:f>項目!C17:$PGQ$589825</xm:f>
          </x14:formula1>
          <xm:sqref>PGY589829:PGY589852</xm:sqref>
        </x14:dataValidation>
        <x14:dataValidation type="list" allowBlank="1" showInputMessage="1" showErrorMessage="1" xr:uid="{00000000-0002-0000-0300-00004C0A0000}">
          <x14:formula1>
            <xm:f>項目!C17:$PQM$589825</xm:f>
          </x14:formula1>
          <xm:sqref>PQU589829:PQU589852</xm:sqref>
        </x14:dataValidation>
        <x14:dataValidation type="list" allowBlank="1" showInputMessage="1" showErrorMessage="1" xr:uid="{00000000-0002-0000-0300-00004D0A0000}">
          <x14:formula1>
            <xm:f>項目!C17:$QAI$589825</xm:f>
          </x14:formula1>
          <xm:sqref>QAQ589829:QAQ589852</xm:sqref>
        </x14:dataValidation>
        <x14:dataValidation type="list" allowBlank="1" showInputMessage="1" showErrorMessage="1" xr:uid="{00000000-0002-0000-0300-00004E0A0000}">
          <x14:formula1>
            <xm:f>項目!C17:$QKE$589825</xm:f>
          </x14:formula1>
          <xm:sqref>QKM589829:QKM589852</xm:sqref>
        </x14:dataValidation>
        <x14:dataValidation type="list" allowBlank="1" showInputMessage="1" showErrorMessage="1" xr:uid="{00000000-0002-0000-0300-00004F0A0000}">
          <x14:formula1>
            <xm:f>項目!C17:$QUA$589825</xm:f>
          </x14:formula1>
          <xm:sqref>QUI589829:QUI589852</xm:sqref>
        </x14:dataValidation>
        <x14:dataValidation type="list" allowBlank="1" showInputMessage="1" showErrorMessage="1" xr:uid="{00000000-0002-0000-0300-0000500A0000}">
          <x14:formula1>
            <xm:f>項目!C17:$RDW$589825</xm:f>
          </x14:formula1>
          <xm:sqref>REE589829:REE589852</xm:sqref>
        </x14:dataValidation>
        <x14:dataValidation type="list" allowBlank="1" showInputMessage="1" showErrorMessage="1" xr:uid="{00000000-0002-0000-0300-0000510A0000}">
          <x14:formula1>
            <xm:f>項目!C17:$RNS$589825</xm:f>
          </x14:formula1>
          <xm:sqref>ROA589829:ROA589852</xm:sqref>
        </x14:dataValidation>
        <x14:dataValidation type="list" allowBlank="1" showInputMessage="1" showErrorMessage="1" xr:uid="{00000000-0002-0000-0300-0000520A0000}">
          <x14:formula1>
            <xm:f>項目!C17:$RXO$589825</xm:f>
          </x14:formula1>
          <xm:sqref>RXW589829:RXW589852</xm:sqref>
        </x14:dataValidation>
        <x14:dataValidation type="list" allowBlank="1" showInputMessage="1" showErrorMessage="1" xr:uid="{00000000-0002-0000-0300-0000530A0000}">
          <x14:formula1>
            <xm:f>項目!C17:$SHK$589825</xm:f>
          </x14:formula1>
          <xm:sqref>SHS589829:SHS589852</xm:sqref>
        </x14:dataValidation>
        <x14:dataValidation type="list" allowBlank="1" showInputMessage="1" showErrorMessage="1" xr:uid="{00000000-0002-0000-0300-0000540A0000}">
          <x14:formula1>
            <xm:f>項目!C17:$SRG$589825</xm:f>
          </x14:formula1>
          <xm:sqref>SRO589829:SRO589852</xm:sqref>
        </x14:dataValidation>
        <x14:dataValidation type="list" allowBlank="1" showInputMessage="1" showErrorMessage="1" xr:uid="{00000000-0002-0000-0300-0000550A0000}">
          <x14:formula1>
            <xm:f>項目!C17:$TBC$589825</xm:f>
          </x14:formula1>
          <xm:sqref>TBK589829:TBK589852</xm:sqref>
        </x14:dataValidation>
        <x14:dataValidation type="list" allowBlank="1" showInputMessage="1" showErrorMessage="1" xr:uid="{00000000-0002-0000-0300-0000560A0000}">
          <x14:formula1>
            <xm:f>項目!C17:$TKY$589825</xm:f>
          </x14:formula1>
          <xm:sqref>TLG589829:TLG589852</xm:sqref>
        </x14:dataValidation>
        <x14:dataValidation type="list" allowBlank="1" showInputMessage="1" showErrorMessage="1" xr:uid="{00000000-0002-0000-0300-0000570A0000}">
          <x14:formula1>
            <xm:f>項目!C17:$TUU$589825</xm:f>
          </x14:formula1>
          <xm:sqref>TVC589829:TVC589852</xm:sqref>
        </x14:dataValidation>
        <x14:dataValidation type="list" allowBlank="1" showInputMessage="1" showErrorMessage="1" xr:uid="{00000000-0002-0000-0300-0000580A0000}">
          <x14:formula1>
            <xm:f>項目!C17:$UEQ$589825</xm:f>
          </x14:formula1>
          <xm:sqref>UEY589829:UEY589852</xm:sqref>
        </x14:dataValidation>
        <x14:dataValidation type="list" allowBlank="1" showInputMessage="1" showErrorMessage="1" xr:uid="{00000000-0002-0000-0300-0000590A0000}">
          <x14:formula1>
            <xm:f>項目!C17:$UOM$589825</xm:f>
          </x14:formula1>
          <xm:sqref>UOU589829:UOU589852</xm:sqref>
        </x14:dataValidation>
        <x14:dataValidation type="list" allowBlank="1" showInputMessage="1" showErrorMessage="1" xr:uid="{00000000-0002-0000-0300-00005A0A0000}">
          <x14:formula1>
            <xm:f>項目!C17:$UYI$589825</xm:f>
          </x14:formula1>
          <xm:sqref>UYQ589829:UYQ589852</xm:sqref>
        </x14:dataValidation>
        <x14:dataValidation type="list" allowBlank="1" showInputMessage="1" showErrorMessage="1" xr:uid="{00000000-0002-0000-0300-00005B0A0000}">
          <x14:formula1>
            <xm:f>項目!C17:$VIE$589825</xm:f>
          </x14:formula1>
          <xm:sqref>VIM589829:VIM589852</xm:sqref>
        </x14:dataValidation>
        <x14:dataValidation type="list" allowBlank="1" showInputMessage="1" showErrorMessage="1" xr:uid="{00000000-0002-0000-0300-00005C0A0000}">
          <x14:formula1>
            <xm:f>項目!C17:$VSA$589825</xm:f>
          </x14:formula1>
          <xm:sqref>VSI589829:VSI589852</xm:sqref>
        </x14:dataValidation>
        <x14:dataValidation type="list" allowBlank="1" showInputMessage="1" showErrorMessage="1" xr:uid="{00000000-0002-0000-0300-00005D0A0000}">
          <x14:formula1>
            <xm:f>項目!C17:$WBW$589825</xm:f>
          </x14:formula1>
          <xm:sqref>WCE589829:WCE589852</xm:sqref>
        </x14:dataValidation>
        <x14:dataValidation type="list" allowBlank="1" showInputMessage="1" showErrorMessage="1" xr:uid="{00000000-0002-0000-0300-00005E0A0000}">
          <x14:formula1>
            <xm:f>項目!C17:$WLS$589825</xm:f>
          </x14:formula1>
          <xm:sqref>WMA589829:WMA589852</xm:sqref>
        </x14:dataValidation>
        <x14:dataValidation type="list" allowBlank="1" showInputMessage="1" showErrorMessage="1" xr:uid="{00000000-0002-0000-0300-00005F0A0000}">
          <x14:formula1>
            <xm:f>項目!C17:$WVO$589825</xm:f>
          </x14:formula1>
          <xm:sqref>WVW589829:WVW589852</xm:sqref>
        </x14:dataValidation>
        <x14:dataValidation type="list" allowBlank="1" showInputMessage="1" showErrorMessage="1" xr:uid="{00000000-0002-0000-0300-0000600A0000}">
          <x14:formula1>
            <xm:f>項目!C17:$J$655361</xm:f>
          </x14:formula1>
          <xm:sqref>O655365:O655388</xm:sqref>
        </x14:dataValidation>
        <x14:dataValidation type="list" allowBlank="1" showInputMessage="1" showErrorMessage="1" xr:uid="{00000000-0002-0000-0300-0000610A0000}">
          <x14:formula1>
            <xm:f>項目!C17:$JC$655361</xm:f>
          </x14:formula1>
          <xm:sqref>JK655365:JK655388</xm:sqref>
        </x14:dataValidation>
        <x14:dataValidation type="list" allowBlank="1" showInputMessage="1" showErrorMessage="1" xr:uid="{00000000-0002-0000-0300-0000620A0000}">
          <x14:formula1>
            <xm:f>項目!C17:$SY$655361</xm:f>
          </x14:formula1>
          <xm:sqref>TG655365:TG655388</xm:sqref>
        </x14:dataValidation>
        <x14:dataValidation type="list" allowBlank="1" showInputMessage="1" showErrorMessage="1" xr:uid="{00000000-0002-0000-0300-0000630A0000}">
          <x14:formula1>
            <xm:f>項目!C17:$ACU$655361</xm:f>
          </x14:formula1>
          <xm:sqref>ADC655365:ADC655388</xm:sqref>
        </x14:dataValidation>
        <x14:dataValidation type="list" allowBlank="1" showInputMessage="1" showErrorMessage="1" xr:uid="{00000000-0002-0000-0300-0000640A0000}">
          <x14:formula1>
            <xm:f>項目!C17:$AMQ$655361</xm:f>
          </x14:formula1>
          <xm:sqref>AMY655365:AMY655388</xm:sqref>
        </x14:dataValidation>
        <x14:dataValidation type="list" allowBlank="1" showInputMessage="1" showErrorMessage="1" xr:uid="{00000000-0002-0000-0300-0000650A0000}">
          <x14:formula1>
            <xm:f>項目!C17:$AWM$655361</xm:f>
          </x14:formula1>
          <xm:sqref>AWU655365:AWU655388</xm:sqref>
        </x14:dataValidation>
        <x14:dataValidation type="list" allowBlank="1" showInputMessage="1" showErrorMessage="1" xr:uid="{00000000-0002-0000-0300-0000660A0000}">
          <x14:formula1>
            <xm:f>項目!C17:$BGI$655361</xm:f>
          </x14:formula1>
          <xm:sqref>BGQ655365:BGQ655388</xm:sqref>
        </x14:dataValidation>
        <x14:dataValidation type="list" allowBlank="1" showInputMessage="1" showErrorMessage="1" xr:uid="{00000000-0002-0000-0300-0000670A0000}">
          <x14:formula1>
            <xm:f>項目!C17:$BQE$655361</xm:f>
          </x14:formula1>
          <xm:sqref>BQM655365:BQM655388</xm:sqref>
        </x14:dataValidation>
        <x14:dataValidation type="list" allowBlank="1" showInputMessage="1" showErrorMessage="1" xr:uid="{00000000-0002-0000-0300-0000680A0000}">
          <x14:formula1>
            <xm:f>項目!C17:$CAA$655361</xm:f>
          </x14:formula1>
          <xm:sqref>CAI655365:CAI655388</xm:sqref>
        </x14:dataValidation>
        <x14:dataValidation type="list" allowBlank="1" showInputMessage="1" showErrorMessage="1" xr:uid="{00000000-0002-0000-0300-0000690A0000}">
          <x14:formula1>
            <xm:f>項目!C17:$CJW$655361</xm:f>
          </x14:formula1>
          <xm:sqref>CKE655365:CKE655388</xm:sqref>
        </x14:dataValidation>
        <x14:dataValidation type="list" allowBlank="1" showInputMessage="1" showErrorMessage="1" xr:uid="{00000000-0002-0000-0300-00006A0A0000}">
          <x14:formula1>
            <xm:f>項目!C17:$CTS$655361</xm:f>
          </x14:formula1>
          <xm:sqref>CUA655365:CUA655388</xm:sqref>
        </x14:dataValidation>
        <x14:dataValidation type="list" allowBlank="1" showInputMessage="1" showErrorMessage="1" xr:uid="{00000000-0002-0000-0300-00006B0A0000}">
          <x14:formula1>
            <xm:f>項目!C17:$DDO$655361</xm:f>
          </x14:formula1>
          <xm:sqref>DDW655365:DDW655388</xm:sqref>
        </x14:dataValidation>
        <x14:dataValidation type="list" allowBlank="1" showInputMessage="1" showErrorMessage="1" xr:uid="{00000000-0002-0000-0300-00006C0A0000}">
          <x14:formula1>
            <xm:f>項目!C17:$DNK$655361</xm:f>
          </x14:formula1>
          <xm:sqref>DNS655365:DNS655388</xm:sqref>
        </x14:dataValidation>
        <x14:dataValidation type="list" allowBlank="1" showInputMessage="1" showErrorMessage="1" xr:uid="{00000000-0002-0000-0300-00006D0A0000}">
          <x14:formula1>
            <xm:f>項目!C17:$DXG$655361</xm:f>
          </x14:formula1>
          <xm:sqref>DXO655365:DXO655388</xm:sqref>
        </x14:dataValidation>
        <x14:dataValidation type="list" allowBlank="1" showInputMessage="1" showErrorMessage="1" xr:uid="{00000000-0002-0000-0300-00006E0A0000}">
          <x14:formula1>
            <xm:f>項目!C17:$EHC$655361</xm:f>
          </x14:formula1>
          <xm:sqref>EHK655365:EHK655388</xm:sqref>
        </x14:dataValidation>
        <x14:dataValidation type="list" allowBlank="1" showInputMessage="1" showErrorMessage="1" xr:uid="{00000000-0002-0000-0300-00006F0A0000}">
          <x14:formula1>
            <xm:f>項目!C17:$EQY$655361</xm:f>
          </x14:formula1>
          <xm:sqref>ERG655365:ERG655388</xm:sqref>
        </x14:dataValidation>
        <x14:dataValidation type="list" allowBlank="1" showInputMessage="1" showErrorMessage="1" xr:uid="{00000000-0002-0000-0300-0000700A0000}">
          <x14:formula1>
            <xm:f>項目!C17:$FAU$655361</xm:f>
          </x14:formula1>
          <xm:sqref>FBC655365:FBC655388</xm:sqref>
        </x14:dataValidation>
        <x14:dataValidation type="list" allowBlank="1" showInputMessage="1" showErrorMessage="1" xr:uid="{00000000-0002-0000-0300-0000710A0000}">
          <x14:formula1>
            <xm:f>項目!C17:$FKQ$655361</xm:f>
          </x14:formula1>
          <xm:sqref>FKY655365:FKY655388</xm:sqref>
        </x14:dataValidation>
        <x14:dataValidation type="list" allowBlank="1" showInputMessage="1" showErrorMessage="1" xr:uid="{00000000-0002-0000-0300-0000720A0000}">
          <x14:formula1>
            <xm:f>項目!C17:$FUM$655361</xm:f>
          </x14:formula1>
          <xm:sqref>FUU655365:FUU655388</xm:sqref>
        </x14:dataValidation>
        <x14:dataValidation type="list" allowBlank="1" showInputMessage="1" showErrorMessage="1" xr:uid="{00000000-0002-0000-0300-0000730A0000}">
          <x14:formula1>
            <xm:f>項目!C17:$GEI$655361</xm:f>
          </x14:formula1>
          <xm:sqref>GEQ655365:GEQ655388</xm:sqref>
        </x14:dataValidation>
        <x14:dataValidation type="list" allowBlank="1" showInputMessage="1" showErrorMessage="1" xr:uid="{00000000-0002-0000-0300-0000740A0000}">
          <x14:formula1>
            <xm:f>項目!C17:$GOE$655361</xm:f>
          </x14:formula1>
          <xm:sqref>GOM655365:GOM655388</xm:sqref>
        </x14:dataValidation>
        <x14:dataValidation type="list" allowBlank="1" showInputMessage="1" showErrorMessage="1" xr:uid="{00000000-0002-0000-0300-0000750A0000}">
          <x14:formula1>
            <xm:f>項目!C17:$GYA$655361</xm:f>
          </x14:formula1>
          <xm:sqref>GYI655365:GYI655388</xm:sqref>
        </x14:dataValidation>
        <x14:dataValidation type="list" allowBlank="1" showInputMessage="1" showErrorMessage="1" xr:uid="{00000000-0002-0000-0300-0000760A0000}">
          <x14:formula1>
            <xm:f>項目!C17:$HHW$655361</xm:f>
          </x14:formula1>
          <xm:sqref>HIE655365:HIE655388</xm:sqref>
        </x14:dataValidation>
        <x14:dataValidation type="list" allowBlank="1" showInputMessage="1" showErrorMessage="1" xr:uid="{00000000-0002-0000-0300-0000770A0000}">
          <x14:formula1>
            <xm:f>項目!C17:$HRS$655361</xm:f>
          </x14:formula1>
          <xm:sqref>HSA655365:HSA655388</xm:sqref>
        </x14:dataValidation>
        <x14:dataValidation type="list" allowBlank="1" showInputMessage="1" showErrorMessage="1" xr:uid="{00000000-0002-0000-0300-0000780A0000}">
          <x14:formula1>
            <xm:f>項目!C17:$IBO$655361</xm:f>
          </x14:formula1>
          <xm:sqref>IBW655365:IBW655388</xm:sqref>
        </x14:dataValidation>
        <x14:dataValidation type="list" allowBlank="1" showInputMessage="1" showErrorMessage="1" xr:uid="{00000000-0002-0000-0300-0000790A0000}">
          <x14:formula1>
            <xm:f>項目!C17:$ILK$655361</xm:f>
          </x14:formula1>
          <xm:sqref>ILS655365:ILS655388</xm:sqref>
        </x14:dataValidation>
        <x14:dataValidation type="list" allowBlank="1" showInputMessage="1" showErrorMessage="1" xr:uid="{00000000-0002-0000-0300-00007A0A0000}">
          <x14:formula1>
            <xm:f>項目!C17:$IVG$655361</xm:f>
          </x14:formula1>
          <xm:sqref>IVO655365:IVO655388</xm:sqref>
        </x14:dataValidation>
        <x14:dataValidation type="list" allowBlank="1" showInputMessage="1" showErrorMessage="1" xr:uid="{00000000-0002-0000-0300-00007B0A0000}">
          <x14:formula1>
            <xm:f>項目!C17:$JFC$655361</xm:f>
          </x14:formula1>
          <xm:sqref>JFK655365:JFK655388</xm:sqref>
        </x14:dataValidation>
        <x14:dataValidation type="list" allowBlank="1" showInputMessage="1" showErrorMessage="1" xr:uid="{00000000-0002-0000-0300-00007C0A0000}">
          <x14:formula1>
            <xm:f>項目!C17:$JOY$655361</xm:f>
          </x14:formula1>
          <xm:sqref>JPG655365:JPG655388</xm:sqref>
        </x14:dataValidation>
        <x14:dataValidation type="list" allowBlank="1" showInputMessage="1" showErrorMessage="1" xr:uid="{00000000-0002-0000-0300-00007D0A0000}">
          <x14:formula1>
            <xm:f>項目!C17:$JYU$655361</xm:f>
          </x14:formula1>
          <xm:sqref>JZC655365:JZC655388</xm:sqref>
        </x14:dataValidation>
        <x14:dataValidation type="list" allowBlank="1" showInputMessage="1" showErrorMessage="1" xr:uid="{00000000-0002-0000-0300-00007E0A0000}">
          <x14:formula1>
            <xm:f>項目!C17:$KIQ$655361</xm:f>
          </x14:formula1>
          <xm:sqref>KIY655365:KIY655388</xm:sqref>
        </x14:dataValidation>
        <x14:dataValidation type="list" allowBlank="1" showInputMessage="1" showErrorMessage="1" xr:uid="{00000000-0002-0000-0300-00007F0A0000}">
          <x14:formula1>
            <xm:f>項目!C17:$KSM$655361</xm:f>
          </x14:formula1>
          <xm:sqref>KSU655365:KSU655388</xm:sqref>
        </x14:dataValidation>
        <x14:dataValidation type="list" allowBlank="1" showInputMessage="1" showErrorMessage="1" xr:uid="{00000000-0002-0000-0300-0000800A0000}">
          <x14:formula1>
            <xm:f>項目!C17:$LCI$655361</xm:f>
          </x14:formula1>
          <xm:sqref>LCQ655365:LCQ655388</xm:sqref>
        </x14:dataValidation>
        <x14:dataValidation type="list" allowBlank="1" showInputMessage="1" showErrorMessage="1" xr:uid="{00000000-0002-0000-0300-0000810A0000}">
          <x14:formula1>
            <xm:f>項目!C17:$LME$655361</xm:f>
          </x14:formula1>
          <xm:sqref>LMM655365:LMM655388</xm:sqref>
        </x14:dataValidation>
        <x14:dataValidation type="list" allowBlank="1" showInputMessage="1" showErrorMessage="1" xr:uid="{00000000-0002-0000-0300-0000820A0000}">
          <x14:formula1>
            <xm:f>項目!C17:$LWA$655361</xm:f>
          </x14:formula1>
          <xm:sqref>LWI655365:LWI655388</xm:sqref>
        </x14:dataValidation>
        <x14:dataValidation type="list" allowBlank="1" showInputMessage="1" showErrorMessage="1" xr:uid="{00000000-0002-0000-0300-0000830A0000}">
          <x14:formula1>
            <xm:f>項目!C17:$MFW$655361</xm:f>
          </x14:formula1>
          <xm:sqref>MGE655365:MGE655388</xm:sqref>
        </x14:dataValidation>
        <x14:dataValidation type="list" allowBlank="1" showInputMessage="1" showErrorMessage="1" xr:uid="{00000000-0002-0000-0300-0000840A0000}">
          <x14:formula1>
            <xm:f>項目!C17:$MPS$655361</xm:f>
          </x14:formula1>
          <xm:sqref>MQA655365:MQA655388</xm:sqref>
        </x14:dataValidation>
        <x14:dataValidation type="list" allowBlank="1" showInputMessage="1" showErrorMessage="1" xr:uid="{00000000-0002-0000-0300-0000850A0000}">
          <x14:formula1>
            <xm:f>項目!C17:$MZO$655361</xm:f>
          </x14:formula1>
          <xm:sqref>MZW655365:MZW655388</xm:sqref>
        </x14:dataValidation>
        <x14:dataValidation type="list" allowBlank="1" showInputMessage="1" showErrorMessage="1" xr:uid="{00000000-0002-0000-0300-0000860A0000}">
          <x14:formula1>
            <xm:f>項目!C17:$NJK$655361</xm:f>
          </x14:formula1>
          <xm:sqref>NJS655365:NJS655388</xm:sqref>
        </x14:dataValidation>
        <x14:dataValidation type="list" allowBlank="1" showInputMessage="1" showErrorMessage="1" xr:uid="{00000000-0002-0000-0300-0000870A0000}">
          <x14:formula1>
            <xm:f>項目!C17:$NTG$655361</xm:f>
          </x14:formula1>
          <xm:sqref>NTO655365:NTO655388</xm:sqref>
        </x14:dataValidation>
        <x14:dataValidation type="list" allowBlank="1" showInputMessage="1" showErrorMessage="1" xr:uid="{00000000-0002-0000-0300-0000880A0000}">
          <x14:formula1>
            <xm:f>項目!C17:$ODC$655361</xm:f>
          </x14:formula1>
          <xm:sqref>ODK655365:ODK655388</xm:sqref>
        </x14:dataValidation>
        <x14:dataValidation type="list" allowBlank="1" showInputMessage="1" showErrorMessage="1" xr:uid="{00000000-0002-0000-0300-0000890A0000}">
          <x14:formula1>
            <xm:f>項目!C17:$OMY$655361</xm:f>
          </x14:formula1>
          <xm:sqref>ONG655365:ONG655388</xm:sqref>
        </x14:dataValidation>
        <x14:dataValidation type="list" allowBlank="1" showInputMessage="1" showErrorMessage="1" xr:uid="{00000000-0002-0000-0300-00008A0A0000}">
          <x14:formula1>
            <xm:f>項目!C17:$OWU$655361</xm:f>
          </x14:formula1>
          <xm:sqref>OXC655365:OXC655388</xm:sqref>
        </x14:dataValidation>
        <x14:dataValidation type="list" allowBlank="1" showInputMessage="1" showErrorMessage="1" xr:uid="{00000000-0002-0000-0300-00008B0A0000}">
          <x14:formula1>
            <xm:f>項目!C17:$PGQ$655361</xm:f>
          </x14:formula1>
          <xm:sqref>PGY655365:PGY655388</xm:sqref>
        </x14:dataValidation>
        <x14:dataValidation type="list" allowBlank="1" showInputMessage="1" showErrorMessage="1" xr:uid="{00000000-0002-0000-0300-00008C0A0000}">
          <x14:formula1>
            <xm:f>項目!C17:$PQM$655361</xm:f>
          </x14:formula1>
          <xm:sqref>PQU655365:PQU655388</xm:sqref>
        </x14:dataValidation>
        <x14:dataValidation type="list" allowBlank="1" showInputMessage="1" showErrorMessage="1" xr:uid="{00000000-0002-0000-0300-00008D0A0000}">
          <x14:formula1>
            <xm:f>項目!C17:$QAI$655361</xm:f>
          </x14:formula1>
          <xm:sqref>QAQ655365:QAQ655388</xm:sqref>
        </x14:dataValidation>
        <x14:dataValidation type="list" allowBlank="1" showInputMessage="1" showErrorMessage="1" xr:uid="{00000000-0002-0000-0300-00008E0A0000}">
          <x14:formula1>
            <xm:f>項目!C17:$QKE$655361</xm:f>
          </x14:formula1>
          <xm:sqref>QKM655365:QKM655388</xm:sqref>
        </x14:dataValidation>
        <x14:dataValidation type="list" allowBlank="1" showInputMessage="1" showErrorMessage="1" xr:uid="{00000000-0002-0000-0300-00008F0A0000}">
          <x14:formula1>
            <xm:f>項目!C17:$QUA$655361</xm:f>
          </x14:formula1>
          <xm:sqref>QUI655365:QUI655388</xm:sqref>
        </x14:dataValidation>
        <x14:dataValidation type="list" allowBlank="1" showInputMessage="1" showErrorMessage="1" xr:uid="{00000000-0002-0000-0300-0000900A0000}">
          <x14:formula1>
            <xm:f>項目!C17:$RDW$655361</xm:f>
          </x14:formula1>
          <xm:sqref>REE655365:REE655388</xm:sqref>
        </x14:dataValidation>
        <x14:dataValidation type="list" allowBlank="1" showInputMessage="1" showErrorMessage="1" xr:uid="{00000000-0002-0000-0300-0000910A0000}">
          <x14:formula1>
            <xm:f>項目!C17:$RNS$655361</xm:f>
          </x14:formula1>
          <xm:sqref>ROA655365:ROA655388</xm:sqref>
        </x14:dataValidation>
        <x14:dataValidation type="list" allowBlank="1" showInputMessage="1" showErrorMessage="1" xr:uid="{00000000-0002-0000-0300-0000920A0000}">
          <x14:formula1>
            <xm:f>項目!C17:$RXO$655361</xm:f>
          </x14:formula1>
          <xm:sqref>RXW655365:RXW655388</xm:sqref>
        </x14:dataValidation>
        <x14:dataValidation type="list" allowBlank="1" showInputMessage="1" showErrorMessage="1" xr:uid="{00000000-0002-0000-0300-0000930A0000}">
          <x14:formula1>
            <xm:f>項目!C17:$SHK$655361</xm:f>
          </x14:formula1>
          <xm:sqref>SHS655365:SHS655388</xm:sqref>
        </x14:dataValidation>
        <x14:dataValidation type="list" allowBlank="1" showInputMessage="1" showErrorMessage="1" xr:uid="{00000000-0002-0000-0300-0000940A0000}">
          <x14:formula1>
            <xm:f>項目!C17:$SRG$655361</xm:f>
          </x14:formula1>
          <xm:sqref>SRO655365:SRO655388</xm:sqref>
        </x14:dataValidation>
        <x14:dataValidation type="list" allowBlank="1" showInputMessage="1" showErrorMessage="1" xr:uid="{00000000-0002-0000-0300-0000950A0000}">
          <x14:formula1>
            <xm:f>項目!C17:$TBC$655361</xm:f>
          </x14:formula1>
          <xm:sqref>TBK655365:TBK655388</xm:sqref>
        </x14:dataValidation>
        <x14:dataValidation type="list" allowBlank="1" showInputMessage="1" showErrorMessage="1" xr:uid="{00000000-0002-0000-0300-0000960A0000}">
          <x14:formula1>
            <xm:f>項目!C17:$TKY$655361</xm:f>
          </x14:formula1>
          <xm:sqref>TLG655365:TLG655388</xm:sqref>
        </x14:dataValidation>
        <x14:dataValidation type="list" allowBlank="1" showInputMessage="1" showErrorMessage="1" xr:uid="{00000000-0002-0000-0300-0000970A0000}">
          <x14:formula1>
            <xm:f>項目!C17:$TUU$655361</xm:f>
          </x14:formula1>
          <xm:sqref>TVC655365:TVC655388</xm:sqref>
        </x14:dataValidation>
        <x14:dataValidation type="list" allowBlank="1" showInputMessage="1" showErrorMessage="1" xr:uid="{00000000-0002-0000-0300-0000980A0000}">
          <x14:formula1>
            <xm:f>項目!C17:$UEQ$655361</xm:f>
          </x14:formula1>
          <xm:sqref>UEY655365:UEY655388</xm:sqref>
        </x14:dataValidation>
        <x14:dataValidation type="list" allowBlank="1" showInputMessage="1" showErrorMessage="1" xr:uid="{00000000-0002-0000-0300-0000990A0000}">
          <x14:formula1>
            <xm:f>項目!C17:$UOM$655361</xm:f>
          </x14:formula1>
          <xm:sqref>UOU655365:UOU655388</xm:sqref>
        </x14:dataValidation>
        <x14:dataValidation type="list" allowBlank="1" showInputMessage="1" showErrorMessage="1" xr:uid="{00000000-0002-0000-0300-00009A0A0000}">
          <x14:formula1>
            <xm:f>項目!C17:$UYI$655361</xm:f>
          </x14:formula1>
          <xm:sqref>UYQ655365:UYQ655388</xm:sqref>
        </x14:dataValidation>
        <x14:dataValidation type="list" allowBlank="1" showInputMessage="1" showErrorMessage="1" xr:uid="{00000000-0002-0000-0300-00009B0A0000}">
          <x14:formula1>
            <xm:f>項目!C17:$VIE$655361</xm:f>
          </x14:formula1>
          <xm:sqref>VIM655365:VIM655388</xm:sqref>
        </x14:dataValidation>
        <x14:dataValidation type="list" allowBlank="1" showInputMessage="1" showErrorMessage="1" xr:uid="{00000000-0002-0000-0300-00009C0A0000}">
          <x14:formula1>
            <xm:f>項目!C17:$VSA$655361</xm:f>
          </x14:formula1>
          <xm:sqref>VSI655365:VSI655388</xm:sqref>
        </x14:dataValidation>
        <x14:dataValidation type="list" allowBlank="1" showInputMessage="1" showErrorMessage="1" xr:uid="{00000000-0002-0000-0300-00009D0A0000}">
          <x14:formula1>
            <xm:f>項目!C17:$WBW$655361</xm:f>
          </x14:formula1>
          <xm:sqref>WCE655365:WCE655388</xm:sqref>
        </x14:dataValidation>
        <x14:dataValidation type="list" allowBlank="1" showInputMessage="1" showErrorMessage="1" xr:uid="{00000000-0002-0000-0300-00009E0A0000}">
          <x14:formula1>
            <xm:f>項目!C17:$WLS$655361</xm:f>
          </x14:formula1>
          <xm:sqref>WMA655365:WMA655388</xm:sqref>
        </x14:dataValidation>
        <x14:dataValidation type="list" allowBlank="1" showInputMessage="1" showErrorMessage="1" xr:uid="{00000000-0002-0000-0300-00009F0A0000}">
          <x14:formula1>
            <xm:f>項目!C17:$WVO$655361</xm:f>
          </x14:formula1>
          <xm:sqref>WVW655365:WVW655388</xm:sqref>
        </x14:dataValidation>
        <x14:dataValidation type="list" allowBlank="1" showInputMessage="1" showErrorMessage="1" xr:uid="{00000000-0002-0000-0300-0000A00A0000}">
          <x14:formula1>
            <xm:f>項目!C17:$J$720897</xm:f>
          </x14:formula1>
          <xm:sqref>O720901:O720924</xm:sqref>
        </x14:dataValidation>
        <x14:dataValidation type="list" allowBlank="1" showInputMessage="1" showErrorMessage="1" xr:uid="{00000000-0002-0000-0300-0000A10A0000}">
          <x14:formula1>
            <xm:f>項目!C17:$JC$720897</xm:f>
          </x14:formula1>
          <xm:sqref>JK720901:JK720924</xm:sqref>
        </x14:dataValidation>
        <x14:dataValidation type="list" allowBlank="1" showInputMessage="1" showErrorMessage="1" xr:uid="{00000000-0002-0000-0300-0000A20A0000}">
          <x14:formula1>
            <xm:f>項目!C17:$SY$720897</xm:f>
          </x14:formula1>
          <xm:sqref>TG720901:TG720924</xm:sqref>
        </x14:dataValidation>
        <x14:dataValidation type="list" allowBlank="1" showInputMessage="1" showErrorMessage="1" xr:uid="{00000000-0002-0000-0300-0000A30A0000}">
          <x14:formula1>
            <xm:f>項目!C17:$ACU$720897</xm:f>
          </x14:formula1>
          <xm:sqref>ADC720901:ADC720924</xm:sqref>
        </x14:dataValidation>
        <x14:dataValidation type="list" allowBlank="1" showInputMessage="1" showErrorMessage="1" xr:uid="{00000000-0002-0000-0300-0000A40A0000}">
          <x14:formula1>
            <xm:f>項目!C17:$AMQ$720897</xm:f>
          </x14:formula1>
          <xm:sqref>AMY720901:AMY720924</xm:sqref>
        </x14:dataValidation>
        <x14:dataValidation type="list" allowBlank="1" showInputMessage="1" showErrorMessage="1" xr:uid="{00000000-0002-0000-0300-0000A50A0000}">
          <x14:formula1>
            <xm:f>項目!C17:$AWM$720897</xm:f>
          </x14:formula1>
          <xm:sqref>AWU720901:AWU720924</xm:sqref>
        </x14:dataValidation>
        <x14:dataValidation type="list" allowBlank="1" showInputMessage="1" showErrorMessage="1" xr:uid="{00000000-0002-0000-0300-0000A60A0000}">
          <x14:formula1>
            <xm:f>項目!C17:$BGI$720897</xm:f>
          </x14:formula1>
          <xm:sqref>BGQ720901:BGQ720924</xm:sqref>
        </x14:dataValidation>
        <x14:dataValidation type="list" allowBlank="1" showInputMessage="1" showErrorMessage="1" xr:uid="{00000000-0002-0000-0300-0000A70A0000}">
          <x14:formula1>
            <xm:f>項目!C17:$BQE$720897</xm:f>
          </x14:formula1>
          <xm:sqref>BQM720901:BQM720924</xm:sqref>
        </x14:dataValidation>
        <x14:dataValidation type="list" allowBlank="1" showInputMessage="1" showErrorMessage="1" xr:uid="{00000000-0002-0000-0300-0000A80A0000}">
          <x14:formula1>
            <xm:f>項目!C17:$CAA$720897</xm:f>
          </x14:formula1>
          <xm:sqref>CAI720901:CAI720924</xm:sqref>
        </x14:dataValidation>
        <x14:dataValidation type="list" allowBlank="1" showInputMessage="1" showErrorMessage="1" xr:uid="{00000000-0002-0000-0300-0000A90A0000}">
          <x14:formula1>
            <xm:f>項目!C17:$CJW$720897</xm:f>
          </x14:formula1>
          <xm:sqref>CKE720901:CKE720924</xm:sqref>
        </x14:dataValidation>
        <x14:dataValidation type="list" allowBlank="1" showInputMessage="1" showErrorMessage="1" xr:uid="{00000000-0002-0000-0300-0000AA0A0000}">
          <x14:formula1>
            <xm:f>項目!C17:$CTS$720897</xm:f>
          </x14:formula1>
          <xm:sqref>CUA720901:CUA720924</xm:sqref>
        </x14:dataValidation>
        <x14:dataValidation type="list" allowBlank="1" showInputMessage="1" showErrorMessage="1" xr:uid="{00000000-0002-0000-0300-0000AB0A0000}">
          <x14:formula1>
            <xm:f>項目!C17:$DDO$720897</xm:f>
          </x14:formula1>
          <xm:sqref>DDW720901:DDW720924</xm:sqref>
        </x14:dataValidation>
        <x14:dataValidation type="list" allowBlank="1" showInputMessage="1" showErrorMessage="1" xr:uid="{00000000-0002-0000-0300-0000AC0A0000}">
          <x14:formula1>
            <xm:f>項目!C17:$DNK$720897</xm:f>
          </x14:formula1>
          <xm:sqref>DNS720901:DNS720924</xm:sqref>
        </x14:dataValidation>
        <x14:dataValidation type="list" allowBlank="1" showInputMessage="1" showErrorMessage="1" xr:uid="{00000000-0002-0000-0300-0000AD0A0000}">
          <x14:formula1>
            <xm:f>項目!C17:$DXG$720897</xm:f>
          </x14:formula1>
          <xm:sqref>DXO720901:DXO720924</xm:sqref>
        </x14:dataValidation>
        <x14:dataValidation type="list" allowBlank="1" showInputMessage="1" showErrorMessage="1" xr:uid="{00000000-0002-0000-0300-0000AE0A0000}">
          <x14:formula1>
            <xm:f>項目!C17:$EHC$720897</xm:f>
          </x14:formula1>
          <xm:sqref>EHK720901:EHK720924</xm:sqref>
        </x14:dataValidation>
        <x14:dataValidation type="list" allowBlank="1" showInputMessage="1" showErrorMessage="1" xr:uid="{00000000-0002-0000-0300-0000AF0A0000}">
          <x14:formula1>
            <xm:f>項目!C17:$EQY$720897</xm:f>
          </x14:formula1>
          <xm:sqref>ERG720901:ERG720924</xm:sqref>
        </x14:dataValidation>
        <x14:dataValidation type="list" allowBlank="1" showInputMessage="1" showErrorMessage="1" xr:uid="{00000000-0002-0000-0300-0000B00A0000}">
          <x14:formula1>
            <xm:f>項目!C17:$FAU$720897</xm:f>
          </x14:formula1>
          <xm:sqref>FBC720901:FBC720924</xm:sqref>
        </x14:dataValidation>
        <x14:dataValidation type="list" allowBlank="1" showInputMessage="1" showErrorMessage="1" xr:uid="{00000000-0002-0000-0300-0000B10A0000}">
          <x14:formula1>
            <xm:f>項目!C17:$FKQ$720897</xm:f>
          </x14:formula1>
          <xm:sqref>FKY720901:FKY720924</xm:sqref>
        </x14:dataValidation>
        <x14:dataValidation type="list" allowBlank="1" showInputMessage="1" showErrorMessage="1" xr:uid="{00000000-0002-0000-0300-0000B20A0000}">
          <x14:formula1>
            <xm:f>項目!C17:$FUM$720897</xm:f>
          </x14:formula1>
          <xm:sqref>FUU720901:FUU720924</xm:sqref>
        </x14:dataValidation>
        <x14:dataValidation type="list" allowBlank="1" showInputMessage="1" showErrorMessage="1" xr:uid="{00000000-0002-0000-0300-0000B30A0000}">
          <x14:formula1>
            <xm:f>項目!C17:$GEI$720897</xm:f>
          </x14:formula1>
          <xm:sqref>GEQ720901:GEQ720924</xm:sqref>
        </x14:dataValidation>
        <x14:dataValidation type="list" allowBlank="1" showInputMessage="1" showErrorMessage="1" xr:uid="{00000000-0002-0000-0300-0000B40A0000}">
          <x14:formula1>
            <xm:f>項目!C17:$GOE$720897</xm:f>
          </x14:formula1>
          <xm:sqref>GOM720901:GOM720924</xm:sqref>
        </x14:dataValidation>
        <x14:dataValidation type="list" allowBlank="1" showInputMessage="1" showErrorMessage="1" xr:uid="{00000000-0002-0000-0300-0000B50A0000}">
          <x14:formula1>
            <xm:f>項目!C17:$GYA$720897</xm:f>
          </x14:formula1>
          <xm:sqref>GYI720901:GYI720924</xm:sqref>
        </x14:dataValidation>
        <x14:dataValidation type="list" allowBlank="1" showInputMessage="1" showErrorMessage="1" xr:uid="{00000000-0002-0000-0300-0000B60A0000}">
          <x14:formula1>
            <xm:f>項目!C17:$HHW$720897</xm:f>
          </x14:formula1>
          <xm:sqref>HIE720901:HIE720924</xm:sqref>
        </x14:dataValidation>
        <x14:dataValidation type="list" allowBlank="1" showInputMessage="1" showErrorMessage="1" xr:uid="{00000000-0002-0000-0300-0000B70A0000}">
          <x14:formula1>
            <xm:f>項目!C17:$HRS$720897</xm:f>
          </x14:formula1>
          <xm:sqref>HSA720901:HSA720924</xm:sqref>
        </x14:dataValidation>
        <x14:dataValidation type="list" allowBlank="1" showInputMessage="1" showErrorMessage="1" xr:uid="{00000000-0002-0000-0300-0000B80A0000}">
          <x14:formula1>
            <xm:f>項目!C17:$IBO$720897</xm:f>
          </x14:formula1>
          <xm:sqref>IBW720901:IBW720924</xm:sqref>
        </x14:dataValidation>
        <x14:dataValidation type="list" allowBlank="1" showInputMessage="1" showErrorMessage="1" xr:uid="{00000000-0002-0000-0300-0000B90A0000}">
          <x14:formula1>
            <xm:f>項目!C17:$ILK$720897</xm:f>
          </x14:formula1>
          <xm:sqref>ILS720901:ILS720924</xm:sqref>
        </x14:dataValidation>
        <x14:dataValidation type="list" allowBlank="1" showInputMessage="1" showErrorMessage="1" xr:uid="{00000000-0002-0000-0300-0000BA0A0000}">
          <x14:formula1>
            <xm:f>項目!C17:$IVG$720897</xm:f>
          </x14:formula1>
          <xm:sqref>IVO720901:IVO720924</xm:sqref>
        </x14:dataValidation>
        <x14:dataValidation type="list" allowBlank="1" showInputMessage="1" showErrorMessage="1" xr:uid="{00000000-0002-0000-0300-0000BB0A0000}">
          <x14:formula1>
            <xm:f>項目!C17:$JFC$720897</xm:f>
          </x14:formula1>
          <xm:sqref>JFK720901:JFK720924</xm:sqref>
        </x14:dataValidation>
        <x14:dataValidation type="list" allowBlank="1" showInputMessage="1" showErrorMessage="1" xr:uid="{00000000-0002-0000-0300-0000BC0A0000}">
          <x14:formula1>
            <xm:f>項目!C17:$JOY$720897</xm:f>
          </x14:formula1>
          <xm:sqref>JPG720901:JPG720924</xm:sqref>
        </x14:dataValidation>
        <x14:dataValidation type="list" allowBlank="1" showInputMessage="1" showErrorMessage="1" xr:uid="{00000000-0002-0000-0300-0000BD0A0000}">
          <x14:formula1>
            <xm:f>項目!C17:$JYU$720897</xm:f>
          </x14:formula1>
          <xm:sqref>JZC720901:JZC720924</xm:sqref>
        </x14:dataValidation>
        <x14:dataValidation type="list" allowBlank="1" showInputMessage="1" showErrorMessage="1" xr:uid="{00000000-0002-0000-0300-0000BE0A0000}">
          <x14:formula1>
            <xm:f>項目!C17:$KIQ$720897</xm:f>
          </x14:formula1>
          <xm:sqref>KIY720901:KIY720924</xm:sqref>
        </x14:dataValidation>
        <x14:dataValidation type="list" allowBlank="1" showInputMessage="1" showErrorMessage="1" xr:uid="{00000000-0002-0000-0300-0000BF0A0000}">
          <x14:formula1>
            <xm:f>項目!C17:$KSM$720897</xm:f>
          </x14:formula1>
          <xm:sqref>KSU720901:KSU720924</xm:sqref>
        </x14:dataValidation>
        <x14:dataValidation type="list" allowBlank="1" showInputMessage="1" showErrorMessage="1" xr:uid="{00000000-0002-0000-0300-0000C00A0000}">
          <x14:formula1>
            <xm:f>項目!C17:$LCI$720897</xm:f>
          </x14:formula1>
          <xm:sqref>LCQ720901:LCQ720924</xm:sqref>
        </x14:dataValidation>
        <x14:dataValidation type="list" allowBlank="1" showInputMessage="1" showErrorMessage="1" xr:uid="{00000000-0002-0000-0300-0000C10A0000}">
          <x14:formula1>
            <xm:f>項目!C17:$LME$720897</xm:f>
          </x14:formula1>
          <xm:sqref>LMM720901:LMM720924</xm:sqref>
        </x14:dataValidation>
        <x14:dataValidation type="list" allowBlank="1" showInputMessage="1" showErrorMessage="1" xr:uid="{00000000-0002-0000-0300-0000C20A0000}">
          <x14:formula1>
            <xm:f>項目!C17:$LWA$720897</xm:f>
          </x14:formula1>
          <xm:sqref>LWI720901:LWI720924</xm:sqref>
        </x14:dataValidation>
        <x14:dataValidation type="list" allowBlank="1" showInputMessage="1" showErrorMessage="1" xr:uid="{00000000-0002-0000-0300-0000C30A0000}">
          <x14:formula1>
            <xm:f>項目!C17:$MFW$720897</xm:f>
          </x14:formula1>
          <xm:sqref>MGE720901:MGE720924</xm:sqref>
        </x14:dataValidation>
        <x14:dataValidation type="list" allowBlank="1" showInputMessage="1" showErrorMessage="1" xr:uid="{00000000-0002-0000-0300-0000C40A0000}">
          <x14:formula1>
            <xm:f>項目!C17:$MPS$720897</xm:f>
          </x14:formula1>
          <xm:sqref>MQA720901:MQA720924</xm:sqref>
        </x14:dataValidation>
        <x14:dataValidation type="list" allowBlank="1" showInputMessage="1" showErrorMessage="1" xr:uid="{00000000-0002-0000-0300-0000C50A0000}">
          <x14:formula1>
            <xm:f>項目!C17:$MZO$720897</xm:f>
          </x14:formula1>
          <xm:sqref>MZW720901:MZW720924</xm:sqref>
        </x14:dataValidation>
        <x14:dataValidation type="list" allowBlank="1" showInputMessage="1" showErrorMessage="1" xr:uid="{00000000-0002-0000-0300-0000C60A0000}">
          <x14:formula1>
            <xm:f>項目!C17:$NJK$720897</xm:f>
          </x14:formula1>
          <xm:sqref>NJS720901:NJS720924</xm:sqref>
        </x14:dataValidation>
        <x14:dataValidation type="list" allowBlank="1" showInputMessage="1" showErrorMessage="1" xr:uid="{00000000-0002-0000-0300-0000C70A0000}">
          <x14:formula1>
            <xm:f>項目!C17:$NTG$720897</xm:f>
          </x14:formula1>
          <xm:sqref>NTO720901:NTO720924</xm:sqref>
        </x14:dataValidation>
        <x14:dataValidation type="list" allowBlank="1" showInputMessage="1" showErrorMessage="1" xr:uid="{00000000-0002-0000-0300-0000C80A0000}">
          <x14:formula1>
            <xm:f>項目!C17:$ODC$720897</xm:f>
          </x14:formula1>
          <xm:sqref>ODK720901:ODK720924</xm:sqref>
        </x14:dataValidation>
        <x14:dataValidation type="list" allowBlank="1" showInputMessage="1" showErrorMessage="1" xr:uid="{00000000-0002-0000-0300-0000C90A0000}">
          <x14:formula1>
            <xm:f>項目!C17:$OMY$720897</xm:f>
          </x14:formula1>
          <xm:sqref>ONG720901:ONG720924</xm:sqref>
        </x14:dataValidation>
        <x14:dataValidation type="list" allowBlank="1" showInputMessage="1" showErrorMessage="1" xr:uid="{00000000-0002-0000-0300-0000CA0A0000}">
          <x14:formula1>
            <xm:f>項目!C17:$OWU$720897</xm:f>
          </x14:formula1>
          <xm:sqref>OXC720901:OXC720924</xm:sqref>
        </x14:dataValidation>
        <x14:dataValidation type="list" allowBlank="1" showInputMessage="1" showErrorMessage="1" xr:uid="{00000000-0002-0000-0300-0000CB0A0000}">
          <x14:formula1>
            <xm:f>項目!C17:$PGQ$720897</xm:f>
          </x14:formula1>
          <xm:sqref>PGY720901:PGY720924</xm:sqref>
        </x14:dataValidation>
        <x14:dataValidation type="list" allowBlank="1" showInputMessage="1" showErrorMessage="1" xr:uid="{00000000-0002-0000-0300-0000CC0A0000}">
          <x14:formula1>
            <xm:f>項目!C17:$PQM$720897</xm:f>
          </x14:formula1>
          <xm:sqref>PQU720901:PQU720924</xm:sqref>
        </x14:dataValidation>
        <x14:dataValidation type="list" allowBlank="1" showInputMessage="1" showErrorMessage="1" xr:uid="{00000000-0002-0000-0300-0000CD0A0000}">
          <x14:formula1>
            <xm:f>項目!C17:$QAI$720897</xm:f>
          </x14:formula1>
          <xm:sqref>QAQ720901:QAQ720924</xm:sqref>
        </x14:dataValidation>
        <x14:dataValidation type="list" allowBlank="1" showInputMessage="1" showErrorMessage="1" xr:uid="{00000000-0002-0000-0300-0000CE0A0000}">
          <x14:formula1>
            <xm:f>項目!C17:$QKE$720897</xm:f>
          </x14:formula1>
          <xm:sqref>QKM720901:QKM720924</xm:sqref>
        </x14:dataValidation>
        <x14:dataValidation type="list" allowBlank="1" showInputMessage="1" showErrorMessage="1" xr:uid="{00000000-0002-0000-0300-0000CF0A0000}">
          <x14:formula1>
            <xm:f>項目!C17:$QUA$720897</xm:f>
          </x14:formula1>
          <xm:sqref>QUI720901:QUI720924</xm:sqref>
        </x14:dataValidation>
        <x14:dataValidation type="list" allowBlank="1" showInputMessage="1" showErrorMessage="1" xr:uid="{00000000-0002-0000-0300-0000D00A0000}">
          <x14:formula1>
            <xm:f>項目!C17:$RDW$720897</xm:f>
          </x14:formula1>
          <xm:sqref>REE720901:REE720924</xm:sqref>
        </x14:dataValidation>
        <x14:dataValidation type="list" allowBlank="1" showInputMessage="1" showErrorMessage="1" xr:uid="{00000000-0002-0000-0300-0000D10A0000}">
          <x14:formula1>
            <xm:f>項目!C17:$RNS$720897</xm:f>
          </x14:formula1>
          <xm:sqref>ROA720901:ROA720924</xm:sqref>
        </x14:dataValidation>
        <x14:dataValidation type="list" allowBlank="1" showInputMessage="1" showErrorMessage="1" xr:uid="{00000000-0002-0000-0300-0000D20A0000}">
          <x14:formula1>
            <xm:f>項目!C17:$RXO$720897</xm:f>
          </x14:formula1>
          <xm:sqref>RXW720901:RXW720924</xm:sqref>
        </x14:dataValidation>
        <x14:dataValidation type="list" allowBlank="1" showInputMessage="1" showErrorMessage="1" xr:uid="{00000000-0002-0000-0300-0000D30A0000}">
          <x14:formula1>
            <xm:f>項目!C17:$SHK$720897</xm:f>
          </x14:formula1>
          <xm:sqref>SHS720901:SHS720924</xm:sqref>
        </x14:dataValidation>
        <x14:dataValidation type="list" allowBlank="1" showInputMessage="1" showErrorMessage="1" xr:uid="{00000000-0002-0000-0300-0000D40A0000}">
          <x14:formula1>
            <xm:f>項目!C17:$SRG$720897</xm:f>
          </x14:formula1>
          <xm:sqref>SRO720901:SRO720924</xm:sqref>
        </x14:dataValidation>
        <x14:dataValidation type="list" allowBlank="1" showInputMessage="1" showErrorMessage="1" xr:uid="{00000000-0002-0000-0300-0000D50A0000}">
          <x14:formula1>
            <xm:f>項目!C17:$TBC$720897</xm:f>
          </x14:formula1>
          <xm:sqref>TBK720901:TBK720924</xm:sqref>
        </x14:dataValidation>
        <x14:dataValidation type="list" allowBlank="1" showInputMessage="1" showErrorMessage="1" xr:uid="{00000000-0002-0000-0300-0000D60A0000}">
          <x14:formula1>
            <xm:f>項目!C17:$TKY$720897</xm:f>
          </x14:formula1>
          <xm:sqref>TLG720901:TLG720924</xm:sqref>
        </x14:dataValidation>
        <x14:dataValidation type="list" allowBlank="1" showInputMessage="1" showErrorMessage="1" xr:uid="{00000000-0002-0000-0300-0000D70A0000}">
          <x14:formula1>
            <xm:f>項目!C17:$TUU$720897</xm:f>
          </x14:formula1>
          <xm:sqref>TVC720901:TVC720924</xm:sqref>
        </x14:dataValidation>
        <x14:dataValidation type="list" allowBlank="1" showInputMessage="1" showErrorMessage="1" xr:uid="{00000000-0002-0000-0300-0000D80A0000}">
          <x14:formula1>
            <xm:f>項目!C17:$UEQ$720897</xm:f>
          </x14:formula1>
          <xm:sqref>UEY720901:UEY720924</xm:sqref>
        </x14:dataValidation>
        <x14:dataValidation type="list" allowBlank="1" showInputMessage="1" showErrorMessage="1" xr:uid="{00000000-0002-0000-0300-0000D90A0000}">
          <x14:formula1>
            <xm:f>項目!C17:$UOM$720897</xm:f>
          </x14:formula1>
          <xm:sqref>UOU720901:UOU720924</xm:sqref>
        </x14:dataValidation>
        <x14:dataValidation type="list" allowBlank="1" showInputMessage="1" showErrorMessage="1" xr:uid="{00000000-0002-0000-0300-0000DA0A0000}">
          <x14:formula1>
            <xm:f>項目!C17:$UYI$720897</xm:f>
          </x14:formula1>
          <xm:sqref>UYQ720901:UYQ720924</xm:sqref>
        </x14:dataValidation>
        <x14:dataValidation type="list" allowBlank="1" showInputMessage="1" showErrorMessage="1" xr:uid="{00000000-0002-0000-0300-0000DB0A0000}">
          <x14:formula1>
            <xm:f>項目!C17:$VIE$720897</xm:f>
          </x14:formula1>
          <xm:sqref>VIM720901:VIM720924</xm:sqref>
        </x14:dataValidation>
        <x14:dataValidation type="list" allowBlank="1" showInputMessage="1" showErrorMessage="1" xr:uid="{00000000-0002-0000-0300-0000DC0A0000}">
          <x14:formula1>
            <xm:f>項目!C17:$VSA$720897</xm:f>
          </x14:formula1>
          <xm:sqref>VSI720901:VSI720924</xm:sqref>
        </x14:dataValidation>
        <x14:dataValidation type="list" allowBlank="1" showInputMessage="1" showErrorMessage="1" xr:uid="{00000000-0002-0000-0300-0000DD0A0000}">
          <x14:formula1>
            <xm:f>項目!C17:$WBW$720897</xm:f>
          </x14:formula1>
          <xm:sqref>WCE720901:WCE720924</xm:sqref>
        </x14:dataValidation>
        <x14:dataValidation type="list" allowBlank="1" showInputMessage="1" showErrorMessage="1" xr:uid="{00000000-0002-0000-0300-0000DE0A0000}">
          <x14:formula1>
            <xm:f>項目!C17:$WLS$720897</xm:f>
          </x14:formula1>
          <xm:sqref>WMA720901:WMA720924</xm:sqref>
        </x14:dataValidation>
        <x14:dataValidation type="list" allowBlank="1" showInputMessage="1" showErrorMessage="1" xr:uid="{00000000-0002-0000-0300-0000DF0A0000}">
          <x14:formula1>
            <xm:f>項目!C17:$WVO$720897</xm:f>
          </x14:formula1>
          <xm:sqref>WVW720901:WVW720924</xm:sqref>
        </x14:dataValidation>
        <x14:dataValidation type="list" allowBlank="1" showInputMessage="1" showErrorMessage="1" xr:uid="{00000000-0002-0000-0300-0000E00A0000}">
          <x14:formula1>
            <xm:f>項目!C17:$J$786433</xm:f>
          </x14:formula1>
          <xm:sqref>O786437:O786460</xm:sqref>
        </x14:dataValidation>
        <x14:dataValidation type="list" allowBlank="1" showInputMessage="1" showErrorMessage="1" xr:uid="{00000000-0002-0000-0300-0000E10A0000}">
          <x14:formula1>
            <xm:f>項目!C17:$JC$786433</xm:f>
          </x14:formula1>
          <xm:sqref>JK786437:JK786460</xm:sqref>
        </x14:dataValidation>
        <x14:dataValidation type="list" allowBlank="1" showInputMessage="1" showErrorMessage="1" xr:uid="{00000000-0002-0000-0300-0000E20A0000}">
          <x14:formula1>
            <xm:f>項目!C17:$SY$786433</xm:f>
          </x14:formula1>
          <xm:sqref>TG786437:TG786460</xm:sqref>
        </x14:dataValidation>
        <x14:dataValidation type="list" allowBlank="1" showInputMessage="1" showErrorMessage="1" xr:uid="{00000000-0002-0000-0300-0000E30A0000}">
          <x14:formula1>
            <xm:f>項目!C17:$ACU$786433</xm:f>
          </x14:formula1>
          <xm:sqref>ADC786437:ADC786460</xm:sqref>
        </x14:dataValidation>
        <x14:dataValidation type="list" allowBlank="1" showInputMessage="1" showErrorMessage="1" xr:uid="{00000000-0002-0000-0300-0000E40A0000}">
          <x14:formula1>
            <xm:f>項目!C17:$AMQ$786433</xm:f>
          </x14:formula1>
          <xm:sqref>AMY786437:AMY786460</xm:sqref>
        </x14:dataValidation>
        <x14:dataValidation type="list" allowBlank="1" showInputMessage="1" showErrorMessage="1" xr:uid="{00000000-0002-0000-0300-0000E50A0000}">
          <x14:formula1>
            <xm:f>項目!C17:$AWM$786433</xm:f>
          </x14:formula1>
          <xm:sqref>AWU786437:AWU786460</xm:sqref>
        </x14:dataValidation>
        <x14:dataValidation type="list" allowBlank="1" showInputMessage="1" showErrorMessage="1" xr:uid="{00000000-0002-0000-0300-0000E60A0000}">
          <x14:formula1>
            <xm:f>項目!C17:$BGI$786433</xm:f>
          </x14:formula1>
          <xm:sqref>BGQ786437:BGQ786460</xm:sqref>
        </x14:dataValidation>
        <x14:dataValidation type="list" allowBlank="1" showInputMessage="1" showErrorMessage="1" xr:uid="{00000000-0002-0000-0300-0000E70A0000}">
          <x14:formula1>
            <xm:f>項目!C17:$BQE$786433</xm:f>
          </x14:formula1>
          <xm:sqref>BQM786437:BQM786460</xm:sqref>
        </x14:dataValidation>
        <x14:dataValidation type="list" allowBlank="1" showInputMessage="1" showErrorMessage="1" xr:uid="{00000000-0002-0000-0300-0000E80A0000}">
          <x14:formula1>
            <xm:f>項目!C17:$CAA$786433</xm:f>
          </x14:formula1>
          <xm:sqref>CAI786437:CAI786460</xm:sqref>
        </x14:dataValidation>
        <x14:dataValidation type="list" allowBlank="1" showInputMessage="1" showErrorMessage="1" xr:uid="{00000000-0002-0000-0300-0000E90A0000}">
          <x14:formula1>
            <xm:f>項目!C17:$CJW$786433</xm:f>
          </x14:formula1>
          <xm:sqref>CKE786437:CKE786460</xm:sqref>
        </x14:dataValidation>
        <x14:dataValidation type="list" allowBlank="1" showInputMessage="1" showErrorMessage="1" xr:uid="{00000000-0002-0000-0300-0000EA0A0000}">
          <x14:formula1>
            <xm:f>項目!C17:$CTS$786433</xm:f>
          </x14:formula1>
          <xm:sqref>CUA786437:CUA786460</xm:sqref>
        </x14:dataValidation>
        <x14:dataValidation type="list" allowBlank="1" showInputMessage="1" showErrorMessage="1" xr:uid="{00000000-0002-0000-0300-0000EB0A0000}">
          <x14:formula1>
            <xm:f>項目!C17:$DDO$786433</xm:f>
          </x14:formula1>
          <xm:sqref>DDW786437:DDW786460</xm:sqref>
        </x14:dataValidation>
        <x14:dataValidation type="list" allowBlank="1" showInputMessage="1" showErrorMessage="1" xr:uid="{00000000-0002-0000-0300-0000EC0A0000}">
          <x14:formula1>
            <xm:f>項目!C17:$DNK$786433</xm:f>
          </x14:formula1>
          <xm:sqref>DNS786437:DNS786460</xm:sqref>
        </x14:dataValidation>
        <x14:dataValidation type="list" allowBlank="1" showInputMessage="1" showErrorMessage="1" xr:uid="{00000000-0002-0000-0300-0000ED0A0000}">
          <x14:formula1>
            <xm:f>項目!C17:$DXG$786433</xm:f>
          </x14:formula1>
          <xm:sqref>DXO786437:DXO786460</xm:sqref>
        </x14:dataValidation>
        <x14:dataValidation type="list" allowBlank="1" showInputMessage="1" showErrorMessage="1" xr:uid="{00000000-0002-0000-0300-0000EE0A0000}">
          <x14:formula1>
            <xm:f>項目!C17:$EHC$786433</xm:f>
          </x14:formula1>
          <xm:sqref>EHK786437:EHK786460</xm:sqref>
        </x14:dataValidation>
        <x14:dataValidation type="list" allowBlank="1" showInputMessage="1" showErrorMessage="1" xr:uid="{00000000-0002-0000-0300-0000EF0A0000}">
          <x14:formula1>
            <xm:f>項目!C17:$EQY$786433</xm:f>
          </x14:formula1>
          <xm:sqref>ERG786437:ERG786460</xm:sqref>
        </x14:dataValidation>
        <x14:dataValidation type="list" allowBlank="1" showInputMessage="1" showErrorMessage="1" xr:uid="{00000000-0002-0000-0300-0000F00A0000}">
          <x14:formula1>
            <xm:f>項目!C17:$FAU$786433</xm:f>
          </x14:formula1>
          <xm:sqref>FBC786437:FBC786460</xm:sqref>
        </x14:dataValidation>
        <x14:dataValidation type="list" allowBlank="1" showInputMessage="1" showErrorMessage="1" xr:uid="{00000000-0002-0000-0300-0000F10A0000}">
          <x14:formula1>
            <xm:f>項目!C17:$FKQ$786433</xm:f>
          </x14:formula1>
          <xm:sqref>FKY786437:FKY786460</xm:sqref>
        </x14:dataValidation>
        <x14:dataValidation type="list" allowBlank="1" showInputMessage="1" showErrorMessage="1" xr:uid="{00000000-0002-0000-0300-0000F20A0000}">
          <x14:formula1>
            <xm:f>項目!C17:$FUM$786433</xm:f>
          </x14:formula1>
          <xm:sqref>FUU786437:FUU786460</xm:sqref>
        </x14:dataValidation>
        <x14:dataValidation type="list" allowBlank="1" showInputMessage="1" showErrorMessage="1" xr:uid="{00000000-0002-0000-0300-0000F30A0000}">
          <x14:formula1>
            <xm:f>項目!C17:$GEI$786433</xm:f>
          </x14:formula1>
          <xm:sqref>GEQ786437:GEQ786460</xm:sqref>
        </x14:dataValidation>
        <x14:dataValidation type="list" allowBlank="1" showInputMessage="1" showErrorMessage="1" xr:uid="{00000000-0002-0000-0300-0000F40A0000}">
          <x14:formula1>
            <xm:f>項目!C17:$GOE$786433</xm:f>
          </x14:formula1>
          <xm:sqref>GOM786437:GOM786460</xm:sqref>
        </x14:dataValidation>
        <x14:dataValidation type="list" allowBlank="1" showInputMessage="1" showErrorMessage="1" xr:uid="{00000000-0002-0000-0300-0000F50A0000}">
          <x14:formula1>
            <xm:f>項目!C17:$GYA$786433</xm:f>
          </x14:formula1>
          <xm:sqref>GYI786437:GYI786460</xm:sqref>
        </x14:dataValidation>
        <x14:dataValidation type="list" allowBlank="1" showInputMessage="1" showErrorMessage="1" xr:uid="{00000000-0002-0000-0300-0000F60A0000}">
          <x14:formula1>
            <xm:f>項目!C17:$HHW$786433</xm:f>
          </x14:formula1>
          <xm:sqref>HIE786437:HIE786460</xm:sqref>
        </x14:dataValidation>
        <x14:dataValidation type="list" allowBlank="1" showInputMessage="1" showErrorMessage="1" xr:uid="{00000000-0002-0000-0300-0000F70A0000}">
          <x14:formula1>
            <xm:f>項目!C17:$HRS$786433</xm:f>
          </x14:formula1>
          <xm:sqref>HSA786437:HSA786460</xm:sqref>
        </x14:dataValidation>
        <x14:dataValidation type="list" allowBlank="1" showInputMessage="1" showErrorMessage="1" xr:uid="{00000000-0002-0000-0300-0000F80A0000}">
          <x14:formula1>
            <xm:f>項目!C17:$IBO$786433</xm:f>
          </x14:formula1>
          <xm:sqref>IBW786437:IBW786460</xm:sqref>
        </x14:dataValidation>
        <x14:dataValidation type="list" allowBlank="1" showInputMessage="1" showErrorMessage="1" xr:uid="{00000000-0002-0000-0300-0000F90A0000}">
          <x14:formula1>
            <xm:f>項目!C17:$ILK$786433</xm:f>
          </x14:formula1>
          <xm:sqref>ILS786437:ILS786460</xm:sqref>
        </x14:dataValidation>
        <x14:dataValidation type="list" allowBlank="1" showInputMessage="1" showErrorMessage="1" xr:uid="{00000000-0002-0000-0300-0000FA0A0000}">
          <x14:formula1>
            <xm:f>項目!C17:$IVG$786433</xm:f>
          </x14:formula1>
          <xm:sqref>IVO786437:IVO786460</xm:sqref>
        </x14:dataValidation>
        <x14:dataValidation type="list" allowBlank="1" showInputMessage="1" showErrorMessage="1" xr:uid="{00000000-0002-0000-0300-0000FB0A0000}">
          <x14:formula1>
            <xm:f>項目!C17:$JFC$786433</xm:f>
          </x14:formula1>
          <xm:sqref>JFK786437:JFK786460</xm:sqref>
        </x14:dataValidation>
        <x14:dataValidation type="list" allowBlank="1" showInputMessage="1" showErrorMessage="1" xr:uid="{00000000-0002-0000-0300-0000FC0A0000}">
          <x14:formula1>
            <xm:f>項目!C17:$JOY$786433</xm:f>
          </x14:formula1>
          <xm:sqref>JPG786437:JPG786460</xm:sqref>
        </x14:dataValidation>
        <x14:dataValidation type="list" allowBlank="1" showInputMessage="1" showErrorMessage="1" xr:uid="{00000000-0002-0000-0300-0000FD0A0000}">
          <x14:formula1>
            <xm:f>項目!C17:$JYU$786433</xm:f>
          </x14:formula1>
          <xm:sqref>JZC786437:JZC786460</xm:sqref>
        </x14:dataValidation>
        <x14:dataValidation type="list" allowBlank="1" showInputMessage="1" showErrorMessage="1" xr:uid="{00000000-0002-0000-0300-0000FE0A0000}">
          <x14:formula1>
            <xm:f>項目!C17:$KIQ$786433</xm:f>
          </x14:formula1>
          <xm:sqref>KIY786437:KIY786460</xm:sqref>
        </x14:dataValidation>
        <x14:dataValidation type="list" allowBlank="1" showInputMessage="1" showErrorMessage="1" xr:uid="{00000000-0002-0000-0300-0000FF0A0000}">
          <x14:formula1>
            <xm:f>項目!C17:$KSM$786433</xm:f>
          </x14:formula1>
          <xm:sqref>KSU786437:KSU786460</xm:sqref>
        </x14:dataValidation>
        <x14:dataValidation type="list" allowBlank="1" showInputMessage="1" showErrorMessage="1" xr:uid="{00000000-0002-0000-0300-0000000B0000}">
          <x14:formula1>
            <xm:f>項目!C17:$LCI$786433</xm:f>
          </x14:formula1>
          <xm:sqref>LCQ786437:LCQ786460</xm:sqref>
        </x14:dataValidation>
        <x14:dataValidation type="list" allowBlank="1" showInputMessage="1" showErrorMessage="1" xr:uid="{00000000-0002-0000-0300-0000010B0000}">
          <x14:formula1>
            <xm:f>項目!C17:$LME$786433</xm:f>
          </x14:formula1>
          <xm:sqref>LMM786437:LMM786460</xm:sqref>
        </x14:dataValidation>
        <x14:dataValidation type="list" allowBlank="1" showInputMessage="1" showErrorMessage="1" xr:uid="{00000000-0002-0000-0300-0000020B0000}">
          <x14:formula1>
            <xm:f>項目!C17:$LWA$786433</xm:f>
          </x14:formula1>
          <xm:sqref>LWI786437:LWI786460</xm:sqref>
        </x14:dataValidation>
        <x14:dataValidation type="list" allowBlank="1" showInputMessage="1" showErrorMessage="1" xr:uid="{00000000-0002-0000-0300-0000030B0000}">
          <x14:formula1>
            <xm:f>項目!C17:$MFW$786433</xm:f>
          </x14:formula1>
          <xm:sqref>MGE786437:MGE786460</xm:sqref>
        </x14:dataValidation>
        <x14:dataValidation type="list" allowBlank="1" showInputMessage="1" showErrorMessage="1" xr:uid="{00000000-0002-0000-0300-0000040B0000}">
          <x14:formula1>
            <xm:f>項目!C17:$MPS$786433</xm:f>
          </x14:formula1>
          <xm:sqref>MQA786437:MQA786460</xm:sqref>
        </x14:dataValidation>
        <x14:dataValidation type="list" allowBlank="1" showInputMessage="1" showErrorMessage="1" xr:uid="{00000000-0002-0000-0300-0000050B0000}">
          <x14:formula1>
            <xm:f>項目!C17:$MZO$786433</xm:f>
          </x14:formula1>
          <xm:sqref>MZW786437:MZW786460</xm:sqref>
        </x14:dataValidation>
        <x14:dataValidation type="list" allowBlank="1" showInputMessage="1" showErrorMessage="1" xr:uid="{00000000-0002-0000-0300-0000060B0000}">
          <x14:formula1>
            <xm:f>項目!C17:$NJK$786433</xm:f>
          </x14:formula1>
          <xm:sqref>NJS786437:NJS786460</xm:sqref>
        </x14:dataValidation>
        <x14:dataValidation type="list" allowBlank="1" showInputMessage="1" showErrorMessage="1" xr:uid="{00000000-0002-0000-0300-0000070B0000}">
          <x14:formula1>
            <xm:f>項目!C17:$NTG$786433</xm:f>
          </x14:formula1>
          <xm:sqref>NTO786437:NTO786460</xm:sqref>
        </x14:dataValidation>
        <x14:dataValidation type="list" allowBlank="1" showInputMessage="1" showErrorMessage="1" xr:uid="{00000000-0002-0000-0300-0000080B0000}">
          <x14:formula1>
            <xm:f>項目!C17:$ODC$786433</xm:f>
          </x14:formula1>
          <xm:sqref>ODK786437:ODK786460</xm:sqref>
        </x14:dataValidation>
        <x14:dataValidation type="list" allowBlank="1" showInputMessage="1" showErrorMessage="1" xr:uid="{00000000-0002-0000-0300-0000090B0000}">
          <x14:formula1>
            <xm:f>項目!C17:$OMY$786433</xm:f>
          </x14:formula1>
          <xm:sqref>ONG786437:ONG786460</xm:sqref>
        </x14:dataValidation>
        <x14:dataValidation type="list" allowBlank="1" showInputMessage="1" showErrorMessage="1" xr:uid="{00000000-0002-0000-0300-00000A0B0000}">
          <x14:formula1>
            <xm:f>項目!C17:$OWU$786433</xm:f>
          </x14:formula1>
          <xm:sqref>OXC786437:OXC786460</xm:sqref>
        </x14:dataValidation>
        <x14:dataValidation type="list" allowBlank="1" showInputMessage="1" showErrorMessage="1" xr:uid="{00000000-0002-0000-0300-00000B0B0000}">
          <x14:formula1>
            <xm:f>項目!C17:$PGQ$786433</xm:f>
          </x14:formula1>
          <xm:sqref>PGY786437:PGY786460</xm:sqref>
        </x14:dataValidation>
        <x14:dataValidation type="list" allowBlank="1" showInputMessage="1" showErrorMessage="1" xr:uid="{00000000-0002-0000-0300-00000C0B0000}">
          <x14:formula1>
            <xm:f>項目!C17:$PQM$786433</xm:f>
          </x14:formula1>
          <xm:sqref>PQU786437:PQU786460</xm:sqref>
        </x14:dataValidation>
        <x14:dataValidation type="list" allowBlank="1" showInputMessage="1" showErrorMessage="1" xr:uid="{00000000-0002-0000-0300-00000D0B0000}">
          <x14:formula1>
            <xm:f>項目!C17:$QAI$786433</xm:f>
          </x14:formula1>
          <xm:sqref>QAQ786437:QAQ786460</xm:sqref>
        </x14:dataValidation>
        <x14:dataValidation type="list" allowBlank="1" showInputMessage="1" showErrorMessage="1" xr:uid="{00000000-0002-0000-0300-00000E0B0000}">
          <x14:formula1>
            <xm:f>項目!C17:$QKE$786433</xm:f>
          </x14:formula1>
          <xm:sqref>QKM786437:QKM786460</xm:sqref>
        </x14:dataValidation>
        <x14:dataValidation type="list" allowBlank="1" showInputMessage="1" showErrorMessage="1" xr:uid="{00000000-0002-0000-0300-00000F0B0000}">
          <x14:formula1>
            <xm:f>項目!C17:$QUA$786433</xm:f>
          </x14:formula1>
          <xm:sqref>QUI786437:QUI786460</xm:sqref>
        </x14:dataValidation>
        <x14:dataValidation type="list" allowBlank="1" showInputMessage="1" showErrorMessage="1" xr:uid="{00000000-0002-0000-0300-0000100B0000}">
          <x14:formula1>
            <xm:f>項目!C17:$RDW$786433</xm:f>
          </x14:formula1>
          <xm:sqref>REE786437:REE786460</xm:sqref>
        </x14:dataValidation>
        <x14:dataValidation type="list" allowBlank="1" showInputMessage="1" showErrorMessage="1" xr:uid="{00000000-0002-0000-0300-0000110B0000}">
          <x14:formula1>
            <xm:f>項目!C17:$RNS$786433</xm:f>
          </x14:formula1>
          <xm:sqref>ROA786437:ROA786460</xm:sqref>
        </x14:dataValidation>
        <x14:dataValidation type="list" allowBlank="1" showInputMessage="1" showErrorMessage="1" xr:uid="{00000000-0002-0000-0300-0000120B0000}">
          <x14:formula1>
            <xm:f>項目!C17:$RXO$786433</xm:f>
          </x14:formula1>
          <xm:sqref>RXW786437:RXW786460</xm:sqref>
        </x14:dataValidation>
        <x14:dataValidation type="list" allowBlank="1" showInputMessage="1" showErrorMessage="1" xr:uid="{00000000-0002-0000-0300-0000130B0000}">
          <x14:formula1>
            <xm:f>項目!C17:$SHK$786433</xm:f>
          </x14:formula1>
          <xm:sqref>SHS786437:SHS786460</xm:sqref>
        </x14:dataValidation>
        <x14:dataValidation type="list" allowBlank="1" showInputMessage="1" showErrorMessage="1" xr:uid="{00000000-0002-0000-0300-0000140B0000}">
          <x14:formula1>
            <xm:f>項目!C17:$SRG$786433</xm:f>
          </x14:formula1>
          <xm:sqref>SRO786437:SRO786460</xm:sqref>
        </x14:dataValidation>
        <x14:dataValidation type="list" allowBlank="1" showInputMessage="1" showErrorMessage="1" xr:uid="{00000000-0002-0000-0300-0000150B0000}">
          <x14:formula1>
            <xm:f>項目!C17:$TBC$786433</xm:f>
          </x14:formula1>
          <xm:sqref>TBK786437:TBK786460</xm:sqref>
        </x14:dataValidation>
        <x14:dataValidation type="list" allowBlank="1" showInputMessage="1" showErrorMessage="1" xr:uid="{00000000-0002-0000-0300-0000160B0000}">
          <x14:formula1>
            <xm:f>項目!C17:$TKY$786433</xm:f>
          </x14:formula1>
          <xm:sqref>TLG786437:TLG786460</xm:sqref>
        </x14:dataValidation>
        <x14:dataValidation type="list" allowBlank="1" showInputMessage="1" showErrorMessage="1" xr:uid="{00000000-0002-0000-0300-0000170B0000}">
          <x14:formula1>
            <xm:f>項目!C17:$TUU$786433</xm:f>
          </x14:formula1>
          <xm:sqref>TVC786437:TVC786460</xm:sqref>
        </x14:dataValidation>
        <x14:dataValidation type="list" allowBlank="1" showInputMessage="1" showErrorMessage="1" xr:uid="{00000000-0002-0000-0300-0000180B0000}">
          <x14:formula1>
            <xm:f>項目!C17:$UEQ$786433</xm:f>
          </x14:formula1>
          <xm:sqref>UEY786437:UEY786460</xm:sqref>
        </x14:dataValidation>
        <x14:dataValidation type="list" allowBlank="1" showInputMessage="1" showErrorMessage="1" xr:uid="{00000000-0002-0000-0300-0000190B0000}">
          <x14:formula1>
            <xm:f>項目!C17:$UOM$786433</xm:f>
          </x14:formula1>
          <xm:sqref>UOU786437:UOU786460</xm:sqref>
        </x14:dataValidation>
        <x14:dataValidation type="list" allowBlank="1" showInputMessage="1" showErrorMessage="1" xr:uid="{00000000-0002-0000-0300-00001A0B0000}">
          <x14:formula1>
            <xm:f>項目!C17:$UYI$786433</xm:f>
          </x14:formula1>
          <xm:sqref>UYQ786437:UYQ786460</xm:sqref>
        </x14:dataValidation>
        <x14:dataValidation type="list" allowBlank="1" showInputMessage="1" showErrorMessage="1" xr:uid="{00000000-0002-0000-0300-00001B0B0000}">
          <x14:formula1>
            <xm:f>項目!C17:$VIE$786433</xm:f>
          </x14:formula1>
          <xm:sqref>VIM786437:VIM786460</xm:sqref>
        </x14:dataValidation>
        <x14:dataValidation type="list" allowBlank="1" showInputMessage="1" showErrorMessage="1" xr:uid="{00000000-0002-0000-0300-00001C0B0000}">
          <x14:formula1>
            <xm:f>項目!C17:$VSA$786433</xm:f>
          </x14:formula1>
          <xm:sqref>VSI786437:VSI786460</xm:sqref>
        </x14:dataValidation>
        <x14:dataValidation type="list" allowBlank="1" showInputMessage="1" showErrorMessage="1" xr:uid="{00000000-0002-0000-0300-00001D0B0000}">
          <x14:formula1>
            <xm:f>項目!C17:$WBW$786433</xm:f>
          </x14:formula1>
          <xm:sqref>WCE786437:WCE786460</xm:sqref>
        </x14:dataValidation>
        <x14:dataValidation type="list" allowBlank="1" showInputMessage="1" showErrorMessage="1" xr:uid="{00000000-0002-0000-0300-00001E0B0000}">
          <x14:formula1>
            <xm:f>項目!C17:$WLS$786433</xm:f>
          </x14:formula1>
          <xm:sqref>WMA786437:WMA786460</xm:sqref>
        </x14:dataValidation>
        <x14:dataValidation type="list" allowBlank="1" showInputMessage="1" showErrorMessage="1" xr:uid="{00000000-0002-0000-0300-00001F0B0000}">
          <x14:formula1>
            <xm:f>項目!C17:$WVO$786433</xm:f>
          </x14:formula1>
          <xm:sqref>WVW786437:WVW786460</xm:sqref>
        </x14:dataValidation>
        <x14:dataValidation type="list" allowBlank="1" showInputMessage="1" showErrorMessage="1" xr:uid="{00000000-0002-0000-0300-0000200B0000}">
          <x14:formula1>
            <xm:f>項目!C17:$J$851969</xm:f>
          </x14:formula1>
          <xm:sqref>O851973:O851996</xm:sqref>
        </x14:dataValidation>
        <x14:dataValidation type="list" allowBlank="1" showInputMessage="1" showErrorMessage="1" xr:uid="{00000000-0002-0000-0300-0000210B0000}">
          <x14:formula1>
            <xm:f>項目!C17:$JC$851969</xm:f>
          </x14:formula1>
          <xm:sqref>JK851973:JK851996</xm:sqref>
        </x14:dataValidation>
        <x14:dataValidation type="list" allowBlank="1" showInputMessage="1" showErrorMessage="1" xr:uid="{00000000-0002-0000-0300-0000220B0000}">
          <x14:formula1>
            <xm:f>項目!C17:$SY$851969</xm:f>
          </x14:formula1>
          <xm:sqref>TG851973:TG851996</xm:sqref>
        </x14:dataValidation>
        <x14:dataValidation type="list" allowBlank="1" showInputMessage="1" showErrorMessage="1" xr:uid="{00000000-0002-0000-0300-0000230B0000}">
          <x14:formula1>
            <xm:f>項目!C17:$ACU$851969</xm:f>
          </x14:formula1>
          <xm:sqref>ADC851973:ADC851996</xm:sqref>
        </x14:dataValidation>
        <x14:dataValidation type="list" allowBlank="1" showInputMessage="1" showErrorMessage="1" xr:uid="{00000000-0002-0000-0300-0000240B0000}">
          <x14:formula1>
            <xm:f>項目!C17:$AMQ$851969</xm:f>
          </x14:formula1>
          <xm:sqref>AMY851973:AMY851996</xm:sqref>
        </x14:dataValidation>
        <x14:dataValidation type="list" allowBlank="1" showInputMessage="1" showErrorMessage="1" xr:uid="{00000000-0002-0000-0300-0000250B0000}">
          <x14:formula1>
            <xm:f>項目!C17:$AWM$851969</xm:f>
          </x14:formula1>
          <xm:sqref>AWU851973:AWU851996</xm:sqref>
        </x14:dataValidation>
        <x14:dataValidation type="list" allowBlank="1" showInputMessage="1" showErrorMessage="1" xr:uid="{00000000-0002-0000-0300-0000260B0000}">
          <x14:formula1>
            <xm:f>項目!C17:$BGI$851969</xm:f>
          </x14:formula1>
          <xm:sqref>BGQ851973:BGQ851996</xm:sqref>
        </x14:dataValidation>
        <x14:dataValidation type="list" allowBlank="1" showInputMessage="1" showErrorMessage="1" xr:uid="{00000000-0002-0000-0300-0000270B0000}">
          <x14:formula1>
            <xm:f>項目!C17:$BQE$851969</xm:f>
          </x14:formula1>
          <xm:sqref>BQM851973:BQM851996</xm:sqref>
        </x14:dataValidation>
        <x14:dataValidation type="list" allowBlank="1" showInputMessage="1" showErrorMessage="1" xr:uid="{00000000-0002-0000-0300-0000280B0000}">
          <x14:formula1>
            <xm:f>項目!C17:$CAA$851969</xm:f>
          </x14:formula1>
          <xm:sqref>CAI851973:CAI851996</xm:sqref>
        </x14:dataValidation>
        <x14:dataValidation type="list" allowBlank="1" showInputMessage="1" showErrorMessage="1" xr:uid="{00000000-0002-0000-0300-0000290B0000}">
          <x14:formula1>
            <xm:f>項目!C17:$CJW$851969</xm:f>
          </x14:formula1>
          <xm:sqref>CKE851973:CKE851996</xm:sqref>
        </x14:dataValidation>
        <x14:dataValidation type="list" allowBlank="1" showInputMessage="1" showErrorMessage="1" xr:uid="{00000000-0002-0000-0300-00002A0B0000}">
          <x14:formula1>
            <xm:f>項目!C17:$CTS$851969</xm:f>
          </x14:formula1>
          <xm:sqref>CUA851973:CUA851996</xm:sqref>
        </x14:dataValidation>
        <x14:dataValidation type="list" allowBlank="1" showInputMessage="1" showErrorMessage="1" xr:uid="{00000000-0002-0000-0300-00002B0B0000}">
          <x14:formula1>
            <xm:f>項目!C17:$DDO$851969</xm:f>
          </x14:formula1>
          <xm:sqref>DDW851973:DDW851996</xm:sqref>
        </x14:dataValidation>
        <x14:dataValidation type="list" allowBlank="1" showInputMessage="1" showErrorMessage="1" xr:uid="{00000000-0002-0000-0300-00002C0B0000}">
          <x14:formula1>
            <xm:f>項目!C17:$DNK$851969</xm:f>
          </x14:formula1>
          <xm:sqref>DNS851973:DNS851996</xm:sqref>
        </x14:dataValidation>
        <x14:dataValidation type="list" allowBlank="1" showInputMessage="1" showErrorMessage="1" xr:uid="{00000000-0002-0000-0300-00002D0B0000}">
          <x14:formula1>
            <xm:f>項目!C17:$DXG$851969</xm:f>
          </x14:formula1>
          <xm:sqref>DXO851973:DXO851996</xm:sqref>
        </x14:dataValidation>
        <x14:dataValidation type="list" allowBlank="1" showInputMessage="1" showErrorMessage="1" xr:uid="{00000000-0002-0000-0300-00002E0B0000}">
          <x14:formula1>
            <xm:f>項目!C17:$EHC$851969</xm:f>
          </x14:formula1>
          <xm:sqref>EHK851973:EHK851996</xm:sqref>
        </x14:dataValidation>
        <x14:dataValidation type="list" allowBlank="1" showInputMessage="1" showErrorMessage="1" xr:uid="{00000000-0002-0000-0300-00002F0B0000}">
          <x14:formula1>
            <xm:f>項目!C17:$EQY$851969</xm:f>
          </x14:formula1>
          <xm:sqref>ERG851973:ERG851996</xm:sqref>
        </x14:dataValidation>
        <x14:dataValidation type="list" allowBlank="1" showInputMessage="1" showErrorMessage="1" xr:uid="{00000000-0002-0000-0300-0000300B0000}">
          <x14:formula1>
            <xm:f>項目!C17:$FAU$851969</xm:f>
          </x14:formula1>
          <xm:sqref>FBC851973:FBC851996</xm:sqref>
        </x14:dataValidation>
        <x14:dataValidation type="list" allowBlank="1" showInputMessage="1" showErrorMessage="1" xr:uid="{00000000-0002-0000-0300-0000310B0000}">
          <x14:formula1>
            <xm:f>項目!C17:$FKQ$851969</xm:f>
          </x14:formula1>
          <xm:sqref>FKY851973:FKY851996</xm:sqref>
        </x14:dataValidation>
        <x14:dataValidation type="list" allowBlank="1" showInputMessage="1" showErrorMessage="1" xr:uid="{00000000-0002-0000-0300-0000320B0000}">
          <x14:formula1>
            <xm:f>項目!C17:$FUM$851969</xm:f>
          </x14:formula1>
          <xm:sqref>FUU851973:FUU851996</xm:sqref>
        </x14:dataValidation>
        <x14:dataValidation type="list" allowBlank="1" showInputMessage="1" showErrorMessage="1" xr:uid="{00000000-0002-0000-0300-0000330B0000}">
          <x14:formula1>
            <xm:f>項目!C17:$GEI$851969</xm:f>
          </x14:formula1>
          <xm:sqref>GEQ851973:GEQ851996</xm:sqref>
        </x14:dataValidation>
        <x14:dataValidation type="list" allowBlank="1" showInputMessage="1" showErrorMessage="1" xr:uid="{00000000-0002-0000-0300-0000340B0000}">
          <x14:formula1>
            <xm:f>項目!C17:$GOE$851969</xm:f>
          </x14:formula1>
          <xm:sqref>GOM851973:GOM851996</xm:sqref>
        </x14:dataValidation>
        <x14:dataValidation type="list" allowBlank="1" showInputMessage="1" showErrorMessage="1" xr:uid="{00000000-0002-0000-0300-0000350B0000}">
          <x14:formula1>
            <xm:f>項目!C17:$GYA$851969</xm:f>
          </x14:formula1>
          <xm:sqref>GYI851973:GYI851996</xm:sqref>
        </x14:dataValidation>
        <x14:dataValidation type="list" allowBlank="1" showInputMessage="1" showErrorMessage="1" xr:uid="{00000000-0002-0000-0300-0000360B0000}">
          <x14:formula1>
            <xm:f>項目!C17:$HHW$851969</xm:f>
          </x14:formula1>
          <xm:sqref>HIE851973:HIE851996</xm:sqref>
        </x14:dataValidation>
        <x14:dataValidation type="list" allowBlank="1" showInputMessage="1" showErrorMessage="1" xr:uid="{00000000-0002-0000-0300-0000370B0000}">
          <x14:formula1>
            <xm:f>項目!C17:$HRS$851969</xm:f>
          </x14:formula1>
          <xm:sqref>HSA851973:HSA851996</xm:sqref>
        </x14:dataValidation>
        <x14:dataValidation type="list" allowBlank="1" showInputMessage="1" showErrorMessage="1" xr:uid="{00000000-0002-0000-0300-0000380B0000}">
          <x14:formula1>
            <xm:f>項目!C17:$IBO$851969</xm:f>
          </x14:formula1>
          <xm:sqref>IBW851973:IBW851996</xm:sqref>
        </x14:dataValidation>
        <x14:dataValidation type="list" allowBlank="1" showInputMessage="1" showErrorMessage="1" xr:uid="{00000000-0002-0000-0300-0000390B0000}">
          <x14:formula1>
            <xm:f>項目!C17:$ILK$851969</xm:f>
          </x14:formula1>
          <xm:sqref>ILS851973:ILS851996</xm:sqref>
        </x14:dataValidation>
        <x14:dataValidation type="list" allowBlank="1" showInputMessage="1" showErrorMessage="1" xr:uid="{00000000-0002-0000-0300-00003A0B0000}">
          <x14:formula1>
            <xm:f>項目!C17:$IVG$851969</xm:f>
          </x14:formula1>
          <xm:sqref>IVO851973:IVO851996</xm:sqref>
        </x14:dataValidation>
        <x14:dataValidation type="list" allowBlank="1" showInputMessage="1" showErrorMessage="1" xr:uid="{00000000-0002-0000-0300-00003B0B0000}">
          <x14:formula1>
            <xm:f>項目!C17:$JFC$851969</xm:f>
          </x14:formula1>
          <xm:sqref>JFK851973:JFK851996</xm:sqref>
        </x14:dataValidation>
        <x14:dataValidation type="list" allowBlank="1" showInputMessage="1" showErrorMessage="1" xr:uid="{00000000-0002-0000-0300-00003C0B0000}">
          <x14:formula1>
            <xm:f>項目!C17:$JOY$851969</xm:f>
          </x14:formula1>
          <xm:sqref>JPG851973:JPG851996</xm:sqref>
        </x14:dataValidation>
        <x14:dataValidation type="list" allowBlank="1" showInputMessage="1" showErrorMessage="1" xr:uid="{00000000-0002-0000-0300-00003D0B0000}">
          <x14:formula1>
            <xm:f>項目!C17:$JYU$851969</xm:f>
          </x14:formula1>
          <xm:sqref>JZC851973:JZC851996</xm:sqref>
        </x14:dataValidation>
        <x14:dataValidation type="list" allowBlank="1" showInputMessage="1" showErrorMessage="1" xr:uid="{00000000-0002-0000-0300-00003E0B0000}">
          <x14:formula1>
            <xm:f>項目!C17:$KIQ$851969</xm:f>
          </x14:formula1>
          <xm:sqref>KIY851973:KIY851996</xm:sqref>
        </x14:dataValidation>
        <x14:dataValidation type="list" allowBlank="1" showInputMessage="1" showErrorMessage="1" xr:uid="{00000000-0002-0000-0300-00003F0B0000}">
          <x14:formula1>
            <xm:f>項目!C17:$KSM$851969</xm:f>
          </x14:formula1>
          <xm:sqref>KSU851973:KSU851996</xm:sqref>
        </x14:dataValidation>
        <x14:dataValidation type="list" allowBlank="1" showInputMessage="1" showErrorMessage="1" xr:uid="{00000000-0002-0000-0300-0000400B0000}">
          <x14:formula1>
            <xm:f>項目!C17:$LCI$851969</xm:f>
          </x14:formula1>
          <xm:sqref>LCQ851973:LCQ851996</xm:sqref>
        </x14:dataValidation>
        <x14:dataValidation type="list" allowBlank="1" showInputMessage="1" showErrorMessage="1" xr:uid="{00000000-0002-0000-0300-0000410B0000}">
          <x14:formula1>
            <xm:f>項目!C17:$LME$851969</xm:f>
          </x14:formula1>
          <xm:sqref>LMM851973:LMM851996</xm:sqref>
        </x14:dataValidation>
        <x14:dataValidation type="list" allowBlank="1" showInputMessage="1" showErrorMessage="1" xr:uid="{00000000-0002-0000-0300-0000420B0000}">
          <x14:formula1>
            <xm:f>項目!C17:$LWA$851969</xm:f>
          </x14:formula1>
          <xm:sqref>LWI851973:LWI851996</xm:sqref>
        </x14:dataValidation>
        <x14:dataValidation type="list" allowBlank="1" showInputMessage="1" showErrorMessage="1" xr:uid="{00000000-0002-0000-0300-0000430B0000}">
          <x14:formula1>
            <xm:f>項目!C17:$MFW$851969</xm:f>
          </x14:formula1>
          <xm:sqref>MGE851973:MGE851996</xm:sqref>
        </x14:dataValidation>
        <x14:dataValidation type="list" allowBlank="1" showInputMessage="1" showErrorMessage="1" xr:uid="{00000000-0002-0000-0300-0000440B0000}">
          <x14:formula1>
            <xm:f>項目!C17:$MPS$851969</xm:f>
          </x14:formula1>
          <xm:sqref>MQA851973:MQA851996</xm:sqref>
        </x14:dataValidation>
        <x14:dataValidation type="list" allowBlank="1" showInputMessage="1" showErrorMessage="1" xr:uid="{00000000-0002-0000-0300-0000450B0000}">
          <x14:formula1>
            <xm:f>項目!C17:$MZO$851969</xm:f>
          </x14:formula1>
          <xm:sqref>MZW851973:MZW851996</xm:sqref>
        </x14:dataValidation>
        <x14:dataValidation type="list" allowBlank="1" showInputMessage="1" showErrorMessage="1" xr:uid="{00000000-0002-0000-0300-0000460B0000}">
          <x14:formula1>
            <xm:f>項目!C17:$NJK$851969</xm:f>
          </x14:formula1>
          <xm:sqref>NJS851973:NJS851996</xm:sqref>
        </x14:dataValidation>
        <x14:dataValidation type="list" allowBlank="1" showInputMessage="1" showErrorMessage="1" xr:uid="{00000000-0002-0000-0300-0000470B0000}">
          <x14:formula1>
            <xm:f>項目!C17:$NTG$851969</xm:f>
          </x14:formula1>
          <xm:sqref>NTO851973:NTO851996</xm:sqref>
        </x14:dataValidation>
        <x14:dataValidation type="list" allowBlank="1" showInputMessage="1" showErrorMessage="1" xr:uid="{00000000-0002-0000-0300-0000480B0000}">
          <x14:formula1>
            <xm:f>項目!C17:$ODC$851969</xm:f>
          </x14:formula1>
          <xm:sqref>ODK851973:ODK851996</xm:sqref>
        </x14:dataValidation>
        <x14:dataValidation type="list" allowBlank="1" showInputMessage="1" showErrorMessage="1" xr:uid="{00000000-0002-0000-0300-0000490B0000}">
          <x14:formula1>
            <xm:f>項目!C17:$OMY$851969</xm:f>
          </x14:formula1>
          <xm:sqref>ONG851973:ONG851996</xm:sqref>
        </x14:dataValidation>
        <x14:dataValidation type="list" allowBlank="1" showInputMessage="1" showErrorMessage="1" xr:uid="{00000000-0002-0000-0300-00004A0B0000}">
          <x14:formula1>
            <xm:f>項目!C17:$OWU$851969</xm:f>
          </x14:formula1>
          <xm:sqref>OXC851973:OXC851996</xm:sqref>
        </x14:dataValidation>
        <x14:dataValidation type="list" allowBlank="1" showInputMessage="1" showErrorMessage="1" xr:uid="{00000000-0002-0000-0300-00004B0B0000}">
          <x14:formula1>
            <xm:f>項目!C17:$PGQ$851969</xm:f>
          </x14:formula1>
          <xm:sqref>PGY851973:PGY851996</xm:sqref>
        </x14:dataValidation>
        <x14:dataValidation type="list" allowBlank="1" showInputMessage="1" showErrorMessage="1" xr:uid="{00000000-0002-0000-0300-00004C0B0000}">
          <x14:formula1>
            <xm:f>項目!C17:$PQM$851969</xm:f>
          </x14:formula1>
          <xm:sqref>PQU851973:PQU851996</xm:sqref>
        </x14:dataValidation>
        <x14:dataValidation type="list" allowBlank="1" showInputMessage="1" showErrorMessage="1" xr:uid="{00000000-0002-0000-0300-00004D0B0000}">
          <x14:formula1>
            <xm:f>項目!C17:$QAI$851969</xm:f>
          </x14:formula1>
          <xm:sqref>QAQ851973:QAQ851996</xm:sqref>
        </x14:dataValidation>
        <x14:dataValidation type="list" allowBlank="1" showInputMessage="1" showErrorMessage="1" xr:uid="{00000000-0002-0000-0300-00004E0B0000}">
          <x14:formula1>
            <xm:f>項目!C17:$QKE$851969</xm:f>
          </x14:formula1>
          <xm:sqref>QKM851973:QKM851996</xm:sqref>
        </x14:dataValidation>
        <x14:dataValidation type="list" allowBlank="1" showInputMessage="1" showErrorMessage="1" xr:uid="{00000000-0002-0000-0300-00004F0B0000}">
          <x14:formula1>
            <xm:f>項目!C17:$QUA$851969</xm:f>
          </x14:formula1>
          <xm:sqref>QUI851973:QUI851996</xm:sqref>
        </x14:dataValidation>
        <x14:dataValidation type="list" allowBlank="1" showInputMessage="1" showErrorMessage="1" xr:uid="{00000000-0002-0000-0300-0000500B0000}">
          <x14:formula1>
            <xm:f>項目!C17:$RDW$851969</xm:f>
          </x14:formula1>
          <xm:sqref>REE851973:REE851996</xm:sqref>
        </x14:dataValidation>
        <x14:dataValidation type="list" allowBlank="1" showInputMessage="1" showErrorMessage="1" xr:uid="{00000000-0002-0000-0300-0000510B0000}">
          <x14:formula1>
            <xm:f>項目!C17:$RNS$851969</xm:f>
          </x14:formula1>
          <xm:sqref>ROA851973:ROA851996</xm:sqref>
        </x14:dataValidation>
        <x14:dataValidation type="list" allowBlank="1" showInputMessage="1" showErrorMessage="1" xr:uid="{00000000-0002-0000-0300-0000520B0000}">
          <x14:formula1>
            <xm:f>項目!C17:$RXO$851969</xm:f>
          </x14:formula1>
          <xm:sqref>RXW851973:RXW851996</xm:sqref>
        </x14:dataValidation>
        <x14:dataValidation type="list" allowBlank="1" showInputMessage="1" showErrorMessage="1" xr:uid="{00000000-0002-0000-0300-0000530B0000}">
          <x14:formula1>
            <xm:f>項目!C17:$SHK$851969</xm:f>
          </x14:formula1>
          <xm:sqref>SHS851973:SHS851996</xm:sqref>
        </x14:dataValidation>
        <x14:dataValidation type="list" allowBlank="1" showInputMessage="1" showErrorMessage="1" xr:uid="{00000000-0002-0000-0300-0000540B0000}">
          <x14:formula1>
            <xm:f>項目!C17:$SRG$851969</xm:f>
          </x14:formula1>
          <xm:sqref>SRO851973:SRO851996</xm:sqref>
        </x14:dataValidation>
        <x14:dataValidation type="list" allowBlank="1" showInputMessage="1" showErrorMessage="1" xr:uid="{00000000-0002-0000-0300-0000550B0000}">
          <x14:formula1>
            <xm:f>項目!C17:$TBC$851969</xm:f>
          </x14:formula1>
          <xm:sqref>TBK851973:TBK851996</xm:sqref>
        </x14:dataValidation>
        <x14:dataValidation type="list" allowBlank="1" showInputMessage="1" showErrorMessage="1" xr:uid="{00000000-0002-0000-0300-0000560B0000}">
          <x14:formula1>
            <xm:f>項目!C17:$TKY$851969</xm:f>
          </x14:formula1>
          <xm:sqref>TLG851973:TLG851996</xm:sqref>
        </x14:dataValidation>
        <x14:dataValidation type="list" allowBlank="1" showInputMessage="1" showErrorMessage="1" xr:uid="{00000000-0002-0000-0300-0000570B0000}">
          <x14:formula1>
            <xm:f>項目!C17:$TUU$851969</xm:f>
          </x14:formula1>
          <xm:sqref>TVC851973:TVC851996</xm:sqref>
        </x14:dataValidation>
        <x14:dataValidation type="list" allowBlank="1" showInputMessage="1" showErrorMessage="1" xr:uid="{00000000-0002-0000-0300-0000580B0000}">
          <x14:formula1>
            <xm:f>項目!C17:$UEQ$851969</xm:f>
          </x14:formula1>
          <xm:sqref>UEY851973:UEY851996</xm:sqref>
        </x14:dataValidation>
        <x14:dataValidation type="list" allowBlank="1" showInputMessage="1" showErrorMessage="1" xr:uid="{00000000-0002-0000-0300-0000590B0000}">
          <x14:formula1>
            <xm:f>項目!C17:$UOM$851969</xm:f>
          </x14:formula1>
          <xm:sqref>UOU851973:UOU851996</xm:sqref>
        </x14:dataValidation>
        <x14:dataValidation type="list" allowBlank="1" showInputMessage="1" showErrorMessage="1" xr:uid="{00000000-0002-0000-0300-00005A0B0000}">
          <x14:formula1>
            <xm:f>項目!C17:$UYI$851969</xm:f>
          </x14:formula1>
          <xm:sqref>UYQ851973:UYQ851996</xm:sqref>
        </x14:dataValidation>
        <x14:dataValidation type="list" allowBlank="1" showInputMessage="1" showErrorMessage="1" xr:uid="{00000000-0002-0000-0300-00005B0B0000}">
          <x14:formula1>
            <xm:f>項目!C17:$VIE$851969</xm:f>
          </x14:formula1>
          <xm:sqref>VIM851973:VIM851996</xm:sqref>
        </x14:dataValidation>
        <x14:dataValidation type="list" allowBlank="1" showInputMessage="1" showErrorMessage="1" xr:uid="{00000000-0002-0000-0300-00005C0B0000}">
          <x14:formula1>
            <xm:f>項目!C17:$VSA$851969</xm:f>
          </x14:formula1>
          <xm:sqref>VSI851973:VSI851996</xm:sqref>
        </x14:dataValidation>
        <x14:dataValidation type="list" allowBlank="1" showInputMessage="1" showErrorMessage="1" xr:uid="{00000000-0002-0000-0300-00005D0B0000}">
          <x14:formula1>
            <xm:f>項目!C17:$WBW$851969</xm:f>
          </x14:formula1>
          <xm:sqref>WCE851973:WCE851996</xm:sqref>
        </x14:dataValidation>
        <x14:dataValidation type="list" allowBlank="1" showInputMessage="1" showErrorMessage="1" xr:uid="{00000000-0002-0000-0300-00005E0B0000}">
          <x14:formula1>
            <xm:f>項目!C17:$WLS$851969</xm:f>
          </x14:formula1>
          <xm:sqref>WMA851973:WMA851996</xm:sqref>
        </x14:dataValidation>
        <x14:dataValidation type="list" allowBlank="1" showInputMessage="1" showErrorMessage="1" xr:uid="{00000000-0002-0000-0300-00005F0B0000}">
          <x14:formula1>
            <xm:f>項目!C17:$WVO$851969</xm:f>
          </x14:formula1>
          <xm:sqref>WVW851973:WVW851996</xm:sqref>
        </x14:dataValidation>
        <x14:dataValidation type="list" allowBlank="1" showInputMessage="1" showErrorMessage="1" xr:uid="{00000000-0002-0000-0300-0000600B0000}">
          <x14:formula1>
            <xm:f>項目!C17:$J$917505</xm:f>
          </x14:formula1>
          <xm:sqref>O917509:O917532</xm:sqref>
        </x14:dataValidation>
        <x14:dataValidation type="list" allowBlank="1" showInputMessage="1" showErrorMessage="1" xr:uid="{00000000-0002-0000-0300-0000610B0000}">
          <x14:formula1>
            <xm:f>項目!C17:$JC$917505</xm:f>
          </x14:formula1>
          <xm:sqref>JK917509:JK917532</xm:sqref>
        </x14:dataValidation>
        <x14:dataValidation type="list" allowBlank="1" showInputMessage="1" showErrorMessage="1" xr:uid="{00000000-0002-0000-0300-0000620B0000}">
          <x14:formula1>
            <xm:f>項目!C17:$SY$917505</xm:f>
          </x14:formula1>
          <xm:sqref>TG917509:TG917532</xm:sqref>
        </x14:dataValidation>
        <x14:dataValidation type="list" allowBlank="1" showInputMessage="1" showErrorMessage="1" xr:uid="{00000000-0002-0000-0300-0000630B0000}">
          <x14:formula1>
            <xm:f>項目!C17:$ACU$917505</xm:f>
          </x14:formula1>
          <xm:sqref>ADC917509:ADC917532</xm:sqref>
        </x14:dataValidation>
        <x14:dataValidation type="list" allowBlank="1" showInputMessage="1" showErrorMessage="1" xr:uid="{00000000-0002-0000-0300-0000640B0000}">
          <x14:formula1>
            <xm:f>項目!C17:$AMQ$917505</xm:f>
          </x14:formula1>
          <xm:sqref>AMY917509:AMY917532</xm:sqref>
        </x14:dataValidation>
        <x14:dataValidation type="list" allowBlank="1" showInputMessage="1" showErrorMessage="1" xr:uid="{00000000-0002-0000-0300-0000650B0000}">
          <x14:formula1>
            <xm:f>項目!C17:$AWM$917505</xm:f>
          </x14:formula1>
          <xm:sqref>AWU917509:AWU917532</xm:sqref>
        </x14:dataValidation>
        <x14:dataValidation type="list" allowBlank="1" showInputMessage="1" showErrorMessage="1" xr:uid="{00000000-0002-0000-0300-0000660B0000}">
          <x14:formula1>
            <xm:f>項目!C17:$BGI$917505</xm:f>
          </x14:formula1>
          <xm:sqref>BGQ917509:BGQ917532</xm:sqref>
        </x14:dataValidation>
        <x14:dataValidation type="list" allowBlank="1" showInputMessage="1" showErrorMessage="1" xr:uid="{00000000-0002-0000-0300-0000670B0000}">
          <x14:formula1>
            <xm:f>項目!C17:$BQE$917505</xm:f>
          </x14:formula1>
          <xm:sqref>BQM917509:BQM917532</xm:sqref>
        </x14:dataValidation>
        <x14:dataValidation type="list" allowBlank="1" showInputMessage="1" showErrorMessage="1" xr:uid="{00000000-0002-0000-0300-0000680B0000}">
          <x14:formula1>
            <xm:f>項目!C17:$CAA$917505</xm:f>
          </x14:formula1>
          <xm:sqref>CAI917509:CAI917532</xm:sqref>
        </x14:dataValidation>
        <x14:dataValidation type="list" allowBlank="1" showInputMessage="1" showErrorMessage="1" xr:uid="{00000000-0002-0000-0300-0000690B0000}">
          <x14:formula1>
            <xm:f>項目!C17:$CJW$917505</xm:f>
          </x14:formula1>
          <xm:sqref>CKE917509:CKE917532</xm:sqref>
        </x14:dataValidation>
        <x14:dataValidation type="list" allowBlank="1" showInputMessage="1" showErrorMessage="1" xr:uid="{00000000-0002-0000-0300-00006A0B0000}">
          <x14:formula1>
            <xm:f>項目!C17:$CTS$917505</xm:f>
          </x14:formula1>
          <xm:sqref>CUA917509:CUA917532</xm:sqref>
        </x14:dataValidation>
        <x14:dataValidation type="list" allowBlank="1" showInputMessage="1" showErrorMessage="1" xr:uid="{00000000-0002-0000-0300-00006B0B0000}">
          <x14:formula1>
            <xm:f>項目!C17:$DDO$917505</xm:f>
          </x14:formula1>
          <xm:sqref>DDW917509:DDW917532</xm:sqref>
        </x14:dataValidation>
        <x14:dataValidation type="list" allowBlank="1" showInputMessage="1" showErrorMessage="1" xr:uid="{00000000-0002-0000-0300-00006C0B0000}">
          <x14:formula1>
            <xm:f>項目!C17:$DNK$917505</xm:f>
          </x14:formula1>
          <xm:sqref>DNS917509:DNS917532</xm:sqref>
        </x14:dataValidation>
        <x14:dataValidation type="list" allowBlank="1" showInputMessage="1" showErrorMessage="1" xr:uid="{00000000-0002-0000-0300-00006D0B0000}">
          <x14:formula1>
            <xm:f>項目!C17:$DXG$917505</xm:f>
          </x14:formula1>
          <xm:sqref>DXO917509:DXO917532</xm:sqref>
        </x14:dataValidation>
        <x14:dataValidation type="list" allowBlank="1" showInputMessage="1" showErrorMessage="1" xr:uid="{00000000-0002-0000-0300-00006E0B0000}">
          <x14:formula1>
            <xm:f>項目!C17:$EHC$917505</xm:f>
          </x14:formula1>
          <xm:sqref>EHK917509:EHK917532</xm:sqref>
        </x14:dataValidation>
        <x14:dataValidation type="list" allowBlank="1" showInputMessage="1" showErrorMessage="1" xr:uid="{00000000-0002-0000-0300-00006F0B0000}">
          <x14:formula1>
            <xm:f>項目!C17:$EQY$917505</xm:f>
          </x14:formula1>
          <xm:sqref>ERG917509:ERG917532</xm:sqref>
        </x14:dataValidation>
        <x14:dataValidation type="list" allowBlank="1" showInputMessage="1" showErrorMessage="1" xr:uid="{00000000-0002-0000-0300-0000700B0000}">
          <x14:formula1>
            <xm:f>項目!C17:$FAU$917505</xm:f>
          </x14:formula1>
          <xm:sqref>FBC917509:FBC917532</xm:sqref>
        </x14:dataValidation>
        <x14:dataValidation type="list" allowBlank="1" showInputMessage="1" showErrorMessage="1" xr:uid="{00000000-0002-0000-0300-0000710B0000}">
          <x14:formula1>
            <xm:f>項目!C17:$FKQ$917505</xm:f>
          </x14:formula1>
          <xm:sqref>FKY917509:FKY917532</xm:sqref>
        </x14:dataValidation>
        <x14:dataValidation type="list" allowBlank="1" showInputMessage="1" showErrorMessage="1" xr:uid="{00000000-0002-0000-0300-0000720B0000}">
          <x14:formula1>
            <xm:f>項目!C17:$FUM$917505</xm:f>
          </x14:formula1>
          <xm:sqref>FUU917509:FUU917532</xm:sqref>
        </x14:dataValidation>
        <x14:dataValidation type="list" allowBlank="1" showInputMessage="1" showErrorMessage="1" xr:uid="{00000000-0002-0000-0300-0000730B0000}">
          <x14:formula1>
            <xm:f>項目!C17:$GEI$917505</xm:f>
          </x14:formula1>
          <xm:sqref>GEQ917509:GEQ917532</xm:sqref>
        </x14:dataValidation>
        <x14:dataValidation type="list" allowBlank="1" showInputMessage="1" showErrorMessage="1" xr:uid="{00000000-0002-0000-0300-0000740B0000}">
          <x14:formula1>
            <xm:f>項目!C17:$GOE$917505</xm:f>
          </x14:formula1>
          <xm:sqref>GOM917509:GOM917532</xm:sqref>
        </x14:dataValidation>
        <x14:dataValidation type="list" allowBlank="1" showInputMessage="1" showErrorMessage="1" xr:uid="{00000000-0002-0000-0300-0000750B0000}">
          <x14:formula1>
            <xm:f>項目!C17:$GYA$917505</xm:f>
          </x14:formula1>
          <xm:sqref>GYI917509:GYI917532</xm:sqref>
        </x14:dataValidation>
        <x14:dataValidation type="list" allowBlank="1" showInputMessage="1" showErrorMessage="1" xr:uid="{00000000-0002-0000-0300-0000760B0000}">
          <x14:formula1>
            <xm:f>項目!C17:$HHW$917505</xm:f>
          </x14:formula1>
          <xm:sqref>HIE917509:HIE917532</xm:sqref>
        </x14:dataValidation>
        <x14:dataValidation type="list" allowBlank="1" showInputMessage="1" showErrorMessage="1" xr:uid="{00000000-0002-0000-0300-0000770B0000}">
          <x14:formula1>
            <xm:f>項目!C17:$HRS$917505</xm:f>
          </x14:formula1>
          <xm:sqref>HSA917509:HSA917532</xm:sqref>
        </x14:dataValidation>
        <x14:dataValidation type="list" allowBlank="1" showInputMessage="1" showErrorMessage="1" xr:uid="{00000000-0002-0000-0300-0000780B0000}">
          <x14:formula1>
            <xm:f>項目!C17:$IBO$917505</xm:f>
          </x14:formula1>
          <xm:sqref>IBW917509:IBW917532</xm:sqref>
        </x14:dataValidation>
        <x14:dataValidation type="list" allowBlank="1" showInputMessage="1" showErrorMessage="1" xr:uid="{00000000-0002-0000-0300-0000790B0000}">
          <x14:formula1>
            <xm:f>項目!C17:$ILK$917505</xm:f>
          </x14:formula1>
          <xm:sqref>ILS917509:ILS917532</xm:sqref>
        </x14:dataValidation>
        <x14:dataValidation type="list" allowBlank="1" showInputMessage="1" showErrorMessage="1" xr:uid="{00000000-0002-0000-0300-00007A0B0000}">
          <x14:formula1>
            <xm:f>項目!C17:$IVG$917505</xm:f>
          </x14:formula1>
          <xm:sqref>IVO917509:IVO917532</xm:sqref>
        </x14:dataValidation>
        <x14:dataValidation type="list" allowBlank="1" showInputMessage="1" showErrorMessage="1" xr:uid="{00000000-0002-0000-0300-00007B0B0000}">
          <x14:formula1>
            <xm:f>項目!C17:$JFC$917505</xm:f>
          </x14:formula1>
          <xm:sqref>JFK917509:JFK917532</xm:sqref>
        </x14:dataValidation>
        <x14:dataValidation type="list" allowBlank="1" showInputMessage="1" showErrorMessage="1" xr:uid="{00000000-0002-0000-0300-00007C0B0000}">
          <x14:formula1>
            <xm:f>項目!C17:$JOY$917505</xm:f>
          </x14:formula1>
          <xm:sqref>JPG917509:JPG917532</xm:sqref>
        </x14:dataValidation>
        <x14:dataValidation type="list" allowBlank="1" showInputMessage="1" showErrorMessage="1" xr:uid="{00000000-0002-0000-0300-00007D0B0000}">
          <x14:formula1>
            <xm:f>項目!C17:$JYU$917505</xm:f>
          </x14:formula1>
          <xm:sqref>JZC917509:JZC917532</xm:sqref>
        </x14:dataValidation>
        <x14:dataValidation type="list" allowBlank="1" showInputMessage="1" showErrorMessage="1" xr:uid="{00000000-0002-0000-0300-00007E0B0000}">
          <x14:formula1>
            <xm:f>項目!C17:$KIQ$917505</xm:f>
          </x14:formula1>
          <xm:sqref>KIY917509:KIY917532</xm:sqref>
        </x14:dataValidation>
        <x14:dataValidation type="list" allowBlank="1" showInputMessage="1" showErrorMessage="1" xr:uid="{00000000-0002-0000-0300-00007F0B0000}">
          <x14:formula1>
            <xm:f>項目!C17:$KSM$917505</xm:f>
          </x14:formula1>
          <xm:sqref>KSU917509:KSU917532</xm:sqref>
        </x14:dataValidation>
        <x14:dataValidation type="list" allowBlank="1" showInputMessage="1" showErrorMessage="1" xr:uid="{00000000-0002-0000-0300-0000800B0000}">
          <x14:formula1>
            <xm:f>項目!C17:$LCI$917505</xm:f>
          </x14:formula1>
          <xm:sqref>LCQ917509:LCQ917532</xm:sqref>
        </x14:dataValidation>
        <x14:dataValidation type="list" allowBlank="1" showInputMessage="1" showErrorMessage="1" xr:uid="{00000000-0002-0000-0300-0000810B0000}">
          <x14:formula1>
            <xm:f>項目!C17:$LME$917505</xm:f>
          </x14:formula1>
          <xm:sqref>LMM917509:LMM917532</xm:sqref>
        </x14:dataValidation>
        <x14:dataValidation type="list" allowBlank="1" showInputMessage="1" showErrorMessage="1" xr:uid="{00000000-0002-0000-0300-0000820B0000}">
          <x14:formula1>
            <xm:f>項目!C17:$LWA$917505</xm:f>
          </x14:formula1>
          <xm:sqref>LWI917509:LWI917532</xm:sqref>
        </x14:dataValidation>
        <x14:dataValidation type="list" allowBlank="1" showInputMessage="1" showErrorMessage="1" xr:uid="{00000000-0002-0000-0300-0000830B0000}">
          <x14:formula1>
            <xm:f>項目!C17:$MFW$917505</xm:f>
          </x14:formula1>
          <xm:sqref>MGE917509:MGE917532</xm:sqref>
        </x14:dataValidation>
        <x14:dataValidation type="list" allowBlank="1" showInputMessage="1" showErrorMessage="1" xr:uid="{00000000-0002-0000-0300-0000840B0000}">
          <x14:formula1>
            <xm:f>項目!C17:$MPS$917505</xm:f>
          </x14:formula1>
          <xm:sqref>MQA917509:MQA917532</xm:sqref>
        </x14:dataValidation>
        <x14:dataValidation type="list" allowBlank="1" showInputMessage="1" showErrorMessage="1" xr:uid="{00000000-0002-0000-0300-0000850B0000}">
          <x14:formula1>
            <xm:f>項目!C17:$MZO$917505</xm:f>
          </x14:formula1>
          <xm:sqref>MZW917509:MZW917532</xm:sqref>
        </x14:dataValidation>
        <x14:dataValidation type="list" allowBlank="1" showInputMessage="1" showErrorMessage="1" xr:uid="{00000000-0002-0000-0300-0000860B0000}">
          <x14:formula1>
            <xm:f>項目!C17:$NJK$917505</xm:f>
          </x14:formula1>
          <xm:sqref>NJS917509:NJS917532</xm:sqref>
        </x14:dataValidation>
        <x14:dataValidation type="list" allowBlank="1" showInputMessage="1" showErrorMessage="1" xr:uid="{00000000-0002-0000-0300-0000870B0000}">
          <x14:formula1>
            <xm:f>項目!C17:$NTG$917505</xm:f>
          </x14:formula1>
          <xm:sqref>NTO917509:NTO917532</xm:sqref>
        </x14:dataValidation>
        <x14:dataValidation type="list" allowBlank="1" showInputMessage="1" showErrorMessage="1" xr:uid="{00000000-0002-0000-0300-0000880B0000}">
          <x14:formula1>
            <xm:f>項目!C17:$ODC$917505</xm:f>
          </x14:formula1>
          <xm:sqref>ODK917509:ODK917532</xm:sqref>
        </x14:dataValidation>
        <x14:dataValidation type="list" allowBlank="1" showInputMessage="1" showErrorMessage="1" xr:uid="{00000000-0002-0000-0300-0000890B0000}">
          <x14:formula1>
            <xm:f>項目!C17:$OMY$917505</xm:f>
          </x14:formula1>
          <xm:sqref>ONG917509:ONG917532</xm:sqref>
        </x14:dataValidation>
        <x14:dataValidation type="list" allowBlank="1" showInputMessage="1" showErrorMessage="1" xr:uid="{00000000-0002-0000-0300-00008A0B0000}">
          <x14:formula1>
            <xm:f>項目!C17:$OWU$917505</xm:f>
          </x14:formula1>
          <xm:sqref>OXC917509:OXC917532</xm:sqref>
        </x14:dataValidation>
        <x14:dataValidation type="list" allowBlank="1" showInputMessage="1" showErrorMessage="1" xr:uid="{00000000-0002-0000-0300-00008B0B0000}">
          <x14:formula1>
            <xm:f>項目!C17:$PGQ$917505</xm:f>
          </x14:formula1>
          <xm:sqref>PGY917509:PGY917532</xm:sqref>
        </x14:dataValidation>
        <x14:dataValidation type="list" allowBlank="1" showInputMessage="1" showErrorMessage="1" xr:uid="{00000000-0002-0000-0300-00008C0B0000}">
          <x14:formula1>
            <xm:f>項目!C17:$PQM$917505</xm:f>
          </x14:formula1>
          <xm:sqref>PQU917509:PQU917532</xm:sqref>
        </x14:dataValidation>
        <x14:dataValidation type="list" allowBlank="1" showInputMessage="1" showErrorMessage="1" xr:uid="{00000000-0002-0000-0300-00008D0B0000}">
          <x14:formula1>
            <xm:f>項目!C17:$QAI$917505</xm:f>
          </x14:formula1>
          <xm:sqref>QAQ917509:QAQ917532</xm:sqref>
        </x14:dataValidation>
        <x14:dataValidation type="list" allowBlank="1" showInputMessage="1" showErrorMessage="1" xr:uid="{00000000-0002-0000-0300-00008E0B0000}">
          <x14:formula1>
            <xm:f>項目!C17:$QKE$917505</xm:f>
          </x14:formula1>
          <xm:sqref>QKM917509:QKM917532</xm:sqref>
        </x14:dataValidation>
        <x14:dataValidation type="list" allowBlank="1" showInputMessage="1" showErrorMessage="1" xr:uid="{00000000-0002-0000-0300-00008F0B0000}">
          <x14:formula1>
            <xm:f>項目!C17:$QUA$917505</xm:f>
          </x14:formula1>
          <xm:sqref>QUI917509:QUI917532</xm:sqref>
        </x14:dataValidation>
        <x14:dataValidation type="list" allowBlank="1" showInputMessage="1" showErrorMessage="1" xr:uid="{00000000-0002-0000-0300-0000900B0000}">
          <x14:formula1>
            <xm:f>項目!C17:$RDW$917505</xm:f>
          </x14:formula1>
          <xm:sqref>REE917509:REE917532</xm:sqref>
        </x14:dataValidation>
        <x14:dataValidation type="list" allowBlank="1" showInputMessage="1" showErrorMessage="1" xr:uid="{00000000-0002-0000-0300-0000910B0000}">
          <x14:formula1>
            <xm:f>項目!C17:$RNS$917505</xm:f>
          </x14:formula1>
          <xm:sqref>ROA917509:ROA917532</xm:sqref>
        </x14:dataValidation>
        <x14:dataValidation type="list" allowBlank="1" showInputMessage="1" showErrorMessage="1" xr:uid="{00000000-0002-0000-0300-0000920B0000}">
          <x14:formula1>
            <xm:f>項目!C17:$RXO$917505</xm:f>
          </x14:formula1>
          <xm:sqref>RXW917509:RXW917532</xm:sqref>
        </x14:dataValidation>
        <x14:dataValidation type="list" allowBlank="1" showInputMessage="1" showErrorMessage="1" xr:uid="{00000000-0002-0000-0300-0000930B0000}">
          <x14:formula1>
            <xm:f>項目!C17:$SHK$917505</xm:f>
          </x14:formula1>
          <xm:sqref>SHS917509:SHS917532</xm:sqref>
        </x14:dataValidation>
        <x14:dataValidation type="list" allowBlank="1" showInputMessage="1" showErrorMessage="1" xr:uid="{00000000-0002-0000-0300-0000940B0000}">
          <x14:formula1>
            <xm:f>項目!C17:$SRG$917505</xm:f>
          </x14:formula1>
          <xm:sqref>SRO917509:SRO917532</xm:sqref>
        </x14:dataValidation>
        <x14:dataValidation type="list" allowBlank="1" showInputMessage="1" showErrorMessage="1" xr:uid="{00000000-0002-0000-0300-0000950B0000}">
          <x14:formula1>
            <xm:f>項目!C17:$TBC$917505</xm:f>
          </x14:formula1>
          <xm:sqref>TBK917509:TBK917532</xm:sqref>
        </x14:dataValidation>
        <x14:dataValidation type="list" allowBlank="1" showInputMessage="1" showErrorMessage="1" xr:uid="{00000000-0002-0000-0300-0000960B0000}">
          <x14:formula1>
            <xm:f>項目!C17:$TKY$917505</xm:f>
          </x14:formula1>
          <xm:sqref>TLG917509:TLG917532</xm:sqref>
        </x14:dataValidation>
        <x14:dataValidation type="list" allowBlank="1" showInputMessage="1" showErrorMessage="1" xr:uid="{00000000-0002-0000-0300-0000970B0000}">
          <x14:formula1>
            <xm:f>項目!C17:$TUU$917505</xm:f>
          </x14:formula1>
          <xm:sqref>TVC917509:TVC917532</xm:sqref>
        </x14:dataValidation>
        <x14:dataValidation type="list" allowBlank="1" showInputMessage="1" showErrorMessage="1" xr:uid="{00000000-0002-0000-0300-0000980B0000}">
          <x14:formula1>
            <xm:f>項目!C17:$UEQ$917505</xm:f>
          </x14:formula1>
          <xm:sqref>UEY917509:UEY917532</xm:sqref>
        </x14:dataValidation>
        <x14:dataValidation type="list" allowBlank="1" showInputMessage="1" showErrorMessage="1" xr:uid="{00000000-0002-0000-0300-0000990B0000}">
          <x14:formula1>
            <xm:f>項目!C17:$UOM$917505</xm:f>
          </x14:formula1>
          <xm:sqref>UOU917509:UOU917532</xm:sqref>
        </x14:dataValidation>
        <x14:dataValidation type="list" allowBlank="1" showInputMessage="1" showErrorMessage="1" xr:uid="{00000000-0002-0000-0300-00009A0B0000}">
          <x14:formula1>
            <xm:f>項目!C17:$UYI$917505</xm:f>
          </x14:formula1>
          <xm:sqref>UYQ917509:UYQ917532</xm:sqref>
        </x14:dataValidation>
        <x14:dataValidation type="list" allowBlank="1" showInputMessage="1" showErrorMessage="1" xr:uid="{00000000-0002-0000-0300-00009B0B0000}">
          <x14:formula1>
            <xm:f>項目!C17:$VIE$917505</xm:f>
          </x14:formula1>
          <xm:sqref>VIM917509:VIM917532</xm:sqref>
        </x14:dataValidation>
        <x14:dataValidation type="list" allowBlank="1" showInputMessage="1" showErrorMessage="1" xr:uid="{00000000-0002-0000-0300-00009C0B0000}">
          <x14:formula1>
            <xm:f>項目!C17:$VSA$917505</xm:f>
          </x14:formula1>
          <xm:sqref>VSI917509:VSI917532</xm:sqref>
        </x14:dataValidation>
        <x14:dataValidation type="list" allowBlank="1" showInputMessage="1" showErrorMessage="1" xr:uid="{00000000-0002-0000-0300-00009D0B0000}">
          <x14:formula1>
            <xm:f>項目!C17:$WBW$917505</xm:f>
          </x14:formula1>
          <xm:sqref>WCE917509:WCE917532</xm:sqref>
        </x14:dataValidation>
        <x14:dataValidation type="list" allowBlank="1" showInputMessage="1" showErrorMessage="1" xr:uid="{00000000-0002-0000-0300-00009E0B0000}">
          <x14:formula1>
            <xm:f>項目!C17:$WLS$917505</xm:f>
          </x14:formula1>
          <xm:sqref>WMA917509:WMA917532</xm:sqref>
        </x14:dataValidation>
        <x14:dataValidation type="list" allowBlank="1" showInputMessage="1" showErrorMessage="1" xr:uid="{00000000-0002-0000-0300-00009F0B0000}">
          <x14:formula1>
            <xm:f>項目!C17:$WVO$917505</xm:f>
          </x14:formula1>
          <xm:sqref>WVW917509:WVW917532</xm:sqref>
        </x14:dataValidation>
        <x14:dataValidation type="list" allowBlank="1" showInputMessage="1" showErrorMessage="1" xr:uid="{00000000-0002-0000-0300-0000A00B0000}">
          <x14:formula1>
            <xm:f>項目!C17:$J$983041</xm:f>
          </x14:formula1>
          <xm:sqref>O983045:O983068</xm:sqref>
        </x14:dataValidation>
        <x14:dataValidation type="list" allowBlank="1" showInputMessage="1" showErrorMessage="1" xr:uid="{00000000-0002-0000-0300-0000A10B0000}">
          <x14:formula1>
            <xm:f>項目!C17:$JC$983041</xm:f>
          </x14:formula1>
          <xm:sqref>JK983045:JK983068</xm:sqref>
        </x14:dataValidation>
        <x14:dataValidation type="list" allowBlank="1" showInputMessage="1" showErrorMessage="1" xr:uid="{00000000-0002-0000-0300-0000A20B0000}">
          <x14:formula1>
            <xm:f>項目!C17:$SY$983041</xm:f>
          </x14:formula1>
          <xm:sqref>TG983045:TG983068</xm:sqref>
        </x14:dataValidation>
        <x14:dataValidation type="list" allowBlank="1" showInputMessage="1" showErrorMessage="1" xr:uid="{00000000-0002-0000-0300-0000A30B0000}">
          <x14:formula1>
            <xm:f>項目!C17:$ACU$983041</xm:f>
          </x14:formula1>
          <xm:sqref>ADC983045:ADC983068</xm:sqref>
        </x14:dataValidation>
        <x14:dataValidation type="list" allowBlank="1" showInputMessage="1" showErrorMessage="1" xr:uid="{00000000-0002-0000-0300-0000A40B0000}">
          <x14:formula1>
            <xm:f>項目!C17:$AMQ$983041</xm:f>
          </x14:formula1>
          <xm:sqref>AMY983045:AMY983068</xm:sqref>
        </x14:dataValidation>
        <x14:dataValidation type="list" allowBlank="1" showInputMessage="1" showErrorMessage="1" xr:uid="{00000000-0002-0000-0300-0000A50B0000}">
          <x14:formula1>
            <xm:f>項目!C17:$AWM$983041</xm:f>
          </x14:formula1>
          <xm:sqref>AWU983045:AWU983068</xm:sqref>
        </x14:dataValidation>
        <x14:dataValidation type="list" allowBlank="1" showInputMessage="1" showErrorMessage="1" xr:uid="{00000000-0002-0000-0300-0000A60B0000}">
          <x14:formula1>
            <xm:f>項目!C17:$BGI$983041</xm:f>
          </x14:formula1>
          <xm:sqref>BGQ983045:BGQ983068</xm:sqref>
        </x14:dataValidation>
        <x14:dataValidation type="list" allowBlank="1" showInputMessage="1" showErrorMessage="1" xr:uid="{00000000-0002-0000-0300-0000A70B0000}">
          <x14:formula1>
            <xm:f>項目!C17:$BQE$983041</xm:f>
          </x14:formula1>
          <xm:sqref>BQM983045:BQM983068</xm:sqref>
        </x14:dataValidation>
        <x14:dataValidation type="list" allowBlank="1" showInputMessage="1" showErrorMessage="1" xr:uid="{00000000-0002-0000-0300-0000A80B0000}">
          <x14:formula1>
            <xm:f>項目!C17:$CAA$983041</xm:f>
          </x14:formula1>
          <xm:sqref>CAI983045:CAI983068</xm:sqref>
        </x14:dataValidation>
        <x14:dataValidation type="list" allowBlank="1" showInputMessage="1" showErrorMessage="1" xr:uid="{00000000-0002-0000-0300-0000A90B0000}">
          <x14:formula1>
            <xm:f>項目!C17:$CJW$983041</xm:f>
          </x14:formula1>
          <xm:sqref>CKE983045:CKE983068</xm:sqref>
        </x14:dataValidation>
        <x14:dataValidation type="list" allowBlank="1" showInputMessage="1" showErrorMessage="1" xr:uid="{00000000-0002-0000-0300-0000AA0B0000}">
          <x14:formula1>
            <xm:f>項目!C17:$CTS$983041</xm:f>
          </x14:formula1>
          <xm:sqref>CUA983045:CUA983068</xm:sqref>
        </x14:dataValidation>
        <x14:dataValidation type="list" allowBlank="1" showInputMessage="1" showErrorMessage="1" xr:uid="{00000000-0002-0000-0300-0000AB0B0000}">
          <x14:formula1>
            <xm:f>項目!C17:$DDO$983041</xm:f>
          </x14:formula1>
          <xm:sqref>DDW983045:DDW983068</xm:sqref>
        </x14:dataValidation>
        <x14:dataValidation type="list" allowBlank="1" showInputMessage="1" showErrorMessage="1" xr:uid="{00000000-0002-0000-0300-0000AC0B0000}">
          <x14:formula1>
            <xm:f>項目!C17:$DNK$983041</xm:f>
          </x14:formula1>
          <xm:sqref>DNS983045:DNS983068</xm:sqref>
        </x14:dataValidation>
        <x14:dataValidation type="list" allowBlank="1" showInputMessage="1" showErrorMessage="1" xr:uid="{00000000-0002-0000-0300-0000AD0B0000}">
          <x14:formula1>
            <xm:f>項目!C17:$DXG$983041</xm:f>
          </x14:formula1>
          <xm:sqref>DXO983045:DXO983068</xm:sqref>
        </x14:dataValidation>
        <x14:dataValidation type="list" allowBlank="1" showInputMessage="1" showErrorMessage="1" xr:uid="{00000000-0002-0000-0300-0000AE0B0000}">
          <x14:formula1>
            <xm:f>項目!C17:$EHC$983041</xm:f>
          </x14:formula1>
          <xm:sqref>EHK983045:EHK983068</xm:sqref>
        </x14:dataValidation>
        <x14:dataValidation type="list" allowBlank="1" showInputMessage="1" showErrorMessage="1" xr:uid="{00000000-0002-0000-0300-0000AF0B0000}">
          <x14:formula1>
            <xm:f>項目!C17:$EQY$983041</xm:f>
          </x14:formula1>
          <xm:sqref>ERG983045:ERG983068</xm:sqref>
        </x14:dataValidation>
        <x14:dataValidation type="list" allowBlank="1" showInputMessage="1" showErrorMessage="1" xr:uid="{00000000-0002-0000-0300-0000B00B0000}">
          <x14:formula1>
            <xm:f>項目!C17:$FAU$983041</xm:f>
          </x14:formula1>
          <xm:sqref>FBC983045:FBC983068</xm:sqref>
        </x14:dataValidation>
        <x14:dataValidation type="list" allowBlank="1" showInputMessage="1" showErrorMessage="1" xr:uid="{00000000-0002-0000-0300-0000B10B0000}">
          <x14:formula1>
            <xm:f>項目!C17:$FKQ$983041</xm:f>
          </x14:formula1>
          <xm:sqref>FKY983045:FKY983068</xm:sqref>
        </x14:dataValidation>
        <x14:dataValidation type="list" allowBlank="1" showInputMessage="1" showErrorMessage="1" xr:uid="{00000000-0002-0000-0300-0000B20B0000}">
          <x14:formula1>
            <xm:f>項目!C17:$FUM$983041</xm:f>
          </x14:formula1>
          <xm:sqref>FUU983045:FUU983068</xm:sqref>
        </x14:dataValidation>
        <x14:dataValidation type="list" allowBlank="1" showInputMessage="1" showErrorMessage="1" xr:uid="{00000000-0002-0000-0300-0000B30B0000}">
          <x14:formula1>
            <xm:f>項目!C17:$GEI$983041</xm:f>
          </x14:formula1>
          <xm:sqref>GEQ983045:GEQ983068</xm:sqref>
        </x14:dataValidation>
        <x14:dataValidation type="list" allowBlank="1" showInputMessage="1" showErrorMessage="1" xr:uid="{00000000-0002-0000-0300-0000B40B0000}">
          <x14:formula1>
            <xm:f>項目!C17:$GOE$983041</xm:f>
          </x14:formula1>
          <xm:sqref>GOM983045:GOM983068</xm:sqref>
        </x14:dataValidation>
        <x14:dataValidation type="list" allowBlank="1" showInputMessage="1" showErrorMessage="1" xr:uid="{00000000-0002-0000-0300-0000B50B0000}">
          <x14:formula1>
            <xm:f>項目!C17:$GYA$983041</xm:f>
          </x14:formula1>
          <xm:sqref>GYI983045:GYI983068</xm:sqref>
        </x14:dataValidation>
        <x14:dataValidation type="list" allowBlank="1" showInputMessage="1" showErrorMessage="1" xr:uid="{00000000-0002-0000-0300-0000B60B0000}">
          <x14:formula1>
            <xm:f>項目!C17:$HHW$983041</xm:f>
          </x14:formula1>
          <xm:sqref>HIE983045:HIE983068</xm:sqref>
        </x14:dataValidation>
        <x14:dataValidation type="list" allowBlank="1" showInputMessage="1" showErrorMessage="1" xr:uid="{00000000-0002-0000-0300-0000B70B0000}">
          <x14:formula1>
            <xm:f>項目!C17:$HRS$983041</xm:f>
          </x14:formula1>
          <xm:sqref>HSA983045:HSA983068</xm:sqref>
        </x14:dataValidation>
        <x14:dataValidation type="list" allowBlank="1" showInputMessage="1" showErrorMessage="1" xr:uid="{00000000-0002-0000-0300-0000B80B0000}">
          <x14:formula1>
            <xm:f>項目!C17:$IBO$983041</xm:f>
          </x14:formula1>
          <xm:sqref>IBW983045:IBW983068</xm:sqref>
        </x14:dataValidation>
        <x14:dataValidation type="list" allowBlank="1" showInputMessage="1" showErrorMessage="1" xr:uid="{00000000-0002-0000-0300-0000B90B0000}">
          <x14:formula1>
            <xm:f>項目!C17:$ILK$983041</xm:f>
          </x14:formula1>
          <xm:sqref>ILS983045:ILS983068</xm:sqref>
        </x14:dataValidation>
        <x14:dataValidation type="list" allowBlank="1" showInputMessage="1" showErrorMessage="1" xr:uid="{00000000-0002-0000-0300-0000BA0B0000}">
          <x14:formula1>
            <xm:f>項目!C17:$IVG$983041</xm:f>
          </x14:formula1>
          <xm:sqref>IVO983045:IVO983068</xm:sqref>
        </x14:dataValidation>
        <x14:dataValidation type="list" allowBlank="1" showInputMessage="1" showErrorMessage="1" xr:uid="{00000000-0002-0000-0300-0000BB0B0000}">
          <x14:formula1>
            <xm:f>項目!C17:$JFC$983041</xm:f>
          </x14:formula1>
          <xm:sqref>JFK983045:JFK983068</xm:sqref>
        </x14:dataValidation>
        <x14:dataValidation type="list" allowBlank="1" showInputMessage="1" showErrorMessage="1" xr:uid="{00000000-0002-0000-0300-0000BC0B0000}">
          <x14:formula1>
            <xm:f>項目!C17:$JOY$983041</xm:f>
          </x14:formula1>
          <xm:sqref>JPG983045:JPG983068</xm:sqref>
        </x14:dataValidation>
        <x14:dataValidation type="list" allowBlank="1" showInputMessage="1" showErrorMessage="1" xr:uid="{00000000-0002-0000-0300-0000BD0B0000}">
          <x14:formula1>
            <xm:f>項目!C17:$JYU$983041</xm:f>
          </x14:formula1>
          <xm:sqref>JZC983045:JZC983068</xm:sqref>
        </x14:dataValidation>
        <x14:dataValidation type="list" allowBlank="1" showInputMessage="1" showErrorMessage="1" xr:uid="{00000000-0002-0000-0300-0000BE0B0000}">
          <x14:formula1>
            <xm:f>項目!C17:$KIQ$983041</xm:f>
          </x14:formula1>
          <xm:sqref>KIY983045:KIY983068</xm:sqref>
        </x14:dataValidation>
        <x14:dataValidation type="list" allowBlank="1" showInputMessage="1" showErrorMessage="1" xr:uid="{00000000-0002-0000-0300-0000BF0B0000}">
          <x14:formula1>
            <xm:f>項目!C17:$KSM$983041</xm:f>
          </x14:formula1>
          <xm:sqref>KSU983045:KSU983068</xm:sqref>
        </x14:dataValidation>
        <x14:dataValidation type="list" allowBlank="1" showInputMessage="1" showErrorMessage="1" xr:uid="{00000000-0002-0000-0300-0000C00B0000}">
          <x14:formula1>
            <xm:f>項目!C17:$LCI$983041</xm:f>
          </x14:formula1>
          <xm:sqref>LCQ983045:LCQ983068</xm:sqref>
        </x14:dataValidation>
        <x14:dataValidation type="list" allowBlank="1" showInputMessage="1" showErrorMessage="1" xr:uid="{00000000-0002-0000-0300-0000C10B0000}">
          <x14:formula1>
            <xm:f>項目!C17:$LME$983041</xm:f>
          </x14:formula1>
          <xm:sqref>LMM983045:LMM983068</xm:sqref>
        </x14:dataValidation>
        <x14:dataValidation type="list" allowBlank="1" showInputMessage="1" showErrorMessage="1" xr:uid="{00000000-0002-0000-0300-0000C20B0000}">
          <x14:formula1>
            <xm:f>項目!C17:$LWA$983041</xm:f>
          </x14:formula1>
          <xm:sqref>LWI983045:LWI983068</xm:sqref>
        </x14:dataValidation>
        <x14:dataValidation type="list" allowBlank="1" showInputMessage="1" showErrorMessage="1" xr:uid="{00000000-0002-0000-0300-0000C30B0000}">
          <x14:formula1>
            <xm:f>項目!C17:$MFW$983041</xm:f>
          </x14:formula1>
          <xm:sqref>MGE983045:MGE983068</xm:sqref>
        </x14:dataValidation>
        <x14:dataValidation type="list" allowBlank="1" showInputMessage="1" showErrorMessage="1" xr:uid="{00000000-0002-0000-0300-0000C40B0000}">
          <x14:formula1>
            <xm:f>項目!C17:$MPS$983041</xm:f>
          </x14:formula1>
          <xm:sqref>MQA983045:MQA983068</xm:sqref>
        </x14:dataValidation>
        <x14:dataValidation type="list" allowBlank="1" showInputMessage="1" showErrorMessage="1" xr:uid="{00000000-0002-0000-0300-0000C50B0000}">
          <x14:formula1>
            <xm:f>項目!C17:$MZO$983041</xm:f>
          </x14:formula1>
          <xm:sqref>MZW983045:MZW983068</xm:sqref>
        </x14:dataValidation>
        <x14:dataValidation type="list" allowBlank="1" showInputMessage="1" showErrorMessage="1" xr:uid="{00000000-0002-0000-0300-0000C60B0000}">
          <x14:formula1>
            <xm:f>項目!C17:$NJK$983041</xm:f>
          </x14:formula1>
          <xm:sqref>NJS983045:NJS983068</xm:sqref>
        </x14:dataValidation>
        <x14:dataValidation type="list" allowBlank="1" showInputMessage="1" showErrorMessage="1" xr:uid="{00000000-0002-0000-0300-0000C70B0000}">
          <x14:formula1>
            <xm:f>項目!C17:$NTG$983041</xm:f>
          </x14:formula1>
          <xm:sqref>NTO983045:NTO983068</xm:sqref>
        </x14:dataValidation>
        <x14:dataValidation type="list" allowBlank="1" showInputMessage="1" showErrorMessage="1" xr:uid="{00000000-0002-0000-0300-0000C80B0000}">
          <x14:formula1>
            <xm:f>項目!C17:$ODC$983041</xm:f>
          </x14:formula1>
          <xm:sqref>ODK983045:ODK983068</xm:sqref>
        </x14:dataValidation>
        <x14:dataValidation type="list" allowBlank="1" showInputMessage="1" showErrorMessage="1" xr:uid="{00000000-0002-0000-0300-0000C90B0000}">
          <x14:formula1>
            <xm:f>項目!C17:$OMY$983041</xm:f>
          </x14:formula1>
          <xm:sqref>ONG983045:ONG983068</xm:sqref>
        </x14:dataValidation>
        <x14:dataValidation type="list" allowBlank="1" showInputMessage="1" showErrorMessage="1" xr:uid="{00000000-0002-0000-0300-0000CA0B0000}">
          <x14:formula1>
            <xm:f>項目!C17:$OWU$983041</xm:f>
          </x14:formula1>
          <xm:sqref>OXC983045:OXC983068</xm:sqref>
        </x14:dataValidation>
        <x14:dataValidation type="list" allowBlank="1" showInputMessage="1" showErrorMessage="1" xr:uid="{00000000-0002-0000-0300-0000CB0B0000}">
          <x14:formula1>
            <xm:f>項目!C17:$PGQ$983041</xm:f>
          </x14:formula1>
          <xm:sqref>PGY983045:PGY983068</xm:sqref>
        </x14:dataValidation>
        <x14:dataValidation type="list" allowBlank="1" showInputMessage="1" showErrorMessage="1" xr:uid="{00000000-0002-0000-0300-0000CC0B0000}">
          <x14:formula1>
            <xm:f>項目!C17:$PQM$983041</xm:f>
          </x14:formula1>
          <xm:sqref>PQU983045:PQU983068</xm:sqref>
        </x14:dataValidation>
        <x14:dataValidation type="list" allowBlank="1" showInputMessage="1" showErrorMessage="1" xr:uid="{00000000-0002-0000-0300-0000CD0B0000}">
          <x14:formula1>
            <xm:f>項目!C17:$QAI$983041</xm:f>
          </x14:formula1>
          <xm:sqref>QAQ983045:QAQ983068</xm:sqref>
        </x14:dataValidation>
        <x14:dataValidation type="list" allowBlank="1" showInputMessage="1" showErrorMessage="1" xr:uid="{00000000-0002-0000-0300-0000CE0B0000}">
          <x14:formula1>
            <xm:f>項目!C17:$QKE$983041</xm:f>
          </x14:formula1>
          <xm:sqref>QKM983045:QKM983068</xm:sqref>
        </x14:dataValidation>
        <x14:dataValidation type="list" allowBlank="1" showInputMessage="1" showErrorMessage="1" xr:uid="{00000000-0002-0000-0300-0000CF0B0000}">
          <x14:formula1>
            <xm:f>項目!C17:$QUA$983041</xm:f>
          </x14:formula1>
          <xm:sqref>QUI983045:QUI983068</xm:sqref>
        </x14:dataValidation>
        <x14:dataValidation type="list" allowBlank="1" showInputMessage="1" showErrorMessage="1" xr:uid="{00000000-0002-0000-0300-0000D00B0000}">
          <x14:formula1>
            <xm:f>項目!C17:$RDW$983041</xm:f>
          </x14:formula1>
          <xm:sqref>REE983045:REE983068</xm:sqref>
        </x14:dataValidation>
        <x14:dataValidation type="list" allowBlank="1" showInputMessage="1" showErrorMessage="1" xr:uid="{00000000-0002-0000-0300-0000D10B0000}">
          <x14:formula1>
            <xm:f>項目!C17:$RNS$983041</xm:f>
          </x14:formula1>
          <xm:sqref>ROA983045:ROA983068</xm:sqref>
        </x14:dataValidation>
        <x14:dataValidation type="list" allowBlank="1" showInputMessage="1" showErrorMessage="1" xr:uid="{00000000-0002-0000-0300-0000D20B0000}">
          <x14:formula1>
            <xm:f>項目!C17:$RXO$983041</xm:f>
          </x14:formula1>
          <xm:sqref>RXW983045:RXW983068</xm:sqref>
        </x14:dataValidation>
        <x14:dataValidation type="list" allowBlank="1" showInputMessage="1" showErrorMessage="1" xr:uid="{00000000-0002-0000-0300-0000D30B0000}">
          <x14:formula1>
            <xm:f>項目!C17:$SHK$983041</xm:f>
          </x14:formula1>
          <xm:sqref>SHS983045:SHS983068</xm:sqref>
        </x14:dataValidation>
        <x14:dataValidation type="list" allowBlank="1" showInputMessage="1" showErrorMessage="1" xr:uid="{00000000-0002-0000-0300-0000D40B0000}">
          <x14:formula1>
            <xm:f>項目!C17:$SRG$983041</xm:f>
          </x14:formula1>
          <xm:sqref>SRO983045:SRO983068</xm:sqref>
        </x14:dataValidation>
        <x14:dataValidation type="list" allowBlank="1" showInputMessage="1" showErrorMessage="1" xr:uid="{00000000-0002-0000-0300-0000D50B0000}">
          <x14:formula1>
            <xm:f>項目!C17:$TBC$983041</xm:f>
          </x14:formula1>
          <xm:sqref>TBK983045:TBK983068</xm:sqref>
        </x14:dataValidation>
        <x14:dataValidation type="list" allowBlank="1" showInputMessage="1" showErrorMessage="1" xr:uid="{00000000-0002-0000-0300-0000D60B0000}">
          <x14:formula1>
            <xm:f>項目!C17:$TKY$983041</xm:f>
          </x14:formula1>
          <xm:sqref>TLG983045:TLG983068</xm:sqref>
        </x14:dataValidation>
        <x14:dataValidation type="list" allowBlank="1" showInputMessage="1" showErrorMessage="1" xr:uid="{00000000-0002-0000-0300-0000D70B0000}">
          <x14:formula1>
            <xm:f>項目!C17:$TUU$983041</xm:f>
          </x14:formula1>
          <xm:sqref>TVC983045:TVC983068</xm:sqref>
        </x14:dataValidation>
        <x14:dataValidation type="list" allowBlank="1" showInputMessage="1" showErrorMessage="1" xr:uid="{00000000-0002-0000-0300-0000D80B0000}">
          <x14:formula1>
            <xm:f>項目!C17:$UEQ$983041</xm:f>
          </x14:formula1>
          <xm:sqref>UEY983045:UEY983068</xm:sqref>
        </x14:dataValidation>
        <x14:dataValidation type="list" allowBlank="1" showInputMessage="1" showErrorMessage="1" xr:uid="{00000000-0002-0000-0300-0000D90B0000}">
          <x14:formula1>
            <xm:f>項目!C17:$UOM$983041</xm:f>
          </x14:formula1>
          <xm:sqref>UOU983045:UOU983068</xm:sqref>
        </x14:dataValidation>
        <x14:dataValidation type="list" allowBlank="1" showInputMessage="1" showErrorMessage="1" xr:uid="{00000000-0002-0000-0300-0000DA0B0000}">
          <x14:formula1>
            <xm:f>項目!C17:$UYI$983041</xm:f>
          </x14:formula1>
          <xm:sqref>UYQ983045:UYQ983068</xm:sqref>
        </x14:dataValidation>
        <x14:dataValidation type="list" allowBlank="1" showInputMessage="1" showErrorMessage="1" xr:uid="{00000000-0002-0000-0300-0000DB0B0000}">
          <x14:formula1>
            <xm:f>項目!C17:$VIE$983041</xm:f>
          </x14:formula1>
          <xm:sqref>VIM983045:VIM983068</xm:sqref>
        </x14:dataValidation>
        <x14:dataValidation type="list" allowBlank="1" showInputMessage="1" showErrorMessage="1" xr:uid="{00000000-0002-0000-0300-0000DC0B0000}">
          <x14:formula1>
            <xm:f>項目!C17:$VSA$983041</xm:f>
          </x14:formula1>
          <xm:sqref>VSI983045:VSI983068</xm:sqref>
        </x14:dataValidation>
        <x14:dataValidation type="list" allowBlank="1" showInputMessage="1" showErrorMessage="1" xr:uid="{00000000-0002-0000-0300-0000DD0B0000}">
          <x14:formula1>
            <xm:f>項目!C17:$WBW$983041</xm:f>
          </x14:formula1>
          <xm:sqref>WCE983045:WCE983068</xm:sqref>
        </x14:dataValidation>
        <x14:dataValidation type="list" allowBlank="1" showInputMessage="1" showErrorMessage="1" xr:uid="{00000000-0002-0000-0300-0000DE0B0000}">
          <x14:formula1>
            <xm:f>項目!C17:$WLS$983041</xm:f>
          </x14:formula1>
          <xm:sqref>WMA983045:WMA983068</xm:sqref>
        </x14:dataValidation>
        <x14:dataValidation type="list" allowBlank="1" showInputMessage="1" showErrorMessage="1" xr:uid="{00000000-0002-0000-0300-0000DF0B0000}">
          <x14:formula1>
            <xm:f>項目!C17:$WVO$983041</xm:f>
          </x14:formula1>
          <xm:sqref>WVW983045:WVW983068</xm:sqref>
        </x14:dataValidation>
        <x14:dataValidation type="list" allowBlank="1" showInputMessage="1" showErrorMessage="1" xr:uid="{00000000-0002-0000-0300-0000E00B0000}">
          <x14:formula1>
            <xm:f>項目!C1:$SQ$17</xm:f>
          </x14:formula1>
          <xm:sqref>SY5:SY28</xm:sqref>
        </x14:dataValidation>
        <x14:dataValidation type="list" allowBlank="1" showInputMessage="1" showErrorMessage="1" xr:uid="{00000000-0002-0000-0300-0000E10B0000}">
          <x14:formula1>
            <xm:f>項目!C1:$JG$17</xm:f>
          </x14:formula1>
          <xm:sqref>JO5:JO28</xm:sqref>
        </x14:dataValidation>
        <x14:dataValidation type="list" allowBlank="1" showInputMessage="1" showErrorMessage="1" xr:uid="{00000000-0002-0000-0300-0000E20B0000}">
          <x14:formula1>
            <xm:f>項目!C1:$TC$17</xm:f>
          </x14:formula1>
          <xm:sqref>TK5:TK28</xm:sqref>
        </x14:dataValidation>
        <x14:dataValidation type="list" allowBlank="1" showInputMessage="1" showErrorMessage="1" xr:uid="{00000000-0002-0000-0300-0000E30B0000}">
          <x14:formula1>
            <xm:f>項目!C1:$ACY$17</xm:f>
          </x14:formula1>
          <xm:sqref>ADG5:ADG28</xm:sqref>
        </x14:dataValidation>
        <x14:dataValidation type="list" allowBlank="1" showInputMessage="1" showErrorMessage="1" xr:uid="{00000000-0002-0000-0300-0000E40B0000}">
          <x14:formula1>
            <xm:f>項目!C1:$AMU$17</xm:f>
          </x14:formula1>
          <xm:sqref>ANC5:ANC28</xm:sqref>
        </x14:dataValidation>
        <x14:dataValidation type="list" allowBlank="1" showInputMessage="1" showErrorMessage="1" xr:uid="{00000000-0002-0000-0300-0000E50B0000}">
          <x14:formula1>
            <xm:f>項目!C1:$AWQ$17</xm:f>
          </x14:formula1>
          <xm:sqref>AWY5:AWY28</xm:sqref>
        </x14:dataValidation>
        <x14:dataValidation type="list" allowBlank="1" showInputMessage="1" showErrorMessage="1" xr:uid="{00000000-0002-0000-0300-0000E60B0000}">
          <x14:formula1>
            <xm:f>項目!C1:$BGM$17</xm:f>
          </x14:formula1>
          <xm:sqref>BGU5:BGU28</xm:sqref>
        </x14:dataValidation>
        <x14:dataValidation type="list" allowBlank="1" showInputMessage="1" showErrorMessage="1" xr:uid="{00000000-0002-0000-0300-0000E70B0000}">
          <x14:formula1>
            <xm:f>項目!C1:$BQI$17</xm:f>
          </x14:formula1>
          <xm:sqref>BQQ5:BQQ28</xm:sqref>
        </x14:dataValidation>
        <x14:dataValidation type="list" allowBlank="1" showInputMessage="1" showErrorMessage="1" xr:uid="{00000000-0002-0000-0300-0000E80B0000}">
          <x14:formula1>
            <xm:f>項目!C1:$CAE$17</xm:f>
          </x14:formula1>
          <xm:sqref>CAM5:CAM28</xm:sqref>
        </x14:dataValidation>
        <x14:dataValidation type="list" allowBlank="1" showInputMessage="1" showErrorMessage="1" xr:uid="{00000000-0002-0000-0300-0000E90B0000}">
          <x14:formula1>
            <xm:f>項目!C1:$CKA$17</xm:f>
          </x14:formula1>
          <xm:sqref>CKI5:CKI28</xm:sqref>
        </x14:dataValidation>
        <x14:dataValidation type="list" allowBlank="1" showInputMessage="1" showErrorMessage="1" xr:uid="{00000000-0002-0000-0300-0000EA0B0000}">
          <x14:formula1>
            <xm:f>項目!C1:$CTW$17</xm:f>
          </x14:formula1>
          <xm:sqref>CUE5:CUE28</xm:sqref>
        </x14:dataValidation>
        <x14:dataValidation type="list" allowBlank="1" showInputMessage="1" showErrorMessage="1" xr:uid="{00000000-0002-0000-0300-0000EB0B0000}">
          <x14:formula1>
            <xm:f>項目!C1:$DDS$17</xm:f>
          </x14:formula1>
          <xm:sqref>DEA5:DEA28</xm:sqref>
        </x14:dataValidation>
        <x14:dataValidation type="list" allowBlank="1" showInputMessage="1" showErrorMessage="1" xr:uid="{00000000-0002-0000-0300-0000EC0B0000}">
          <x14:formula1>
            <xm:f>項目!C1:$DNO$17</xm:f>
          </x14:formula1>
          <xm:sqref>DNW5:DNW28</xm:sqref>
        </x14:dataValidation>
        <x14:dataValidation type="list" allowBlank="1" showInputMessage="1" showErrorMessage="1" xr:uid="{00000000-0002-0000-0300-0000ED0B0000}">
          <x14:formula1>
            <xm:f>項目!C1:$DXK$17</xm:f>
          </x14:formula1>
          <xm:sqref>DXS5:DXS28</xm:sqref>
        </x14:dataValidation>
        <x14:dataValidation type="list" allowBlank="1" showInputMessage="1" showErrorMessage="1" xr:uid="{00000000-0002-0000-0300-0000EE0B0000}">
          <x14:formula1>
            <xm:f>項目!C1:$EHG$17</xm:f>
          </x14:formula1>
          <xm:sqref>EHO5:EHO28</xm:sqref>
        </x14:dataValidation>
        <x14:dataValidation type="list" allowBlank="1" showInputMessage="1" showErrorMessage="1" xr:uid="{00000000-0002-0000-0300-0000EF0B0000}">
          <x14:formula1>
            <xm:f>項目!C1:$ERC$17</xm:f>
          </x14:formula1>
          <xm:sqref>ERK5:ERK28</xm:sqref>
        </x14:dataValidation>
        <x14:dataValidation type="list" allowBlank="1" showInputMessage="1" showErrorMessage="1" xr:uid="{00000000-0002-0000-0300-0000F00B0000}">
          <x14:formula1>
            <xm:f>項目!C1:$FAY$17</xm:f>
          </x14:formula1>
          <xm:sqref>FBG5:FBG28</xm:sqref>
        </x14:dataValidation>
        <x14:dataValidation type="list" allowBlank="1" showInputMessage="1" showErrorMessage="1" xr:uid="{00000000-0002-0000-0300-0000F10B0000}">
          <x14:formula1>
            <xm:f>項目!C1:$FKU$17</xm:f>
          </x14:formula1>
          <xm:sqref>FLC5:FLC28</xm:sqref>
        </x14:dataValidation>
        <x14:dataValidation type="list" allowBlank="1" showInputMessage="1" showErrorMessage="1" xr:uid="{00000000-0002-0000-0300-0000F20B0000}">
          <x14:formula1>
            <xm:f>項目!C1:$FUQ$17</xm:f>
          </x14:formula1>
          <xm:sqref>FUY5:FUY28</xm:sqref>
        </x14:dataValidation>
        <x14:dataValidation type="list" allowBlank="1" showInputMessage="1" showErrorMessage="1" xr:uid="{00000000-0002-0000-0300-0000F30B0000}">
          <x14:formula1>
            <xm:f>項目!C1:$GEM$17</xm:f>
          </x14:formula1>
          <xm:sqref>GEU5:GEU28</xm:sqref>
        </x14:dataValidation>
        <x14:dataValidation type="list" allowBlank="1" showInputMessage="1" showErrorMessage="1" xr:uid="{00000000-0002-0000-0300-0000F40B0000}">
          <x14:formula1>
            <xm:f>項目!C1:$GOI$17</xm:f>
          </x14:formula1>
          <xm:sqref>GOQ5:GOQ28</xm:sqref>
        </x14:dataValidation>
        <x14:dataValidation type="list" allowBlank="1" showInputMessage="1" showErrorMessage="1" xr:uid="{00000000-0002-0000-0300-0000F50B0000}">
          <x14:formula1>
            <xm:f>項目!C1:$GYE$17</xm:f>
          </x14:formula1>
          <xm:sqref>GYM5:GYM28</xm:sqref>
        </x14:dataValidation>
        <x14:dataValidation type="list" allowBlank="1" showInputMessage="1" showErrorMessage="1" xr:uid="{00000000-0002-0000-0300-0000F60B0000}">
          <x14:formula1>
            <xm:f>項目!C1:$HIA$17</xm:f>
          </x14:formula1>
          <xm:sqref>HII5:HII28</xm:sqref>
        </x14:dataValidation>
        <x14:dataValidation type="list" allowBlank="1" showInputMessage="1" showErrorMessage="1" xr:uid="{00000000-0002-0000-0300-0000F70B0000}">
          <x14:formula1>
            <xm:f>項目!C1:$HRW$17</xm:f>
          </x14:formula1>
          <xm:sqref>HSE5:HSE28</xm:sqref>
        </x14:dataValidation>
        <x14:dataValidation type="list" allowBlank="1" showInputMessage="1" showErrorMessage="1" xr:uid="{00000000-0002-0000-0300-0000F80B0000}">
          <x14:formula1>
            <xm:f>項目!C1:$IBS$17</xm:f>
          </x14:formula1>
          <xm:sqref>ICA5:ICA28</xm:sqref>
        </x14:dataValidation>
        <x14:dataValidation type="list" allowBlank="1" showInputMessage="1" showErrorMessage="1" xr:uid="{00000000-0002-0000-0300-0000F90B0000}">
          <x14:formula1>
            <xm:f>項目!C1:$ILO$17</xm:f>
          </x14:formula1>
          <xm:sqref>ILW5:ILW28</xm:sqref>
        </x14:dataValidation>
        <x14:dataValidation type="list" allowBlank="1" showInputMessage="1" showErrorMessage="1" xr:uid="{00000000-0002-0000-0300-0000FA0B0000}">
          <x14:formula1>
            <xm:f>項目!C1:$IVK$17</xm:f>
          </x14:formula1>
          <xm:sqref>IVS5:IVS28</xm:sqref>
        </x14:dataValidation>
        <x14:dataValidation type="list" allowBlank="1" showInputMessage="1" showErrorMessage="1" xr:uid="{00000000-0002-0000-0300-0000FB0B0000}">
          <x14:formula1>
            <xm:f>項目!C1:$JFG$17</xm:f>
          </x14:formula1>
          <xm:sqref>JFO5:JFO28</xm:sqref>
        </x14:dataValidation>
        <x14:dataValidation type="list" allowBlank="1" showInputMessage="1" showErrorMessage="1" xr:uid="{00000000-0002-0000-0300-0000FC0B0000}">
          <x14:formula1>
            <xm:f>項目!C1:$JPC$17</xm:f>
          </x14:formula1>
          <xm:sqref>JPK5:JPK28</xm:sqref>
        </x14:dataValidation>
        <x14:dataValidation type="list" allowBlank="1" showInputMessage="1" showErrorMessage="1" xr:uid="{00000000-0002-0000-0300-0000FD0B0000}">
          <x14:formula1>
            <xm:f>項目!C1:$JYY$17</xm:f>
          </x14:formula1>
          <xm:sqref>JZG5:JZG28</xm:sqref>
        </x14:dataValidation>
        <x14:dataValidation type="list" allowBlank="1" showInputMessage="1" showErrorMessage="1" xr:uid="{00000000-0002-0000-0300-0000FE0B0000}">
          <x14:formula1>
            <xm:f>項目!C1:$KIU$17</xm:f>
          </x14:formula1>
          <xm:sqref>KJC5:KJC28</xm:sqref>
        </x14:dataValidation>
        <x14:dataValidation type="list" allowBlank="1" showInputMessage="1" showErrorMessage="1" xr:uid="{00000000-0002-0000-0300-0000FF0B0000}">
          <x14:formula1>
            <xm:f>項目!C1:$KSQ$17</xm:f>
          </x14:formula1>
          <xm:sqref>KSY5:KSY28</xm:sqref>
        </x14:dataValidation>
        <x14:dataValidation type="list" allowBlank="1" showInputMessage="1" showErrorMessage="1" xr:uid="{00000000-0002-0000-0300-0000000C0000}">
          <x14:formula1>
            <xm:f>項目!C1:$LCM$17</xm:f>
          </x14:formula1>
          <xm:sqref>LCU5:LCU28</xm:sqref>
        </x14:dataValidation>
        <x14:dataValidation type="list" allowBlank="1" showInputMessage="1" showErrorMessage="1" xr:uid="{00000000-0002-0000-0300-0000010C0000}">
          <x14:formula1>
            <xm:f>項目!C1:$LMI$17</xm:f>
          </x14:formula1>
          <xm:sqref>LMQ5:LMQ28</xm:sqref>
        </x14:dataValidation>
        <x14:dataValidation type="list" allowBlank="1" showInputMessage="1" showErrorMessage="1" xr:uid="{00000000-0002-0000-0300-0000020C0000}">
          <x14:formula1>
            <xm:f>項目!C1:$LWE$17</xm:f>
          </x14:formula1>
          <xm:sqref>LWM5:LWM28</xm:sqref>
        </x14:dataValidation>
        <x14:dataValidation type="list" allowBlank="1" showInputMessage="1" showErrorMessage="1" xr:uid="{00000000-0002-0000-0300-0000030C0000}">
          <x14:formula1>
            <xm:f>項目!C1:$MGA$17</xm:f>
          </x14:formula1>
          <xm:sqref>MGI5:MGI28</xm:sqref>
        </x14:dataValidation>
        <x14:dataValidation type="list" allowBlank="1" showInputMessage="1" showErrorMessage="1" xr:uid="{00000000-0002-0000-0300-0000040C0000}">
          <x14:formula1>
            <xm:f>項目!C1:$MPW$17</xm:f>
          </x14:formula1>
          <xm:sqref>MQE5:MQE28</xm:sqref>
        </x14:dataValidation>
        <x14:dataValidation type="list" allowBlank="1" showInputMessage="1" showErrorMessage="1" xr:uid="{00000000-0002-0000-0300-0000050C0000}">
          <x14:formula1>
            <xm:f>項目!C1:$MZS$17</xm:f>
          </x14:formula1>
          <xm:sqref>NAA5:NAA28</xm:sqref>
        </x14:dataValidation>
        <x14:dataValidation type="list" allowBlank="1" showInputMessage="1" showErrorMessage="1" xr:uid="{00000000-0002-0000-0300-0000060C0000}">
          <x14:formula1>
            <xm:f>項目!C1:$NJO$17</xm:f>
          </x14:formula1>
          <xm:sqref>NJW5:NJW28</xm:sqref>
        </x14:dataValidation>
        <x14:dataValidation type="list" allowBlank="1" showInputMessage="1" showErrorMessage="1" xr:uid="{00000000-0002-0000-0300-0000070C0000}">
          <x14:formula1>
            <xm:f>項目!C1:$NTK$17</xm:f>
          </x14:formula1>
          <xm:sqref>NTS5:NTS28</xm:sqref>
        </x14:dataValidation>
        <x14:dataValidation type="list" allowBlank="1" showInputMessage="1" showErrorMessage="1" xr:uid="{00000000-0002-0000-0300-0000080C0000}">
          <x14:formula1>
            <xm:f>項目!C1:$ODG$17</xm:f>
          </x14:formula1>
          <xm:sqref>ODO5:ODO28</xm:sqref>
        </x14:dataValidation>
        <x14:dataValidation type="list" allowBlank="1" showInputMessage="1" showErrorMessage="1" xr:uid="{00000000-0002-0000-0300-0000090C0000}">
          <x14:formula1>
            <xm:f>項目!C1:$ONC$17</xm:f>
          </x14:formula1>
          <xm:sqref>ONK5:ONK28</xm:sqref>
        </x14:dataValidation>
        <x14:dataValidation type="list" allowBlank="1" showInputMessage="1" showErrorMessage="1" xr:uid="{00000000-0002-0000-0300-00000A0C0000}">
          <x14:formula1>
            <xm:f>項目!C1:$OWY$17</xm:f>
          </x14:formula1>
          <xm:sqref>OXG5:OXG28</xm:sqref>
        </x14:dataValidation>
        <x14:dataValidation type="list" allowBlank="1" showInputMessage="1" showErrorMessage="1" xr:uid="{00000000-0002-0000-0300-00000B0C0000}">
          <x14:formula1>
            <xm:f>項目!C1:$PGU$17</xm:f>
          </x14:formula1>
          <xm:sqref>PHC5:PHC28</xm:sqref>
        </x14:dataValidation>
        <x14:dataValidation type="list" allowBlank="1" showInputMessage="1" showErrorMessage="1" xr:uid="{00000000-0002-0000-0300-00000C0C0000}">
          <x14:formula1>
            <xm:f>項目!C1:$PQQ$17</xm:f>
          </x14:formula1>
          <xm:sqref>PQY5:PQY28</xm:sqref>
        </x14:dataValidation>
        <x14:dataValidation type="list" allowBlank="1" showInputMessage="1" showErrorMessage="1" xr:uid="{00000000-0002-0000-0300-00000D0C0000}">
          <x14:formula1>
            <xm:f>項目!C1:$QAM$17</xm:f>
          </x14:formula1>
          <xm:sqref>QAU5:QAU28</xm:sqref>
        </x14:dataValidation>
        <x14:dataValidation type="list" allowBlank="1" showInputMessage="1" showErrorMessage="1" xr:uid="{00000000-0002-0000-0300-00000E0C0000}">
          <x14:formula1>
            <xm:f>項目!C1:$QKI$17</xm:f>
          </x14:formula1>
          <xm:sqref>QKQ5:QKQ28</xm:sqref>
        </x14:dataValidation>
        <x14:dataValidation type="list" allowBlank="1" showInputMessage="1" showErrorMessage="1" xr:uid="{00000000-0002-0000-0300-00000F0C0000}">
          <x14:formula1>
            <xm:f>項目!C1:$QUE$17</xm:f>
          </x14:formula1>
          <xm:sqref>QUM5:QUM28</xm:sqref>
        </x14:dataValidation>
        <x14:dataValidation type="list" allowBlank="1" showInputMessage="1" showErrorMessage="1" xr:uid="{00000000-0002-0000-0300-0000100C0000}">
          <x14:formula1>
            <xm:f>項目!C1:$REA$17</xm:f>
          </x14:formula1>
          <xm:sqref>REI5:REI28</xm:sqref>
        </x14:dataValidation>
        <x14:dataValidation type="list" allowBlank="1" showInputMessage="1" showErrorMessage="1" xr:uid="{00000000-0002-0000-0300-0000110C0000}">
          <x14:formula1>
            <xm:f>項目!C1:$RNW$17</xm:f>
          </x14:formula1>
          <xm:sqref>ROE5:ROE28</xm:sqref>
        </x14:dataValidation>
        <x14:dataValidation type="list" allowBlank="1" showInputMessage="1" showErrorMessage="1" xr:uid="{00000000-0002-0000-0300-0000120C0000}">
          <x14:formula1>
            <xm:f>項目!C1:$RXS$17</xm:f>
          </x14:formula1>
          <xm:sqref>RYA5:RYA28</xm:sqref>
        </x14:dataValidation>
        <x14:dataValidation type="list" allowBlank="1" showInputMessage="1" showErrorMessage="1" xr:uid="{00000000-0002-0000-0300-0000130C0000}">
          <x14:formula1>
            <xm:f>項目!C1:$SHO$17</xm:f>
          </x14:formula1>
          <xm:sqref>SHW5:SHW28</xm:sqref>
        </x14:dataValidation>
        <x14:dataValidation type="list" allowBlank="1" showInputMessage="1" showErrorMessage="1" xr:uid="{00000000-0002-0000-0300-0000140C0000}">
          <x14:formula1>
            <xm:f>項目!C1:$SRK$17</xm:f>
          </x14:formula1>
          <xm:sqref>SRS5:SRS28</xm:sqref>
        </x14:dataValidation>
        <x14:dataValidation type="list" allowBlank="1" showInputMessage="1" showErrorMessage="1" xr:uid="{00000000-0002-0000-0300-0000150C0000}">
          <x14:formula1>
            <xm:f>項目!C1:$TBG$17</xm:f>
          </x14:formula1>
          <xm:sqref>TBO5:TBO28</xm:sqref>
        </x14:dataValidation>
        <x14:dataValidation type="list" allowBlank="1" showInputMessage="1" showErrorMessage="1" xr:uid="{00000000-0002-0000-0300-0000160C0000}">
          <x14:formula1>
            <xm:f>項目!C1:$TLC$17</xm:f>
          </x14:formula1>
          <xm:sqref>TLK5:TLK28</xm:sqref>
        </x14:dataValidation>
        <x14:dataValidation type="list" allowBlank="1" showInputMessage="1" showErrorMessage="1" xr:uid="{00000000-0002-0000-0300-0000170C0000}">
          <x14:formula1>
            <xm:f>項目!C1:$TUY$17</xm:f>
          </x14:formula1>
          <xm:sqref>TVG5:TVG28</xm:sqref>
        </x14:dataValidation>
        <x14:dataValidation type="list" allowBlank="1" showInputMessage="1" showErrorMessage="1" xr:uid="{00000000-0002-0000-0300-0000180C0000}">
          <x14:formula1>
            <xm:f>項目!C1:$UEU$17</xm:f>
          </x14:formula1>
          <xm:sqref>UFC5:UFC28</xm:sqref>
        </x14:dataValidation>
        <x14:dataValidation type="list" allowBlank="1" showInputMessage="1" showErrorMessage="1" xr:uid="{00000000-0002-0000-0300-0000190C0000}">
          <x14:formula1>
            <xm:f>項目!C1:$UOQ$17</xm:f>
          </x14:formula1>
          <xm:sqref>UOY5:UOY28</xm:sqref>
        </x14:dataValidation>
        <x14:dataValidation type="list" allowBlank="1" showInputMessage="1" showErrorMessage="1" xr:uid="{00000000-0002-0000-0300-00001A0C0000}">
          <x14:formula1>
            <xm:f>項目!C1:$UYM$17</xm:f>
          </x14:formula1>
          <xm:sqref>UYU5:UYU28</xm:sqref>
        </x14:dataValidation>
        <x14:dataValidation type="list" allowBlank="1" showInputMessage="1" showErrorMessage="1" xr:uid="{00000000-0002-0000-0300-00001B0C0000}">
          <x14:formula1>
            <xm:f>項目!C1:$VII$17</xm:f>
          </x14:formula1>
          <xm:sqref>VIQ5:VIQ28</xm:sqref>
        </x14:dataValidation>
        <x14:dataValidation type="list" allowBlank="1" showInputMessage="1" showErrorMessage="1" xr:uid="{00000000-0002-0000-0300-00001C0C0000}">
          <x14:formula1>
            <xm:f>項目!C1:$VSE$17</xm:f>
          </x14:formula1>
          <xm:sqref>VSM5:VSM28</xm:sqref>
        </x14:dataValidation>
        <x14:dataValidation type="list" allowBlank="1" showInputMessage="1" showErrorMessage="1" xr:uid="{00000000-0002-0000-0300-00001D0C0000}">
          <x14:formula1>
            <xm:f>項目!C1:$WCA$17</xm:f>
          </x14:formula1>
          <xm:sqref>WCI5:WCI28</xm:sqref>
        </x14:dataValidation>
        <x14:dataValidation type="list" allowBlank="1" showInputMessage="1" showErrorMessage="1" xr:uid="{00000000-0002-0000-0300-00001E0C0000}">
          <x14:formula1>
            <xm:f>項目!C1:$WLW$17</xm:f>
          </x14:formula1>
          <xm:sqref>WME5:WME28</xm:sqref>
        </x14:dataValidation>
        <x14:dataValidation type="list" allowBlank="1" showInputMessage="1" showErrorMessage="1" xr:uid="{00000000-0002-0000-0300-00001F0C0000}">
          <x14:formula1>
            <xm:f>項目!C1:$WVS$17</xm:f>
          </x14:formula1>
          <xm:sqref>WWA5:WWA28</xm:sqref>
        </x14:dataValidation>
        <x14:dataValidation type="list" allowBlank="1" showInputMessage="1" showErrorMessage="1" xr:uid="{00000000-0002-0000-0300-0000200C0000}">
          <x14:formula1>
            <xm:f>項目!C17:$M$65537</xm:f>
          </x14:formula1>
          <xm:sqref>S65541:S65564</xm:sqref>
        </x14:dataValidation>
        <x14:dataValidation type="list" allowBlank="1" showInputMessage="1" showErrorMessage="1" xr:uid="{00000000-0002-0000-0300-0000210C0000}">
          <x14:formula1>
            <xm:f>項目!C17:$JG$65537</xm:f>
          </x14:formula1>
          <xm:sqref>JO65541:JO65564</xm:sqref>
        </x14:dataValidation>
        <x14:dataValidation type="list" allowBlank="1" showInputMessage="1" showErrorMessage="1" xr:uid="{00000000-0002-0000-0300-0000220C0000}">
          <x14:formula1>
            <xm:f>項目!C17:$TC$65537</xm:f>
          </x14:formula1>
          <xm:sqref>TK65541:TK65564</xm:sqref>
        </x14:dataValidation>
        <x14:dataValidation type="list" allowBlank="1" showInputMessage="1" showErrorMessage="1" xr:uid="{00000000-0002-0000-0300-0000230C0000}">
          <x14:formula1>
            <xm:f>項目!C17:$ACY$65537</xm:f>
          </x14:formula1>
          <xm:sqref>ADG65541:ADG65564</xm:sqref>
        </x14:dataValidation>
        <x14:dataValidation type="list" allowBlank="1" showInputMessage="1" showErrorMessage="1" xr:uid="{00000000-0002-0000-0300-0000240C0000}">
          <x14:formula1>
            <xm:f>項目!C17:$AMU$65537</xm:f>
          </x14:formula1>
          <xm:sqref>ANC65541:ANC65564</xm:sqref>
        </x14:dataValidation>
        <x14:dataValidation type="list" allowBlank="1" showInputMessage="1" showErrorMessage="1" xr:uid="{00000000-0002-0000-0300-0000250C0000}">
          <x14:formula1>
            <xm:f>項目!C17:$AWQ$65537</xm:f>
          </x14:formula1>
          <xm:sqref>AWY65541:AWY65564</xm:sqref>
        </x14:dataValidation>
        <x14:dataValidation type="list" allowBlank="1" showInputMessage="1" showErrorMessage="1" xr:uid="{00000000-0002-0000-0300-0000260C0000}">
          <x14:formula1>
            <xm:f>項目!C17:$BGM$65537</xm:f>
          </x14:formula1>
          <xm:sqref>BGU65541:BGU65564</xm:sqref>
        </x14:dataValidation>
        <x14:dataValidation type="list" allowBlank="1" showInputMessage="1" showErrorMessage="1" xr:uid="{00000000-0002-0000-0300-0000270C0000}">
          <x14:formula1>
            <xm:f>項目!C17:$BQI$65537</xm:f>
          </x14:formula1>
          <xm:sqref>BQQ65541:BQQ65564</xm:sqref>
        </x14:dataValidation>
        <x14:dataValidation type="list" allowBlank="1" showInputMessage="1" showErrorMessage="1" xr:uid="{00000000-0002-0000-0300-0000280C0000}">
          <x14:formula1>
            <xm:f>項目!C17:$CAE$65537</xm:f>
          </x14:formula1>
          <xm:sqref>CAM65541:CAM65564</xm:sqref>
        </x14:dataValidation>
        <x14:dataValidation type="list" allowBlank="1" showInputMessage="1" showErrorMessage="1" xr:uid="{00000000-0002-0000-0300-0000290C0000}">
          <x14:formula1>
            <xm:f>項目!C17:$CKA$65537</xm:f>
          </x14:formula1>
          <xm:sqref>CKI65541:CKI65564</xm:sqref>
        </x14:dataValidation>
        <x14:dataValidation type="list" allowBlank="1" showInputMessage="1" showErrorMessage="1" xr:uid="{00000000-0002-0000-0300-00002A0C0000}">
          <x14:formula1>
            <xm:f>項目!C17:$CTW$65537</xm:f>
          </x14:formula1>
          <xm:sqref>CUE65541:CUE65564</xm:sqref>
        </x14:dataValidation>
        <x14:dataValidation type="list" allowBlank="1" showInputMessage="1" showErrorMessage="1" xr:uid="{00000000-0002-0000-0300-00002B0C0000}">
          <x14:formula1>
            <xm:f>項目!C17:$DDS$65537</xm:f>
          </x14:formula1>
          <xm:sqref>DEA65541:DEA65564</xm:sqref>
        </x14:dataValidation>
        <x14:dataValidation type="list" allowBlank="1" showInputMessage="1" showErrorMessage="1" xr:uid="{00000000-0002-0000-0300-00002C0C0000}">
          <x14:formula1>
            <xm:f>項目!C17:$DNO$65537</xm:f>
          </x14:formula1>
          <xm:sqref>DNW65541:DNW65564</xm:sqref>
        </x14:dataValidation>
        <x14:dataValidation type="list" allowBlank="1" showInputMessage="1" showErrorMessage="1" xr:uid="{00000000-0002-0000-0300-00002D0C0000}">
          <x14:formula1>
            <xm:f>項目!C17:$DXK$65537</xm:f>
          </x14:formula1>
          <xm:sqref>DXS65541:DXS65564</xm:sqref>
        </x14:dataValidation>
        <x14:dataValidation type="list" allowBlank="1" showInputMessage="1" showErrorMessage="1" xr:uid="{00000000-0002-0000-0300-00002E0C0000}">
          <x14:formula1>
            <xm:f>項目!C17:$EHG$65537</xm:f>
          </x14:formula1>
          <xm:sqref>EHO65541:EHO65564</xm:sqref>
        </x14:dataValidation>
        <x14:dataValidation type="list" allowBlank="1" showInputMessage="1" showErrorMessage="1" xr:uid="{00000000-0002-0000-0300-00002F0C0000}">
          <x14:formula1>
            <xm:f>項目!C17:$ERC$65537</xm:f>
          </x14:formula1>
          <xm:sqref>ERK65541:ERK65564</xm:sqref>
        </x14:dataValidation>
        <x14:dataValidation type="list" allowBlank="1" showInputMessage="1" showErrorMessage="1" xr:uid="{00000000-0002-0000-0300-0000300C0000}">
          <x14:formula1>
            <xm:f>項目!C17:$FAY$65537</xm:f>
          </x14:formula1>
          <xm:sqref>FBG65541:FBG65564</xm:sqref>
        </x14:dataValidation>
        <x14:dataValidation type="list" allowBlank="1" showInputMessage="1" showErrorMessage="1" xr:uid="{00000000-0002-0000-0300-0000310C0000}">
          <x14:formula1>
            <xm:f>項目!C17:$FKU$65537</xm:f>
          </x14:formula1>
          <xm:sqref>FLC65541:FLC65564</xm:sqref>
        </x14:dataValidation>
        <x14:dataValidation type="list" allowBlank="1" showInputMessage="1" showErrorMessage="1" xr:uid="{00000000-0002-0000-0300-0000320C0000}">
          <x14:formula1>
            <xm:f>項目!C17:$FUQ$65537</xm:f>
          </x14:formula1>
          <xm:sqref>FUY65541:FUY65564</xm:sqref>
        </x14:dataValidation>
        <x14:dataValidation type="list" allowBlank="1" showInputMessage="1" showErrorMessage="1" xr:uid="{00000000-0002-0000-0300-0000330C0000}">
          <x14:formula1>
            <xm:f>項目!C17:$GEM$65537</xm:f>
          </x14:formula1>
          <xm:sqref>GEU65541:GEU65564</xm:sqref>
        </x14:dataValidation>
        <x14:dataValidation type="list" allowBlank="1" showInputMessage="1" showErrorMessage="1" xr:uid="{00000000-0002-0000-0300-0000340C0000}">
          <x14:formula1>
            <xm:f>項目!C17:$GOI$65537</xm:f>
          </x14:formula1>
          <xm:sqref>GOQ65541:GOQ65564</xm:sqref>
        </x14:dataValidation>
        <x14:dataValidation type="list" allowBlank="1" showInputMessage="1" showErrorMessage="1" xr:uid="{00000000-0002-0000-0300-0000350C0000}">
          <x14:formula1>
            <xm:f>項目!C17:$GYE$65537</xm:f>
          </x14:formula1>
          <xm:sqref>GYM65541:GYM65564</xm:sqref>
        </x14:dataValidation>
        <x14:dataValidation type="list" allowBlank="1" showInputMessage="1" showErrorMessage="1" xr:uid="{00000000-0002-0000-0300-0000360C0000}">
          <x14:formula1>
            <xm:f>項目!C17:$HIA$65537</xm:f>
          </x14:formula1>
          <xm:sqref>HII65541:HII65564</xm:sqref>
        </x14:dataValidation>
        <x14:dataValidation type="list" allowBlank="1" showInputMessage="1" showErrorMessage="1" xr:uid="{00000000-0002-0000-0300-0000370C0000}">
          <x14:formula1>
            <xm:f>項目!C17:$HRW$65537</xm:f>
          </x14:formula1>
          <xm:sqref>HSE65541:HSE65564</xm:sqref>
        </x14:dataValidation>
        <x14:dataValidation type="list" allowBlank="1" showInputMessage="1" showErrorMessage="1" xr:uid="{00000000-0002-0000-0300-0000380C0000}">
          <x14:formula1>
            <xm:f>項目!C17:$IBS$65537</xm:f>
          </x14:formula1>
          <xm:sqref>ICA65541:ICA65564</xm:sqref>
        </x14:dataValidation>
        <x14:dataValidation type="list" allowBlank="1" showInputMessage="1" showErrorMessage="1" xr:uid="{00000000-0002-0000-0300-0000390C0000}">
          <x14:formula1>
            <xm:f>項目!C17:$ILO$65537</xm:f>
          </x14:formula1>
          <xm:sqref>ILW65541:ILW65564</xm:sqref>
        </x14:dataValidation>
        <x14:dataValidation type="list" allowBlank="1" showInputMessage="1" showErrorMessage="1" xr:uid="{00000000-0002-0000-0300-00003A0C0000}">
          <x14:formula1>
            <xm:f>項目!C17:$IVK$65537</xm:f>
          </x14:formula1>
          <xm:sqref>IVS65541:IVS65564</xm:sqref>
        </x14:dataValidation>
        <x14:dataValidation type="list" allowBlank="1" showInputMessage="1" showErrorMessage="1" xr:uid="{00000000-0002-0000-0300-00003B0C0000}">
          <x14:formula1>
            <xm:f>項目!C17:$JFG$65537</xm:f>
          </x14:formula1>
          <xm:sqref>JFO65541:JFO65564</xm:sqref>
        </x14:dataValidation>
        <x14:dataValidation type="list" allowBlank="1" showInputMessage="1" showErrorMessage="1" xr:uid="{00000000-0002-0000-0300-00003C0C0000}">
          <x14:formula1>
            <xm:f>項目!C17:$JPC$65537</xm:f>
          </x14:formula1>
          <xm:sqref>JPK65541:JPK65564</xm:sqref>
        </x14:dataValidation>
        <x14:dataValidation type="list" allowBlank="1" showInputMessage="1" showErrorMessage="1" xr:uid="{00000000-0002-0000-0300-00003D0C0000}">
          <x14:formula1>
            <xm:f>項目!C17:$JYY$65537</xm:f>
          </x14:formula1>
          <xm:sqref>JZG65541:JZG65564</xm:sqref>
        </x14:dataValidation>
        <x14:dataValidation type="list" allowBlank="1" showInputMessage="1" showErrorMessage="1" xr:uid="{00000000-0002-0000-0300-00003E0C0000}">
          <x14:formula1>
            <xm:f>項目!C17:$KIU$65537</xm:f>
          </x14:formula1>
          <xm:sqref>KJC65541:KJC65564</xm:sqref>
        </x14:dataValidation>
        <x14:dataValidation type="list" allowBlank="1" showInputMessage="1" showErrorMessage="1" xr:uid="{00000000-0002-0000-0300-00003F0C0000}">
          <x14:formula1>
            <xm:f>項目!C17:$KSQ$65537</xm:f>
          </x14:formula1>
          <xm:sqref>KSY65541:KSY65564</xm:sqref>
        </x14:dataValidation>
        <x14:dataValidation type="list" allowBlank="1" showInputMessage="1" showErrorMessage="1" xr:uid="{00000000-0002-0000-0300-0000400C0000}">
          <x14:formula1>
            <xm:f>項目!C17:$LCM$65537</xm:f>
          </x14:formula1>
          <xm:sqref>LCU65541:LCU65564</xm:sqref>
        </x14:dataValidation>
        <x14:dataValidation type="list" allowBlank="1" showInputMessage="1" showErrorMessage="1" xr:uid="{00000000-0002-0000-0300-0000410C0000}">
          <x14:formula1>
            <xm:f>項目!C17:$LMI$65537</xm:f>
          </x14:formula1>
          <xm:sqref>LMQ65541:LMQ65564</xm:sqref>
        </x14:dataValidation>
        <x14:dataValidation type="list" allowBlank="1" showInputMessage="1" showErrorMessage="1" xr:uid="{00000000-0002-0000-0300-0000420C0000}">
          <x14:formula1>
            <xm:f>項目!C17:$LWE$65537</xm:f>
          </x14:formula1>
          <xm:sqref>LWM65541:LWM65564</xm:sqref>
        </x14:dataValidation>
        <x14:dataValidation type="list" allowBlank="1" showInputMessage="1" showErrorMessage="1" xr:uid="{00000000-0002-0000-0300-0000430C0000}">
          <x14:formula1>
            <xm:f>項目!C17:$MGA$65537</xm:f>
          </x14:formula1>
          <xm:sqref>MGI65541:MGI65564</xm:sqref>
        </x14:dataValidation>
        <x14:dataValidation type="list" allowBlank="1" showInputMessage="1" showErrorMessage="1" xr:uid="{00000000-0002-0000-0300-0000440C0000}">
          <x14:formula1>
            <xm:f>項目!C17:$MPW$65537</xm:f>
          </x14:formula1>
          <xm:sqref>MQE65541:MQE65564</xm:sqref>
        </x14:dataValidation>
        <x14:dataValidation type="list" allowBlank="1" showInputMessage="1" showErrorMessage="1" xr:uid="{00000000-0002-0000-0300-0000450C0000}">
          <x14:formula1>
            <xm:f>項目!C17:$MZS$65537</xm:f>
          </x14:formula1>
          <xm:sqref>NAA65541:NAA65564</xm:sqref>
        </x14:dataValidation>
        <x14:dataValidation type="list" allowBlank="1" showInputMessage="1" showErrorMessage="1" xr:uid="{00000000-0002-0000-0300-0000460C0000}">
          <x14:formula1>
            <xm:f>項目!C17:$NJO$65537</xm:f>
          </x14:formula1>
          <xm:sqref>NJW65541:NJW65564</xm:sqref>
        </x14:dataValidation>
        <x14:dataValidation type="list" allowBlank="1" showInputMessage="1" showErrorMessage="1" xr:uid="{00000000-0002-0000-0300-0000470C0000}">
          <x14:formula1>
            <xm:f>項目!C17:$NTK$65537</xm:f>
          </x14:formula1>
          <xm:sqref>NTS65541:NTS65564</xm:sqref>
        </x14:dataValidation>
        <x14:dataValidation type="list" allowBlank="1" showInputMessage="1" showErrorMessage="1" xr:uid="{00000000-0002-0000-0300-0000480C0000}">
          <x14:formula1>
            <xm:f>項目!C17:$ODG$65537</xm:f>
          </x14:formula1>
          <xm:sqref>ODO65541:ODO65564</xm:sqref>
        </x14:dataValidation>
        <x14:dataValidation type="list" allowBlank="1" showInputMessage="1" showErrorMessage="1" xr:uid="{00000000-0002-0000-0300-0000490C0000}">
          <x14:formula1>
            <xm:f>項目!C17:$ONC$65537</xm:f>
          </x14:formula1>
          <xm:sqref>ONK65541:ONK65564</xm:sqref>
        </x14:dataValidation>
        <x14:dataValidation type="list" allowBlank="1" showInputMessage="1" showErrorMessage="1" xr:uid="{00000000-0002-0000-0300-00004A0C0000}">
          <x14:formula1>
            <xm:f>項目!C17:$OWY$65537</xm:f>
          </x14:formula1>
          <xm:sqref>OXG65541:OXG65564</xm:sqref>
        </x14:dataValidation>
        <x14:dataValidation type="list" allowBlank="1" showInputMessage="1" showErrorMessage="1" xr:uid="{00000000-0002-0000-0300-00004B0C0000}">
          <x14:formula1>
            <xm:f>項目!C17:$PGU$65537</xm:f>
          </x14:formula1>
          <xm:sqref>PHC65541:PHC65564</xm:sqref>
        </x14:dataValidation>
        <x14:dataValidation type="list" allowBlank="1" showInputMessage="1" showErrorMessage="1" xr:uid="{00000000-0002-0000-0300-00004C0C0000}">
          <x14:formula1>
            <xm:f>項目!C17:$PQQ$65537</xm:f>
          </x14:formula1>
          <xm:sqref>PQY65541:PQY65564</xm:sqref>
        </x14:dataValidation>
        <x14:dataValidation type="list" allowBlank="1" showInputMessage="1" showErrorMessage="1" xr:uid="{00000000-0002-0000-0300-00004D0C0000}">
          <x14:formula1>
            <xm:f>項目!C17:$QAM$65537</xm:f>
          </x14:formula1>
          <xm:sqref>QAU65541:QAU65564</xm:sqref>
        </x14:dataValidation>
        <x14:dataValidation type="list" allowBlank="1" showInputMessage="1" showErrorMessage="1" xr:uid="{00000000-0002-0000-0300-00004E0C0000}">
          <x14:formula1>
            <xm:f>項目!C17:$QKI$65537</xm:f>
          </x14:formula1>
          <xm:sqref>QKQ65541:QKQ65564</xm:sqref>
        </x14:dataValidation>
        <x14:dataValidation type="list" allowBlank="1" showInputMessage="1" showErrorMessage="1" xr:uid="{00000000-0002-0000-0300-00004F0C0000}">
          <x14:formula1>
            <xm:f>項目!C17:$QUE$65537</xm:f>
          </x14:formula1>
          <xm:sqref>QUM65541:QUM65564</xm:sqref>
        </x14:dataValidation>
        <x14:dataValidation type="list" allowBlank="1" showInputMessage="1" showErrorMessage="1" xr:uid="{00000000-0002-0000-0300-0000500C0000}">
          <x14:formula1>
            <xm:f>項目!C17:$REA$65537</xm:f>
          </x14:formula1>
          <xm:sqref>REI65541:REI65564</xm:sqref>
        </x14:dataValidation>
        <x14:dataValidation type="list" allowBlank="1" showInputMessage="1" showErrorMessage="1" xr:uid="{00000000-0002-0000-0300-0000510C0000}">
          <x14:formula1>
            <xm:f>項目!C17:$RNW$65537</xm:f>
          </x14:formula1>
          <xm:sqref>ROE65541:ROE65564</xm:sqref>
        </x14:dataValidation>
        <x14:dataValidation type="list" allowBlank="1" showInputMessage="1" showErrorMessage="1" xr:uid="{00000000-0002-0000-0300-0000520C0000}">
          <x14:formula1>
            <xm:f>項目!C17:$RXS$65537</xm:f>
          </x14:formula1>
          <xm:sqref>RYA65541:RYA65564</xm:sqref>
        </x14:dataValidation>
        <x14:dataValidation type="list" allowBlank="1" showInputMessage="1" showErrorMessage="1" xr:uid="{00000000-0002-0000-0300-0000530C0000}">
          <x14:formula1>
            <xm:f>項目!C17:$SHO$65537</xm:f>
          </x14:formula1>
          <xm:sqref>SHW65541:SHW65564</xm:sqref>
        </x14:dataValidation>
        <x14:dataValidation type="list" allowBlank="1" showInputMessage="1" showErrorMessage="1" xr:uid="{00000000-0002-0000-0300-0000540C0000}">
          <x14:formula1>
            <xm:f>項目!C17:$SRK$65537</xm:f>
          </x14:formula1>
          <xm:sqref>SRS65541:SRS65564</xm:sqref>
        </x14:dataValidation>
        <x14:dataValidation type="list" allowBlank="1" showInputMessage="1" showErrorMessage="1" xr:uid="{00000000-0002-0000-0300-0000550C0000}">
          <x14:formula1>
            <xm:f>項目!C17:$TBG$65537</xm:f>
          </x14:formula1>
          <xm:sqref>TBO65541:TBO65564</xm:sqref>
        </x14:dataValidation>
        <x14:dataValidation type="list" allowBlank="1" showInputMessage="1" showErrorMessage="1" xr:uid="{00000000-0002-0000-0300-0000560C0000}">
          <x14:formula1>
            <xm:f>項目!C17:$TLC$65537</xm:f>
          </x14:formula1>
          <xm:sqref>TLK65541:TLK65564</xm:sqref>
        </x14:dataValidation>
        <x14:dataValidation type="list" allowBlank="1" showInputMessage="1" showErrorMessage="1" xr:uid="{00000000-0002-0000-0300-0000570C0000}">
          <x14:formula1>
            <xm:f>項目!C17:$TUY$65537</xm:f>
          </x14:formula1>
          <xm:sqref>TVG65541:TVG65564</xm:sqref>
        </x14:dataValidation>
        <x14:dataValidation type="list" allowBlank="1" showInputMessage="1" showErrorMessage="1" xr:uid="{00000000-0002-0000-0300-0000580C0000}">
          <x14:formula1>
            <xm:f>項目!C17:$UEU$65537</xm:f>
          </x14:formula1>
          <xm:sqref>UFC65541:UFC65564</xm:sqref>
        </x14:dataValidation>
        <x14:dataValidation type="list" allowBlank="1" showInputMessage="1" showErrorMessage="1" xr:uid="{00000000-0002-0000-0300-0000590C0000}">
          <x14:formula1>
            <xm:f>項目!C17:$UOQ$65537</xm:f>
          </x14:formula1>
          <xm:sqref>UOY65541:UOY65564</xm:sqref>
        </x14:dataValidation>
        <x14:dataValidation type="list" allowBlank="1" showInputMessage="1" showErrorMessage="1" xr:uid="{00000000-0002-0000-0300-00005A0C0000}">
          <x14:formula1>
            <xm:f>項目!C17:$UYM$65537</xm:f>
          </x14:formula1>
          <xm:sqref>UYU65541:UYU65564</xm:sqref>
        </x14:dataValidation>
        <x14:dataValidation type="list" allowBlank="1" showInputMessage="1" showErrorMessage="1" xr:uid="{00000000-0002-0000-0300-00005B0C0000}">
          <x14:formula1>
            <xm:f>項目!C17:$VII$65537</xm:f>
          </x14:formula1>
          <xm:sqref>VIQ65541:VIQ65564</xm:sqref>
        </x14:dataValidation>
        <x14:dataValidation type="list" allowBlank="1" showInputMessage="1" showErrorMessage="1" xr:uid="{00000000-0002-0000-0300-00005C0C0000}">
          <x14:formula1>
            <xm:f>項目!C17:$VSE$65537</xm:f>
          </x14:formula1>
          <xm:sqref>VSM65541:VSM65564</xm:sqref>
        </x14:dataValidation>
        <x14:dataValidation type="list" allowBlank="1" showInputMessage="1" showErrorMessage="1" xr:uid="{00000000-0002-0000-0300-00005D0C0000}">
          <x14:formula1>
            <xm:f>項目!C17:$WCA$65537</xm:f>
          </x14:formula1>
          <xm:sqref>WCI65541:WCI65564</xm:sqref>
        </x14:dataValidation>
        <x14:dataValidation type="list" allowBlank="1" showInputMessage="1" showErrorMessage="1" xr:uid="{00000000-0002-0000-0300-00005E0C0000}">
          <x14:formula1>
            <xm:f>項目!C17:$WLW$65537</xm:f>
          </x14:formula1>
          <xm:sqref>WME65541:WME65564</xm:sqref>
        </x14:dataValidation>
        <x14:dataValidation type="list" allowBlank="1" showInputMessage="1" showErrorMessage="1" xr:uid="{00000000-0002-0000-0300-00005F0C0000}">
          <x14:formula1>
            <xm:f>項目!C17:$WVS$65537</xm:f>
          </x14:formula1>
          <xm:sqref>WWA65541:WWA65564</xm:sqref>
        </x14:dataValidation>
        <x14:dataValidation type="list" allowBlank="1" showInputMessage="1" showErrorMessage="1" xr:uid="{00000000-0002-0000-0300-0000600C0000}">
          <x14:formula1>
            <xm:f>項目!C17:$M$131073</xm:f>
          </x14:formula1>
          <xm:sqref>S131077:S131100</xm:sqref>
        </x14:dataValidation>
        <x14:dataValidation type="list" allowBlank="1" showInputMessage="1" showErrorMessage="1" xr:uid="{00000000-0002-0000-0300-0000610C0000}">
          <x14:formula1>
            <xm:f>項目!C17:$JG$131073</xm:f>
          </x14:formula1>
          <xm:sqref>JO131077:JO131100</xm:sqref>
        </x14:dataValidation>
        <x14:dataValidation type="list" allowBlank="1" showInputMessage="1" showErrorMessage="1" xr:uid="{00000000-0002-0000-0300-0000620C0000}">
          <x14:formula1>
            <xm:f>項目!C17:$TC$131073</xm:f>
          </x14:formula1>
          <xm:sqref>TK131077:TK131100</xm:sqref>
        </x14:dataValidation>
        <x14:dataValidation type="list" allowBlank="1" showInputMessage="1" showErrorMessage="1" xr:uid="{00000000-0002-0000-0300-0000630C0000}">
          <x14:formula1>
            <xm:f>項目!C17:$ACY$131073</xm:f>
          </x14:formula1>
          <xm:sqref>ADG131077:ADG131100</xm:sqref>
        </x14:dataValidation>
        <x14:dataValidation type="list" allowBlank="1" showInputMessage="1" showErrorMessage="1" xr:uid="{00000000-0002-0000-0300-0000640C0000}">
          <x14:formula1>
            <xm:f>項目!C17:$AMU$131073</xm:f>
          </x14:formula1>
          <xm:sqref>ANC131077:ANC131100</xm:sqref>
        </x14:dataValidation>
        <x14:dataValidation type="list" allowBlank="1" showInputMessage="1" showErrorMessage="1" xr:uid="{00000000-0002-0000-0300-0000650C0000}">
          <x14:formula1>
            <xm:f>項目!C17:$AWQ$131073</xm:f>
          </x14:formula1>
          <xm:sqref>AWY131077:AWY131100</xm:sqref>
        </x14:dataValidation>
        <x14:dataValidation type="list" allowBlank="1" showInputMessage="1" showErrorMessage="1" xr:uid="{00000000-0002-0000-0300-0000660C0000}">
          <x14:formula1>
            <xm:f>項目!C17:$BGM$131073</xm:f>
          </x14:formula1>
          <xm:sqref>BGU131077:BGU131100</xm:sqref>
        </x14:dataValidation>
        <x14:dataValidation type="list" allowBlank="1" showInputMessage="1" showErrorMessage="1" xr:uid="{00000000-0002-0000-0300-0000670C0000}">
          <x14:formula1>
            <xm:f>項目!C17:$BQI$131073</xm:f>
          </x14:formula1>
          <xm:sqref>BQQ131077:BQQ131100</xm:sqref>
        </x14:dataValidation>
        <x14:dataValidation type="list" allowBlank="1" showInputMessage="1" showErrorMessage="1" xr:uid="{00000000-0002-0000-0300-0000680C0000}">
          <x14:formula1>
            <xm:f>項目!C17:$CAE$131073</xm:f>
          </x14:formula1>
          <xm:sqref>CAM131077:CAM131100</xm:sqref>
        </x14:dataValidation>
        <x14:dataValidation type="list" allowBlank="1" showInputMessage="1" showErrorMessage="1" xr:uid="{00000000-0002-0000-0300-0000690C0000}">
          <x14:formula1>
            <xm:f>項目!C17:$CKA$131073</xm:f>
          </x14:formula1>
          <xm:sqref>CKI131077:CKI131100</xm:sqref>
        </x14:dataValidation>
        <x14:dataValidation type="list" allowBlank="1" showInputMessage="1" showErrorMessage="1" xr:uid="{00000000-0002-0000-0300-00006A0C0000}">
          <x14:formula1>
            <xm:f>項目!C17:$CTW$131073</xm:f>
          </x14:formula1>
          <xm:sqref>CUE131077:CUE131100</xm:sqref>
        </x14:dataValidation>
        <x14:dataValidation type="list" allowBlank="1" showInputMessage="1" showErrorMessage="1" xr:uid="{00000000-0002-0000-0300-00006B0C0000}">
          <x14:formula1>
            <xm:f>項目!C17:$DDS$131073</xm:f>
          </x14:formula1>
          <xm:sqref>DEA131077:DEA131100</xm:sqref>
        </x14:dataValidation>
        <x14:dataValidation type="list" allowBlank="1" showInputMessage="1" showErrorMessage="1" xr:uid="{00000000-0002-0000-0300-00006C0C0000}">
          <x14:formula1>
            <xm:f>項目!C17:$DNO$131073</xm:f>
          </x14:formula1>
          <xm:sqref>DNW131077:DNW131100</xm:sqref>
        </x14:dataValidation>
        <x14:dataValidation type="list" allowBlank="1" showInputMessage="1" showErrorMessage="1" xr:uid="{00000000-0002-0000-0300-00006D0C0000}">
          <x14:formula1>
            <xm:f>項目!C17:$DXK$131073</xm:f>
          </x14:formula1>
          <xm:sqref>DXS131077:DXS131100</xm:sqref>
        </x14:dataValidation>
        <x14:dataValidation type="list" allowBlank="1" showInputMessage="1" showErrorMessage="1" xr:uid="{00000000-0002-0000-0300-00006E0C0000}">
          <x14:formula1>
            <xm:f>項目!C17:$EHG$131073</xm:f>
          </x14:formula1>
          <xm:sqref>EHO131077:EHO131100</xm:sqref>
        </x14:dataValidation>
        <x14:dataValidation type="list" allowBlank="1" showInputMessage="1" showErrorMessage="1" xr:uid="{00000000-0002-0000-0300-00006F0C0000}">
          <x14:formula1>
            <xm:f>項目!C17:$ERC$131073</xm:f>
          </x14:formula1>
          <xm:sqref>ERK131077:ERK131100</xm:sqref>
        </x14:dataValidation>
        <x14:dataValidation type="list" allowBlank="1" showInputMessage="1" showErrorMessage="1" xr:uid="{00000000-0002-0000-0300-0000700C0000}">
          <x14:formula1>
            <xm:f>項目!C17:$FAY$131073</xm:f>
          </x14:formula1>
          <xm:sqref>FBG131077:FBG131100</xm:sqref>
        </x14:dataValidation>
        <x14:dataValidation type="list" allowBlank="1" showInputMessage="1" showErrorMessage="1" xr:uid="{00000000-0002-0000-0300-0000710C0000}">
          <x14:formula1>
            <xm:f>項目!C17:$FKU$131073</xm:f>
          </x14:formula1>
          <xm:sqref>FLC131077:FLC131100</xm:sqref>
        </x14:dataValidation>
        <x14:dataValidation type="list" allowBlank="1" showInputMessage="1" showErrorMessage="1" xr:uid="{00000000-0002-0000-0300-0000720C0000}">
          <x14:formula1>
            <xm:f>項目!C17:$FUQ$131073</xm:f>
          </x14:formula1>
          <xm:sqref>FUY131077:FUY131100</xm:sqref>
        </x14:dataValidation>
        <x14:dataValidation type="list" allowBlank="1" showInputMessage="1" showErrorMessage="1" xr:uid="{00000000-0002-0000-0300-0000730C0000}">
          <x14:formula1>
            <xm:f>項目!C17:$GEM$131073</xm:f>
          </x14:formula1>
          <xm:sqref>GEU131077:GEU131100</xm:sqref>
        </x14:dataValidation>
        <x14:dataValidation type="list" allowBlank="1" showInputMessage="1" showErrorMessage="1" xr:uid="{00000000-0002-0000-0300-0000740C0000}">
          <x14:formula1>
            <xm:f>項目!C17:$GOI$131073</xm:f>
          </x14:formula1>
          <xm:sqref>GOQ131077:GOQ131100</xm:sqref>
        </x14:dataValidation>
        <x14:dataValidation type="list" allowBlank="1" showInputMessage="1" showErrorMessage="1" xr:uid="{00000000-0002-0000-0300-0000750C0000}">
          <x14:formula1>
            <xm:f>項目!C17:$GYE$131073</xm:f>
          </x14:formula1>
          <xm:sqref>GYM131077:GYM131100</xm:sqref>
        </x14:dataValidation>
        <x14:dataValidation type="list" allowBlank="1" showInputMessage="1" showErrorMessage="1" xr:uid="{00000000-0002-0000-0300-0000760C0000}">
          <x14:formula1>
            <xm:f>項目!C17:$HIA$131073</xm:f>
          </x14:formula1>
          <xm:sqref>HII131077:HII131100</xm:sqref>
        </x14:dataValidation>
        <x14:dataValidation type="list" allowBlank="1" showInputMessage="1" showErrorMessage="1" xr:uid="{00000000-0002-0000-0300-0000770C0000}">
          <x14:formula1>
            <xm:f>項目!C17:$HRW$131073</xm:f>
          </x14:formula1>
          <xm:sqref>HSE131077:HSE131100</xm:sqref>
        </x14:dataValidation>
        <x14:dataValidation type="list" allowBlank="1" showInputMessage="1" showErrorMessage="1" xr:uid="{00000000-0002-0000-0300-0000780C0000}">
          <x14:formula1>
            <xm:f>項目!C17:$IBS$131073</xm:f>
          </x14:formula1>
          <xm:sqref>ICA131077:ICA131100</xm:sqref>
        </x14:dataValidation>
        <x14:dataValidation type="list" allowBlank="1" showInputMessage="1" showErrorMessage="1" xr:uid="{00000000-0002-0000-0300-0000790C0000}">
          <x14:formula1>
            <xm:f>項目!C17:$ILO$131073</xm:f>
          </x14:formula1>
          <xm:sqref>ILW131077:ILW131100</xm:sqref>
        </x14:dataValidation>
        <x14:dataValidation type="list" allowBlank="1" showInputMessage="1" showErrorMessage="1" xr:uid="{00000000-0002-0000-0300-00007A0C0000}">
          <x14:formula1>
            <xm:f>項目!C17:$IVK$131073</xm:f>
          </x14:formula1>
          <xm:sqref>IVS131077:IVS131100</xm:sqref>
        </x14:dataValidation>
        <x14:dataValidation type="list" allowBlank="1" showInputMessage="1" showErrorMessage="1" xr:uid="{00000000-0002-0000-0300-00007B0C0000}">
          <x14:formula1>
            <xm:f>項目!C17:$JFG$131073</xm:f>
          </x14:formula1>
          <xm:sqref>JFO131077:JFO131100</xm:sqref>
        </x14:dataValidation>
        <x14:dataValidation type="list" allowBlank="1" showInputMessage="1" showErrorMessage="1" xr:uid="{00000000-0002-0000-0300-00007C0C0000}">
          <x14:formula1>
            <xm:f>項目!C17:$JPC$131073</xm:f>
          </x14:formula1>
          <xm:sqref>JPK131077:JPK131100</xm:sqref>
        </x14:dataValidation>
        <x14:dataValidation type="list" allowBlank="1" showInputMessage="1" showErrorMessage="1" xr:uid="{00000000-0002-0000-0300-00007D0C0000}">
          <x14:formula1>
            <xm:f>項目!C17:$JYY$131073</xm:f>
          </x14:formula1>
          <xm:sqref>JZG131077:JZG131100</xm:sqref>
        </x14:dataValidation>
        <x14:dataValidation type="list" allowBlank="1" showInputMessage="1" showErrorMessage="1" xr:uid="{00000000-0002-0000-0300-00007E0C0000}">
          <x14:formula1>
            <xm:f>項目!C17:$KIU$131073</xm:f>
          </x14:formula1>
          <xm:sqref>KJC131077:KJC131100</xm:sqref>
        </x14:dataValidation>
        <x14:dataValidation type="list" allowBlank="1" showInputMessage="1" showErrorMessage="1" xr:uid="{00000000-0002-0000-0300-00007F0C0000}">
          <x14:formula1>
            <xm:f>項目!C17:$KSQ$131073</xm:f>
          </x14:formula1>
          <xm:sqref>KSY131077:KSY131100</xm:sqref>
        </x14:dataValidation>
        <x14:dataValidation type="list" allowBlank="1" showInputMessage="1" showErrorMessage="1" xr:uid="{00000000-0002-0000-0300-0000800C0000}">
          <x14:formula1>
            <xm:f>項目!C17:$LCM$131073</xm:f>
          </x14:formula1>
          <xm:sqref>LCU131077:LCU131100</xm:sqref>
        </x14:dataValidation>
        <x14:dataValidation type="list" allowBlank="1" showInputMessage="1" showErrorMessage="1" xr:uid="{00000000-0002-0000-0300-0000810C0000}">
          <x14:formula1>
            <xm:f>項目!C17:$LMI$131073</xm:f>
          </x14:formula1>
          <xm:sqref>LMQ131077:LMQ131100</xm:sqref>
        </x14:dataValidation>
        <x14:dataValidation type="list" allowBlank="1" showInputMessage="1" showErrorMessage="1" xr:uid="{00000000-0002-0000-0300-0000820C0000}">
          <x14:formula1>
            <xm:f>項目!C17:$LWE$131073</xm:f>
          </x14:formula1>
          <xm:sqref>LWM131077:LWM131100</xm:sqref>
        </x14:dataValidation>
        <x14:dataValidation type="list" allowBlank="1" showInputMessage="1" showErrorMessage="1" xr:uid="{00000000-0002-0000-0300-0000830C0000}">
          <x14:formula1>
            <xm:f>項目!C17:$MGA$131073</xm:f>
          </x14:formula1>
          <xm:sqref>MGI131077:MGI131100</xm:sqref>
        </x14:dataValidation>
        <x14:dataValidation type="list" allowBlank="1" showInputMessage="1" showErrorMessage="1" xr:uid="{00000000-0002-0000-0300-0000840C0000}">
          <x14:formula1>
            <xm:f>項目!C17:$MPW$131073</xm:f>
          </x14:formula1>
          <xm:sqref>MQE131077:MQE131100</xm:sqref>
        </x14:dataValidation>
        <x14:dataValidation type="list" allowBlank="1" showInputMessage="1" showErrorMessage="1" xr:uid="{00000000-0002-0000-0300-0000850C0000}">
          <x14:formula1>
            <xm:f>項目!C17:$MZS$131073</xm:f>
          </x14:formula1>
          <xm:sqref>NAA131077:NAA131100</xm:sqref>
        </x14:dataValidation>
        <x14:dataValidation type="list" allowBlank="1" showInputMessage="1" showErrorMessage="1" xr:uid="{00000000-0002-0000-0300-0000860C0000}">
          <x14:formula1>
            <xm:f>項目!C17:$NJO$131073</xm:f>
          </x14:formula1>
          <xm:sqref>NJW131077:NJW131100</xm:sqref>
        </x14:dataValidation>
        <x14:dataValidation type="list" allowBlank="1" showInputMessage="1" showErrorMessage="1" xr:uid="{00000000-0002-0000-0300-0000870C0000}">
          <x14:formula1>
            <xm:f>項目!C17:$NTK$131073</xm:f>
          </x14:formula1>
          <xm:sqref>NTS131077:NTS131100</xm:sqref>
        </x14:dataValidation>
        <x14:dataValidation type="list" allowBlank="1" showInputMessage="1" showErrorMessage="1" xr:uid="{00000000-0002-0000-0300-0000880C0000}">
          <x14:formula1>
            <xm:f>項目!C17:$ODG$131073</xm:f>
          </x14:formula1>
          <xm:sqref>ODO131077:ODO131100</xm:sqref>
        </x14:dataValidation>
        <x14:dataValidation type="list" allowBlank="1" showInputMessage="1" showErrorMessage="1" xr:uid="{00000000-0002-0000-0300-0000890C0000}">
          <x14:formula1>
            <xm:f>項目!C17:$ONC$131073</xm:f>
          </x14:formula1>
          <xm:sqref>ONK131077:ONK131100</xm:sqref>
        </x14:dataValidation>
        <x14:dataValidation type="list" allowBlank="1" showInputMessage="1" showErrorMessage="1" xr:uid="{00000000-0002-0000-0300-00008A0C0000}">
          <x14:formula1>
            <xm:f>項目!C17:$OWY$131073</xm:f>
          </x14:formula1>
          <xm:sqref>OXG131077:OXG131100</xm:sqref>
        </x14:dataValidation>
        <x14:dataValidation type="list" allowBlank="1" showInputMessage="1" showErrorMessage="1" xr:uid="{00000000-0002-0000-0300-00008B0C0000}">
          <x14:formula1>
            <xm:f>項目!C17:$PGU$131073</xm:f>
          </x14:formula1>
          <xm:sqref>PHC131077:PHC131100</xm:sqref>
        </x14:dataValidation>
        <x14:dataValidation type="list" allowBlank="1" showInputMessage="1" showErrorMessage="1" xr:uid="{00000000-0002-0000-0300-00008C0C0000}">
          <x14:formula1>
            <xm:f>項目!C17:$PQQ$131073</xm:f>
          </x14:formula1>
          <xm:sqref>PQY131077:PQY131100</xm:sqref>
        </x14:dataValidation>
        <x14:dataValidation type="list" allowBlank="1" showInputMessage="1" showErrorMessage="1" xr:uid="{00000000-0002-0000-0300-00008D0C0000}">
          <x14:formula1>
            <xm:f>項目!C17:$QAM$131073</xm:f>
          </x14:formula1>
          <xm:sqref>QAU131077:QAU131100</xm:sqref>
        </x14:dataValidation>
        <x14:dataValidation type="list" allowBlank="1" showInputMessage="1" showErrorMessage="1" xr:uid="{00000000-0002-0000-0300-00008E0C0000}">
          <x14:formula1>
            <xm:f>項目!C17:$QKI$131073</xm:f>
          </x14:formula1>
          <xm:sqref>QKQ131077:QKQ131100</xm:sqref>
        </x14:dataValidation>
        <x14:dataValidation type="list" allowBlank="1" showInputMessage="1" showErrorMessage="1" xr:uid="{00000000-0002-0000-0300-00008F0C0000}">
          <x14:formula1>
            <xm:f>項目!C17:$QUE$131073</xm:f>
          </x14:formula1>
          <xm:sqref>QUM131077:QUM131100</xm:sqref>
        </x14:dataValidation>
        <x14:dataValidation type="list" allowBlank="1" showInputMessage="1" showErrorMessage="1" xr:uid="{00000000-0002-0000-0300-0000900C0000}">
          <x14:formula1>
            <xm:f>項目!C17:$REA$131073</xm:f>
          </x14:formula1>
          <xm:sqref>REI131077:REI131100</xm:sqref>
        </x14:dataValidation>
        <x14:dataValidation type="list" allowBlank="1" showInputMessage="1" showErrorMessage="1" xr:uid="{00000000-0002-0000-0300-0000910C0000}">
          <x14:formula1>
            <xm:f>項目!C17:$RNW$131073</xm:f>
          </x14:formula1>
          <xm:sqref>ROE131077:ROE131100</xm:sqref>
        </x14:dataValidation>
        <x14:dataValidation type="list" allowBlank="1" showInputMessage="1" showErrorMessage="1" xr:uid="{00000000-0002-0000-0300-0000920C0000}">
          <x14:formula1>
            <xm:f>項目!C17:$RXS$131073</xm:f>
          </x14:formula1>
          <xm:sqref>RYA131077:RYA131100</xm:sqref>
        </x14:dataValidation>
        <x14:dataValidation type="list" allowBlank="1" showInputMessage="1" showErrorMessage="1" xr:uid="{00000000-0002-0000-0300-0000930C0000}">
          <x14:formula1>
            <xm:f>項目!C17:$SHO$131073</xm:f>
          </x14:formula1>
          <xm:sqref>SHW131077:SHW131100</xm:sqref>
        </x14:dataValidation>
        <x14:dataValidation type="list" allowBlank="1" showInputMessage="1" showErrorMessage="1" xr:uid="{00000000-0002-0000-0300-0000940C0000}">
          <x14:formula1>
            <xm:f>項目!C17:$SRK$131073</xm:f>
          </x14:formula1>
          <xm:sqref>SRS131077:SRS131100</xm:sqref>
        </x14:dataValidation>
        <x14:dataValidation type="list" allowBlank="1" showInputMessage="1" showErrorMessage="1" xr:uid="{00000000-0002-0000-0300-0000950C0000}">
          <x14:formula1>
            <xm:f>項目!C17:$TBG$131073</xm:f>
          </x14:formula1>
          <xm:sqref>TBO131077:TBO131100</xm:sqref>
        </x14:dataValidation>
        <x14:dataValidation type="list" allowBlank="1" showInputMessage="1" showErrorMessage="1" xr:uid="{00000000-0002-0000-0300-0000960C0000}">
          <x14:formula1>
            <xm:f>項目!C17:$TLC$131073</xm:f>
          </x14:formula1>
          <xm:sqref>TLK131077:TLK131100</xm:sqref>
        </x14:dataValidation>
        <x14:dataValidation type="list" allowBlank="1" showInputMessage="1" showErrorMessage="1" xr:uid="{00000000-0002-0000-0300-0000970C0000}">
          <x14:formula1>
            <xm:f>項目!C17:$TUY$131073</xm:f>
          </x14:formula1>
          <xm:sqref>TVG131077:TVG131100</xm:sqref>
        </x14:dataValidation>
        <x14:dataValidation type="list" allowBlank="1" showInputMessage="1" showErrorMessage="1" xr:uid="{00000000-0002-0000-0300-0000980C0000}">
          <x14:formula1>
            <xm:f>項目!C17:$UEU$131073</xm:f>
          </x14:formula1>
          <xm:sqref>UFC131077:UFC131100</xm:sqref>
        </x14:dataValidation>
        <x14:dataValidation type="list" allowBlank="1" showInputMessage="1" showErrorMessage="1" xr:uid="{00000000-0002-0000-0300-0000990C0000}">
          <x14:formula1>
            <xm:f>項目!C17:$UOQ$131073</xm:f>
          </x14:formula1>
          <xm:sqref>UOY131077:UOY131100</xm:sqref>
        </x14:dataValidation>
        <x14:dataValidation type="list" allowBlank="1" showInputMessage="1" showErrorMessage="1" xr:uid="{00000000-0002-0000-0300-00009A0C0000}">
          <x14:formula1>
            <xm:f>項目!C17:$UYM$131073</xm:f>
          </x14:formula1>
          <xm:sqref>UYU131077:UYU131100</xm:sqref>
        </x14:dataValidation>
        <x14:dataValidation type="list" allowBlank="1" showInputMessage="1" showErrorMessage="1" xr:uid="{00000000-0002-0000-0300-00009B0C0000}">
          <x14:formula1>
            <xm:f>項目!C17:$VII$131073</xm:f>
          </x14:formula1>
          <xm:sqref>VIQ131077:VIQ131100</xm:sqref>
        </x14:dataValidation>
        <x14:dataValidation type="list" allowBlank="1" showInputMessage="1" showErrorMessage="1" xr:uid="{00000000-0002-0000-0300-00009C0C0000}">
          <x14:formula1>
            <xm:f>項目!C17:$VSE$131073</xm:f>
          </x14:formula1>
          <xm:sqref>VSM131077:VSM131100</xm:sqref>
        </x14:dataValidation>
        <x14:dataValidation type="list" allowBlank="1" showInputMessage="1" showErrorMessage="1" xr:uid="{00000000-0002-0000-0300-00009D0C0000}">
          <x14:formula1>
            <xm:f>項目!C17:$WCA$131073</xm:f>
          </x14:formula1>
          <xm:sqref>WCI131077:WCI131100</xm:sqref>
        </x14:dataValidation>
        <x14:dataValidation type="list" allowBlank="1" showInputMessage="1" showErrorMessage="1" xr:uid="{00000000-0002-0000-0300-00009E0C0000}">
          <x14:formula1>
            <xm:f>項目!C17:$WLW$131073</xm:f>
          </x14:formula1>
          <xm:sqref>WME131077:WME131100</xm:sqref>
        </x14:dataValidation>
        <x14:dataValidation type="list" allowBlank="1" showInputMessage="1" showErrorMessage="1" xr:uid="{00000000-0002-0000-0300-00009F0C0000}">
          <x14:formula1>
            <xm:f>項目!C17:$WVS$131073</xm:f>
          </x14:formula1>
          <xm:sqref>WWA131077:WWA131100</xm:sqref>
        </x14:dataValidation>
        <x14:dataValidation type="list" allowBlank="1" showInputMessage="1" showErrorMessage="1" xr:uid="{00000000-0002-0000-0300-0000A00C0000}">
          <x14:formula1>
            <xm:f>項目!C17:$M$196609</xm:f>
          </x14:formula1>
          <xm:sqref>S196613:S196636</xm:sqref>
        </x14:dataValidation>
        <x14:dataValidation type="list" allowBlank="1" showInputMessage="1" showErrorMessage="1" xr:uid="{00000000-0002-0000-0300-0000A10C0000}">
          <x14:formula1>
            <xm:f>項目!C17:$JG$196609</xm:f>
          </x14:formula1>
          <xm:sqref>JO196613:JO196636</xm:sqref>
        </x14:dataValidation>
        <x14:dataValidation type="list" allowBlank="1" showInputMessage="1" showErrorMessage="1" xr:uid="{00000000-0002-0000-0300-0000A20C0000}">
          <x14:formula1>
            <xm:f>項目!C17:$TC$196609</xm:f>
          </x14:formula1>
          <xm:sqref>TK196613:TK196636</xm:sqref>
        </x14:dataValidation>
        <x14:dataValidation type="list" allowBlank="1" showInputMessage="1" showErrorMessage="1" xr:uid="{00000000-0002-0000-0300-0000A30C0000}">
          <x14:formula1>
            <xm:f>項目!C17:$ACY$196609</xm:f>
          </x14:formula1>
          <xm:sqref>ADG196613:ADG196636</xm:sqref>
        </x14:dataValidation>
        <x14:dataValidation type="list" allowBlank="1" showInputMessage="1" showErrorMessage="1" xr:uid="{00000000-0002-0000-0300-0000A40C0000}">
          <x14:formula1>
            <xm:f>項目!C17:$AMU$196609</xm:f>
          </x14:formula1>
          <xm:sqref>ANC196613:ANC196636</xm:sqref>
        </x14:dataValidation>
        <x14:dataValidation type="list" allowBlank="1" showInputMessage="1" showErrorMessage="1" xr:uid="{00000000-0002-0000-0300-0000A50C0000}">
          <x14:formula1>
            <xm:f>項目!C17:$AWQ$196609</xm:f>
          </x14:formula1>
          <xm:sqref>AWY196613:AWY196636</xm:sqref>
        </x14:dataValidation>
        <x14:dataValidation type="list" allowBlank="1" showInputMessage="1" showErrorMessage="1" xr:uid="{00000000-0002-0000-0300-0000A60C0000}">
          <x14:formula1>
            <xm:f>項目!C17:$BGM$196609</xm:f>
          </x14:formula1>
          <xm:sqref>BGU196613:BGU196636</xm:sqref>
        </x14:dataValidation>
        <x14:dataValidation type="list" allowBlank="1" showInputMessage="1" showErrorMessage="1" xr:uid="{00000000-0002-0000-0300-0000A70C0000}">
          <x14:formula1>
            <xm:f>項目!C17:$BQI$196609</xm:f>
          </x14:formula1>
          <xm:sqref>BQQ196613:BQQ196636</xm:sqref>
        </x14:dataValidation>
        <x14:dataValidation type="list" allowBlank="1" showInputMessage="1" showErrorMessage="1" xr:uid="{00000000-0002-0000-0300-0000A80C0000}">
          <x14:formula1>
            <xm:f>項目!C17:$CAE$196609</xm:f>
          </x14:formula1>
          <xm:sqref>CAM196613:CAM196636</xm:sqref>
        </x14:dataValidation>
        <x14:dataValidation type="list" allowBlank="1" showInputMessage="1" showErrorMessage="1" xr:uid="{00000000-0002-0000-0300-0000A90C0000}">
          <x14:formula1>
            <xm:f>項目!C17:$CKA$196609</xm:f>
          </x14:formula1>
          <xm:sqref>CKI196613:CKI196636</xm:sqref>
        </x14:dataValidation>
        <x14:dataValidation type="list" allowBlank="1" showInputMessage="1" showErrorMessage="1" xr:uid="{00000000-0002-0000-0300-0000AA0C0000}">
          <x14:formula1>
            <xm:f>項目!C17:$CTW$196609</xm:f>
          </x14:formula1>
          <xm:sqref>CUE196613:CUE196636</xm:sqref>
        </x14:dataValidation>
        <x14:dataValidation type="list" allowBlank="1" showInputMessage="1" showErrorMessage="1" xr:uid="{00000000-0002-0000-0300-0000AB0C0000}">
          <x14:formula1>
            <xm:f>項目!C17:$DDS$196609</xm:f>
          </x14:formula1>
          <xm:sqref>DEA196613:DEA196636</xm:sqref>
        </x14:dataValidation>
        <x14:dataValidation type="list" allowBlank="1" showInputMessage="1" showErrorMessage="1" xr:uid="{00000000-0002-0000-0300-0000AC0C0000}">
          <x14:formula1>
            <xm:f>項目!C17:$DNO$196609</xm:f>
          </x14:formula1>
          <xm:sqref>DNW196613:DNW196636</xm:sqref>
        </x14:dataValidation>
        <x14:dataValidation type="list" allowBlank="1" showInputMessage="1" showErrorMessage="1" xr:uid="{00000000-0002-0000-0300-0000AD0C0000}">
          <x14:formula1>
            <xm:f>項目!C17:$DXK$196609</xm:f>
          </x14:formula1>
          <xm:sqref>DXS196613:DXS196636</xm:sqref>
        </x14:dataValidation>
        <x14:dataValidation type="list" allowBlank="1" showInputMessage="1" showErrorMessage="1" xr:uid="{00000000-0002-0000-0300-0000AE0C0000}">
          <x14:formula1>
            <xm:f>項目!C17:$EHG$196609</xm:f>
          </x14:formula1>
          <xm:sqref>EHO196613:EHO196636</xm:sqref>
        </x14:dataValidation>
        <x14:dataValidation type="list" allowBlank="1" showInputMessage="1" showErrorMessage="1" xr:uid="{00000000-0002-0000-0300-0000AF0C0000}">
          <x14:formula1>
            <xm:f>項目!C17:$ERC$196609</xm:f>
          </x14:formula1>
          <xm:sqref>ERK196613:ERK196636</xm:sqref>
        </x14:dataValidation>
        <x14:dataValidation type="list" allowBlank="1" showInputMessage="1" showErrorMessage="1" xr:uid="{00000000-0002-0000-0300-0000B00C0000}">
          <x14:formula1>
            <xm:f>項目!C17:$FAY$196609</xm:f>
          </x14:formula1>
          <xm:sqref>FBG196613:FBG196636</xm:sqref>
        </x14:dataValidation>
        <x14:dataValidation type="list" allowBlank="1" showInputMessage="1" showErrorMessage="1" xr:uid="{00000000-0002-0000-0300-0000B10C0000}">
          <x14:formula1>
            <xm:f>項目!C17:$FKU$196609</xm:f>
          </x14:formula1>
          <xm:sqref>FLC196613:FLC196636</xm:sqref>
        </x14:dataValidation>
        <x14:dataValidation type="list" allowBlank="1" showInputMessage="1" showErrorMessage="1" xr:uid="{00000000-0002-0000-0300-0000B20C0000}">
          <x14:formula1>
            <xm:f>項目!C17:$FUQ$196609</xm:f>
          </x14:formula1>
          <xm:sqref>FUY196613:FUY196636</xm:sqref>
        </x14:dataValidation>
        <x14:dataValidation type="list" allowBlank="1" showInputMessage="1" showErrorMessage="1" xr:uid="{00000000-0002-0000-0300-0000B30C0000}">
          <x14:formula1>
            <xm:f>項目!C17:$GEM$196609</xm:f>
          </x14:formula1>
          <xm:sqref>GEU196613:GEU196636</xm:sqref>
        </x14:dataValidation>
        <x14:dataValidation type="list" allowBlank="1" showInputMessage="1" showErrorMessage="1" xr:uid="{00000000-0002-0000-0300-0000B40C0000}">
          <x14:formula1>
            <xm:f>項目!C17:$GOI$196609</xm:f>
          </x14:formula1>
          <xm:sqref>GOQ196613:GOQ196636</xm:sqref>
        </x14:dataValidation>
        <x14:dataValidation type="list" allowBlank="1" showInputMessage="1" showErrorMessage="1" xr:uid="{00000000-0002-0000-0300-0000B50C0000}">
          <x14:formula1>
            <xm:f>項目!C17:$GYE$196609</xm:f>
          </x14:formula1>
          <xm:sqref>GYM196613:GYM196636</xm:sqref>
        </x14:dataValidation>
        <x14:dataValidation type="list" allowBlank="1" showInputMessage="1" showErrorMessage="1" xr:uid="{00000000-0002-0000-0300-0000B60C0000}">
          <x14:formula1>
            <xm:f>項目!C17:$HIA$196609</xm:f>
          </x14:formula1>
          <xm:sqref>HII196613:HII196636</xm:sqref>
        </x14:dataValidation>
        <x14:dataValidation type="list" allowBlank="1" showInputMessage="1" showErrorMessage="1" xr:uid="{00000000-0002-0000-0300-0000B70C0000}">
          <x14:formula1>
            <xm:f>項目!C17:$HRW$196609</xm:f>
          </x14:formula1>
          <xm:sqref>HSE196613:HSE196636</xm:sqref>
        </x14:dataValidation>
        <x14:dataValidation type="list" allowBlank="1" showInputMessage="1" showErrorMessage="1" xr:uid="{00000000-0002-0000-0300-0000B80C0000}">
          <x14:formula1>
            <xm:f>項目!C17:$IBS$196609</xm:f>
          </x14:formula1>
          <xm:sqref>ICA196613:ICA196636</xm:sqref>
        </x14:dataValidation>
        <x14:dataValidation type="list" allowBlank="1" showInputMessage="1" showErrorMessage="1" xr:uid="{00000000-0002-0000-0300-0000B90C0000}">
          <x14:formula1>
            <xm:f>項目!C17:$ILO$196609</xm:f>
          </x14:formula1>
          <xm:sqref>ILW196613:ILW196636</xm:sqref>
        </x14:dataValidation>
        <x14:dataValidation type="list" allowBlank="1" showInputMessage="1" showErrorMessage="1" xr:uid="{00000000-0002-0000-0300-0000BA0C0000}">
          <x14:formula1>
            <xm:f>項目!C17:$IVK$196609</xm:f>
          </x14:formula1>
          <xm:sqref>IVS196613:IVS196636</xm:sqref>
        </x14:dataValidation>
        <x14:dataValidation type="list" allowBlank="1" showInputMessage="1" showErrorMessage="1" xr:uid="{00000000-0002-0000-0300-0000BB0C0000}">
          <x14:formula1>
            <xm:f>項目!C17:$JFG$196609</xm:f>
          </x14:formula1>
          <xm:sqref>JFO196613:JFO196636</xm:sqref>
        </x14:dataValidation>
        <x14:dataValidation type="list" allowBlank="1" showInputMessage="1" showErrorMessage="1" xr:uid="{00000000-0002-0000-0300-0000BC0C0000}">
          <x14:formula1>
            <xm:f>項目!C17:$JPC$196609</xm:f>
          </x14:formula1>
          <xm:sqref>JPK196613:JPK196636</xm:sqref>
        </x14:dataValidation>
        <x14:dataValidation type="list" allowBlank="1" showInputMessage="1" showErrorMessage="1" xr:uid="{00000000-0002-0000-0300-0000BD0C0000}">
          <x14:formula1>
            <xm:f>項目!C17:$JYY$196609</xm:f>
          </x14:formula1>
          <xm:sqref>JZG196613:JZG196636</xm:sqref>
        </x14:dataValidation>
        <x14:dataValidation type="list" allowBlank="1" showInputMessage="1" showErrorMessage="1" xr:uid="{00000000-0002-0000-0300-0000BE0C0000}">
          <x14:formula1>
            <xm:f>項目!C17:$KIU$196609</xm:f>
          </x14:formula1>
          <xm:sqref>KJC196613:KJC196636</xm:sqref>
        </x14:dataValidation>
        <x14:dataValidation type="list" allowBlank="1" showInputMessage="1" showErrorMessage="1" xr:uid="{00000000-0002-0000-0300-0000BF0C0000}">
          <x14:formula1>
            <xm:f>項目!C17:$KSQ$196609</xm:f>
          </x14:formula1>
          <xm:sqref>KSY196613:KSY196636</xm:sqref>
        </x14:dataValidation>
        <x14:dataValidation type="list" allowBlank="1" showInputMessage="1" showErrorMessage="1" xr:uid="{00000000-0002-0000-0300-0000C00C0000}">
          <x14:formula1>
            <xm:f>項目!C17:$LCM$196609</xm:f>
          </x14:formula1>
          <xm:sqref>LCU196613:LCU196636</xm:sqref>
        </x14:dataValidation>
        <x14:dataValidation type="list" allowBlank="1" showInputMessage="1" showErrorMessage="1" xr:uid="{00000000-0002-0000-0300-0000C10C0000}">
          <x14:formula1>
            <xm:f>項目!C17:$LMI$196609</xm:f>
          </x14:formula1>
          <xm:sqref>LMQ196613:LMQ196636</xm:sqref>
        </x14:dataValidation>
        <x14:dataValidation type="list" allowBlank="1" showInputMessage="1" showErrorMessage="1" xr:uid="{00000000-0002-0000-0300-0000C20C0000}">
          <x14:formula1>
            <xm:f>項目!C17:$LWE$196609</xm:f>
          </x14:formula1>
          <xm:sqref>LWM196613:LWM196636</xm:sqref>
        </x14:dataValidation>
        <x14:dataValidation type="list" allowBlank="1" showInputMessage="1" showErrorMessage="1" xr:uid="{00000000-0002-0000-0300-0000C30C0000}">
          <x14:formula1>
            <xm:f>項目!C17:$MGA$196609</xm:f>
          </x14:formula1>
          <xm:sqref>MGI196613:MGI196636</xm:sqref>
        </x14:dataValidation>
        <x14:dataValidation type="list" allowBlank="1" showInputMessage="1" showErrorMessage="1" xr:uid="{00000000-0002-0000-0300-0000C40C0000}">
          <x14:formula1>
            <xm:f>項目!C17:$MPW$196609</xm:f>
          </x14:formula1>
          <xm:sqref>MQE196613:MQE196636</xm:sqref>
        </x14:dataValidation>
        <x14:dataValidation type="list" allowBlank="1" showInputMessage="1" showErrorMessage="1" xr:uid="{00000000-0002-0000-0300-0000C50C0000}">
          <x14:formula1>
            <xm:f>項目!C17:$MZS$196609</xm:f>
          </x14:formula1>
          <xm:sqref>NAA196613:NAA196636</xm:sqref>
        </x14:dataValidation>
        <x14:dataValidation type="list" allowBlank="1" showInputMessage="1" showErrorMessage="1" xr:uid="{00000000-0002-0000-0300-0000C60C0000}">
          <x14:formula1>
            <xm:f>項目!C17:$NJO$196609</xm:f>
          </x14:formula1>
          <xm:sqref>NJW196613:NJW196636</xm:sqref>
        </x14:dataValidation>
        <x14:dataValidation type="list" allowBlank="1" showInputMessage="1" showErrorMessage="1" xr:uid="{00000000-0002-0000-0300-0000C70C0000}">
          <x14:formula1>
            <xm:f>項目!C17:$NTK$196609</xm:f>
          </x14:formula1>
          <xm:sqref>NTS196613:NTS196636</xm:sqref>
        </x14:dataValidation>
        <x14:dataValidation type="list" allowBlank="1" showInputMessage="1" showErrorMessage="1" xr:uid="{00000000-0002-0000-0300-0000C80C0000}">
          <x14:formula1>
            <xm:f>項目!C17:$ODG$196609</xm:f>
          </x14:formula1>
          <xm:sqref>ODO196613:ODO196636</xm:sqref>
        </x14:dataValidation>
        <x14:dataValidation type="list" allowBlank="1" showInputMessage="1" showErrorMessage="1" xr:uid="{00000000-0002-0000-0300-0000C90C0000}">
          <x14:formula1>
            <xm:f>項目!C17:$ONC$196609</xm:f>
          </x14:formula1>
          <xm:sqref>ONK196613:ONK196636</xm:sqref>
        </x14:dataValidation>
        <x14:dataValidation type="list" allowBlank="1" showInputMessage="1" showErrorMessage="1" xr:uid="{00000000-0002-0000-0300-0000CA0C0000}">
          <x14:formula1>
            <xm:f>項目!C17:$OWY$196609</xm:f>
          </x14:formula1>
          <xm:sqref>OXG196613:OXG196636</xm:sqref>
        </x14:dataValidation>
        <x14:dataValidation type="list" allowBlank="1" showInputMessage="1" showErrorMessage="1" xr:uid="{00000000-0002-0000-0300-0000CB0C0000}">
          <x14:formula1>
            <xm:f>項目!C17:$PGU$196609</xm:f>
          </x14:formula1>
          <xm:sqref>PHC196613:PHC196636</xm:sqref>
        </x14:dataValidation>
        <x14:dataValidation type="list" allowBlank="1" showInputMessage="1" showErrorMessage="1" xr:uid="{00000000-0002-0000-0300-0000CC0C0000}">
          <x14:formula1>
            <xm:f>項目!C17:$PQQ$196609</xm:f>
          </x14:formula1>
          <xm:sqref>PQY196613:PQY196636</xm:sqref>
        </x14:dataValidation>
        <x14:dataValidation type="list" allowBlank="1" showInputMessage="1" showErrorMessage="1" xr:uid="{00000000-0002-0000-0300-0000CD0C0000}">
          <x14:formula1>
            <xm:f>項目!C17:$QAM$196609</xm:f>
          </x14:formula1>
          <xm:sqref>QAU196613:QAU196636</xm:sqref>
        </x14:dataValidation>
        <x14:dataValidation type="list" allowBlank="1" showInputMessage="1" showErrorMessage="1" xr:uid="{00000000-0002-0000-0300-0000CE0C0000}">
          <x14:formula1>
            <xm:f>項目!C17:$QKI$196609</xm:f>
          </x14:formula1>
          <xm:sqref>QKQ196613:QKQ196636</xm:sqref>
        </x14:dataValidation>
        <x14:dataValidation type="list" allowBlank="1" showInputMessage="1" showErrorMessage="1" xr:uid="{00000000-0002-0000-0300-0000CF0C0000}">
          <x14:formula1>
            <xm:f>項目!C17:$QUE$196609</xm:f>
          </x14:formula1>
          <xm:sqref>QUM196613:QUM196636</xm:sqref>
        </x14:dataValidation>
        <x14:dataValidation type="list" allowBlank="1" showInputMessage="1" showErrorMessage="1" xr:uid="{00000000-0002-0000-0300-0000D00C0000}">
          <x14:formula1>
            <xm:f>項目!C17:$REA$196609</xm:f>
          </x14:formula1>
          <xm:sqref>REI196613:REI196636</xm:sqref>
        </x14:dataValidation>
        <x14:dataValidation type="list" allowBlank="1" showInputMessage="1" showErrorMessage="1" xr:uid="{00000000-0002-0000-0300-0000D10C0000}">
          <x14:formula1>
            <xm:f>項目!C17:$RNW$196609</xm:f>
          </x14:formula1>
          <xm:sqref>ROE196613:ROE196636</xm:sqref>
        </x14:dataValidation>
        <x14:dataValidation type="list" allowBlank="1" showInputMessage="1" showErrorMessage="1" xr:uid="{00000000-0002-0000-0300-0000D20C0000}">
          <x14:formula1>
            <xm:f>項目!C17:$RXS$196609</xm:f>
          </x14:formula1>
          <xm:sqref>RYA196613:RYA196636</xm:sqref>
        </x14:dataValidation>
        <x14:dataValidation type="list" allowBlank="1" showInputMessage="1" showErrorMessage="1" xr:uid="{00000000-0002-0000-0300-0000D30C0000}">
          <x14:formula1>
            <xm:f>項目!C17:$SHO$196609</xm:f>
          </x14:formula1>
          <xm:sqref>SHW196613:SHW196636</xm:sqref>
        </x14:dataValidation>
        <x14:dataValidation type="list" allowBlank="1" showInputMessage="1" showErrorMessage="1" xr:uid="{00000000-0002-0000-0300-0000D40C0000}">
          <x14:formula1>
            <xm:f>項目!C17:$SRK$196609</xm:f>
          </x14:formula1>
          <xm:sqref>SRS196613:SRS196636</xm:sqref>
        </x14:dataValidation>
        <x14:dataValidation type="list" allowBlank="1" showInputMessage="1" showErrorMessage="1" xr:uid="{00000000-0002-0000-0300-0000D50C0000}">
          <x14:formula1>
            <xm:f>項目!C17:$TBG$196609</xm:f>
          </x14:formula1>
          <xm:sqref>TBO196613:TBO196636</xm:sqref>
        </x14:dataValidation>
        <x14:dataValidation type="list" allowBlank="1" showInputMessage="1" showErrorMessage="1" xr:uid="{00000000-0002-0000-0300-0000D60C0000}">
          <x14:formula1>
            <xm:f>項目!C17:$TLC$196609</xm:f>
          </x14:formula1>
          <xm:sqref>TLK196613:TLK196636</xm:sqref>
        </x14:dataValidation>
        <x14:dataValidation type="list" allowBlank="1" showInputMessage="1" showErrorMessage="1" xr:uid="{00000000-0002-0000-0300-0000D70C0000}">
          <x14:formula1>
            <xm:f>項目!C17:$TUY$196609</xm:f>
          </x14:formula1>
          <xm:sqref>TVG196613:TVG196636</xm:sqref>
        </x14:dataValidation>
        <x14:dataValidation type="list" allowBlank="1" showInputMessage="1" showErrorMessage="1" xr:uid="{00000000-0002-0000-0300-0000D80C0000}">
          <x14:formula1>
            <xm:f>項目!C17:$UEU$196609</xm:f>
          </x14:formula1>
          <xm:sqref>UFC196613:UFC196636</xm:sqref>
        </x14:dataValidation>
        <x14:dataValidation type="list" allowBlank="1" showInputMessage="1" showErrorMessage="1" xr:uid="{00000000-0002-0000-0300-0000D90C0000}">
          <x14:formula1>
            <xm:f>項目!C17:$UOQ$196609</xm:f>
          </x14:formula1>
          <xm:sqref>UOY196613:UOY196636</xm:sqref>
        </x14:dataValidation>
        <x14:dataValidation type="list" allowBlank="1" showInputMessage="1" showErrorMessage="1" xr:uid="{00000000-0002-0000-0300-0000DA0C0000}">
          <x14:formula1>
            <xm:f>項目!C17:$UYM$196609</xm:f>
          </x14:formula1>
          <xm:sqref>UYU196613:UYU196636</xm:sqref>
        </x14:dataValidation>
        <x14:dataValidation type="list" allowBlank="1" showInputMessage="1" showErrorMessage="1" xr:uid="{00000000-0002-0000-0300-0000DB0C0000}">
          <x14:formula1>
            <xm:f>項目!C17:$VII$196609</xm:f>
          </x14:formula1>
          <xm:sqref>VIQ196613:VIQ196636</xm:sqref>
        </x14:dataValidation>
        <x14:dataValidation type="list" allowBlank="1" showInputMessage="1" showErrorMessage="1" xr:uid="{00000000-0002-0000-0300-0000DC0C0000}">
          <x14:formula1>
            <xm:f>項目!C17:$VSE$196609</xm:f>
          </x14:formula1>
          <xm:sqref>VSM196613:VSM196636</xm:sqref>
        </x14:dataValidation>
        <x14:dataValidation type="list" allowBlank="1" showInputMessage="1" showErrorMessage="1" xr:uid="{00000000-0002-0000-0300-0000DD0C0000}">
          <x14:formula1>
            <xm:f>項目!C17:$WCA$196609</xm:f>
          </x14:formula1>
          <xm:sqref>WCI196613:WCI196636</xm:sqref>
        </x14:dataValidation>
        <x14:dataValidation type="list" allowBlank="1" showInputMessage="1" showErrorMessage="1" xr:uid="{00000000-0002-0000-0300-0000DE0C0000}">
          <x14:formula1>
            <xm:f>項目!C17:$WLW$196609</xm:f>
          </x14:formula1>
          <xm:sqref>WME196613:WME196636</xm:sqref>
        </x14:dataValidation>
        <x14:dataValidation type="list" allowBlank="1" showInputMessage="1" showErrorMessage="1" xr:uid="{00000000-0002-0000-0300-0000DF0C0000}">
          <x14:formula1>
            <xm:f>項目!C17:$WVS$196609</xm:f>
          </x14:formula1>
          <xm:sqref>WWA196613:WWA196636</xm:sqref>
        </x14:dataValidation>
        <x14:dataValidation type="list" allowBlank="1" showInputMessage="1" showErrorMessage="1" xr:uid="{00000000-0002-0000-0300-0000E00C0000}">
          <x14:formula1>
            <xm:f>項目!C17:$M$262145</xm:f>
          </x14:formula1>
          <xm:sqref>S262149:S262172</xm:sqref>
        </x14:dataValidation>
        <x14:dataValidation type="list" allowBlank="1" showInputMessage="1" showErrorMessage="1" xr:uid="{00000000-0002-0000-0300-0000E10C0000}">
          <x14:formula1>
            <xm:f>項目!C17:$JG$262145</xm:f>
          </x14:formula1>
          <xm:sqref>JO262149:JO262172</xm:sqref>
        </x14:dataValidation>
        <x14:dataValidation type="list" allowBlank="1" showInputMessage="1" showErrorMessage="1" xr:uid="{00000000-0002-0000-0300-0000E20C0000}">
          <x14:formula1>
            <xm:f>項目!C17:$TC$262145</xm:f>
          </x14:formula1>
          <xm:sqref>TK262149:TK262172</xm:sqref>
        </x14:dataValidation>
        <x14:dataValidation type="list" allowBlank="1" showInputMessage="1" showErrorMessage="1" xr:uid="{00000000-0002-0000-0300-0000E30C0000}">
          <x14:formula1>
            <xm:f>項目!C17:$ACY$262145</xm:f>
          </x14:formula1>
          <xm:sqref>ADG262149:ADG262172</xm:sqref>
        </x14:dataValidation>
        <x14:dataValidation type="list" allowBlank="1" showInputMessage="1" showErrorMessage="1" xr:uid="{00000000-0002-0000-0300-0000E40C0000}">
          <x14:formula1>
            <xm:f>項目!C17:$AMU$262145</xm:f>
          </x14:formula1>
          <xm:sqref>ANC262149:ANC262172</xm:sqref>
        </x14:dataValidation>
        <x14:dataValidation type="list" allowBlank="1" showInputMessage="1" showErrorMessage="1" xr:uid="{00000000-0002-0000-0300-0000E50C0000}">
          <x14:formula1>
            <xm:f>項目!C17:$AWQ$262145</xm:f>
          </x14:formula1>
          <xm:sqref>AWY262149:AWY262172</xm:sqref>
        </x14:dataValidation>
        <x14:dataValidation type="list" allowBlank="1" showInputMessage="1" showErrorMessage="1" xr:uid="{00000000-0002-0000-0300-0000E60C0000}">
          <x14:formula1>
            <xm:f>項目!C17:$BGM$262145</xm:f>
          </x14:formula1>
          <xm:sqref>BGU262149:BGU262172</xm:sqref>
        </x14:dataValidation>
        <x14:dataValidation type="list" allowBlank="1" showInputMessage="1" showErrorMessage="1" xr:uid="{00000000-0002-0000-0300-0000E70C0000}">
          <x14:formula1>
            <xm:f>項目!C17:$BQI$262145</xm:f>
          </x14:formula1>
          <xm:sqref>BQQ262149:BQQ262172</xm:sqref>
        </x14:dataValidation>
        <x14:dataValidation type="list" allowBlank="1" showInputMessage="1" showErrorMessage="1" xr:uid="{00000000-0002-0000-0300-0000E80C0000}">
          <x14:formula1>
            <xm:f>項目!C17:$CAE$262145</xm:f>
          </x14:formula1>
          <xm:sqref>CAM262149:CAM262172</xm:sqref>
        </x14:dataValidation>
        <x14:dataValidation type="list" allowBlank="1" showInputMessage="1" showErrorMessage="1" xr:uid="{00000000-0002-0000-0300-0000E90C0000}">
          <x14:formula1>
            <xm:f>項目!C17:$CKA$262145</xm:f>
          </x14:formula1>
          <xm:sqref>CKI262149:CKI262172</xm:sqref>
        </x14:dataValidation>
        <x14:dataValidation type="list" allowBlank="1" showInputMessage="1" showErrorMessage="1" xr:uid="{00000000-0002-0000-0300-0000EA0C0000}">
          <x14:formula1>
            <xm:f>項目!C17:$CTW$262145</xm:f>
          </x14:formula1>
          <xm:sqref>CUE262149:CUE262172</xm:sqref>
        </x14:dataValidation>
        <x14:dataValidation type="list" allowBlank="1" showInputMessage="1" showErrorMessage="1" xr:uid="{00000000-0002-0000-0300-0000EB0C0000}">
          <x14:formula1>
            <xm:f>項目!C17:$DDS$262145</xm:f>
          </x14:formula1>
          <xm:sqref>DEA262149:DEA262172</xm:sqref>
        </x14:dataValidation>
        <x14:dataValidation type="list" allowBlank="1" showInputMessage="1" showErrorMessage="1" xr:uid="{00000000-0002-0000-0300-0000EC0C0000}">
          <x14:formula1>
            <xm:f>項目!C17:$DNO$262145</xm:f>
          </x14:formula1>
          <xm:sqref>DNW262149:DNW262172</xm:sqref>
        </x14:dataValidation>
        <x14:dataValidation type="list" allowBlank="1" showInputMessage="1" showErrorMessage="1" xr:uid="{00000000-0002-0000-0300-0000ED0C0000}">
          <x14:formula1>
            <xm:f>項目!C17:$DXK$262145</xm:f>
          </x14:formula1>
          <xm:sqref>DXS262149:DXS262172</xm:sqref>
        </x14:dataValidation>
        <x14:dataValidation type="list" allowBlank="1" showInputMessage="1" showErrorMessage="1" xr:uid="{00000000-0002-0000-0300-0000EE0C0000}">
          <x14:formula1>
            <xm:f>項目!C17:$EHG$262145</xm:f>
          </x14:formula1>
          <xm:sqref>EHO262149:EHO262172</xm:sqref>
        </x14:dataValidation>
        <x14:dataValidation type="list" allowBlank="1" showInputMessage="1" showErrorMessage="1" xr:uid="{00000000-0002-0000-0300-0000EF0C0000}">
          <x14:formula1>
            <xm:f>項目!C17:$ERC$262145</xm:f>
          </x14:formula1>
          <xm:sqref>ERK262149:ERK262172</xm:sqref>
        </x14:dataValidation>
        <x14:dataValidation type="list" allowBlank="1" showInputMessage="1" showErrorMessage="1" xr:uid="{00000000-0002-0000-0300-0000F00C0000}">
          <x14:formula1>
            <xm:f>項目!C17:$FAY$262145</xm:f>
          </x14:formula1>
          <xm:sqref>FBG262149:FBG262172</xm:sqref>
        </x14:dataValidation>
        <x14:dataValidation type="list" allowBlank="1" showInputMessage="1" showErrorMessage="1" xr:uid="{00000000-0002-0000-0300-0000F10C0000}">
          <x14:formula1>
            <xm:f>項目!C17:$FKU$262145</xm:f>
          </x14:formula1>
          <xm:sqref>FLC262149:FLC262172</xm:sqref>
        </x14:dataValidation>
        <x14:dataValidation type="list" allowBlank="1" showInputMessage="1" showErrorMessage="1" xr:uid="{00000000-0002-0000-0300-0000F20C0000}">
          <x14:formula1>
            <xm:f>項目!C17:$FUQ$262145</xm:f>
          </x14:formula1>
          <xm:sqref>FUY262149:FUY262172</xm:sqref>
        </x14:dataValidation>
        <x14:dataValidation type="list" allowBlank="1" showInputMessage="1" showErrorMessage="1" xr:uid="{00000000-0002-0000-0300-0000F30C0000}">
          <x14:formula1>
            <xm:f>項目!C17:$GEM$262145</xm:f>
          </x14:formula1>
          <xm:sqref>GEU262149:GEU262172</xm:sqref>
        </x14:dataValidation>
        <x14:dataValidation type="list" allowBlank="1" showInputMessage="1" showErrorMessage="1" xr:uid="{00000000-0002-0000-0300-0000F40C0000}">
          <x14:formula1>
            <xm:f>項目!C17:$GOI$262145</xm:f>
          </x14:formula1>
          <xm:sqref>GOQ262149:GOQ262172</xm:sqref>
        </x14:dataValidation>
        <x14:dataValidation type="list" allowBlank="1" showInputMessage="1" showErrorMessage="1" xr:uid="{00000000-0002-0000-0300-0000F50C0000}">
          <x14:formula1>
            <xm:f>項目!C17:$GYE$262145</xm:f>
          </x14:formula1>
          <xm:sqref>GYM262149:GYM262172</xm:sqref>
        </x14:dataValidation>
        <x14:dataValidation type="list" allowBlank="1" showInputMessage="1" showErrorMessage="1" xr:uid="{00000000-0002-0000-0300-0000F60C0000}">
          <x14:formula1>
            <xm:f>項目!C17:$HIA$262145</xm:f>
          </x14:formula1>
          <xm:sqref>HII262149:HII262172</xm:sqref>
        </x14:dataValidation>
        <x14:dataValidation type="list" allowBlank="1" showInputMessage="1" showErrorMessage="1" xr:uid="{00000000-0002-0000-0300-0000F70C0000}">
          <x14:formula1>
            <xm:f>項目!C17:$HRW$262145</xm:f>
          </x14:formula1>
          <xm:sqref>HSE262149:HSE262172</xm:sqref>
        </x14:dataValidation>
        <x14:dataValidation type="list" allowBlank="1" showInputMessage="1" showErrorMessage="1" xr:uid="{00000000-0002-0000-0300-0000F80C0000}">
          <x14:formula1>
            <xm:f>項目!C17:$IBS$262145</xm:f>
          </x14:formula1>
          <xm:sqref>ICA262149:ICA262172</xm:sqref>
        </x14:dataValidation>
        <x14:dataValidation type="list" allowBlank="1" showInputMessage="1" showErrorMessage="1" xr:uid="{00000000-0002-0000-0300-0000F90C0000}">
          <x14:formula1>
            <xm:f>項目!C17:$ILO$262145</xm:f>
          </x14:formula1>
          <xm:sqref>ILW262149:ILW262172</xm:sqref>
        </x14:dataValidation>
        <x14:dataValidation type="list" allowBlank="1" showInputMessage="1" showErrorMessage="1" xr:uid="{00000000-0002-0000-0300-0000FA0C0000}">
          <x14:formula1>
            <xm:f>項目!C17:$IVK$262145</xm:f>
          </x14:formula1>
          <xm:sqref>IVS262149:IVS262172</xm:sqref>
        </x14:dataValidation>
        <x14:dataValidation type="list" allowBlank="1" showInputMessage="1" showErrorMessage="1" xr:uid="{00000000-0002-0000-0300-0000FB0C0000}">
          <x14:formula1>
            <xm:f>項目!C17:$JFG$262145</xm:f>
          </x14:formula1>
          <xm:sqref>JFO262149:JFO262172</xm:sqref>
        </x14:dataValidation>
        <x14:dataValidation type="list" allowBlank="1" showInputMessage="1" showErrorMessage="1" xr:uid="{00000000-0002-0000-0300-0000FC0C0000}">
          <x14:formula1>
            <xm:f>項目!C17:$JPC$262145</xm:f>
          </x14:formula1>
          <xm:sqref>JPK262149:JPK262172</xm:sqref>
        </x14:dataValidation>
        <x14:dataValidation type="list" allowBlank="1" showInputMessage="1" showErrorMessage="1" xr:uid="{00000000-0002-0000-0300-0000FD0C0000}">
          <x14:formula1>
            <xm:f>項目!C17:$JYY$262145</xm:f>
          </x14:formula1>
          <xm:sqref>JZG262149:JZG262172</xm:sqref>
        </x14:dataValidation>
        <x14:dataValidation type="list" allowBlank="1" showInputMessage="1" showErrorMessage="1" xr:uid="{00000000-0002-0000-0300-0000FE0C0000}">
          <x14:formula1>
            <xm:f>項目!C17:$KIU$262145</xm:f>
          </x14:formula1>
          <xm:sqref>KJC262149:KJC262172</xm:sqref>
        </x14:dataValidation>
        <x14:dataValidation type="list" allowBlank="1" showInputMessage="1" showErrorMessage="1" xr:uid="{00000000-0002-0000-0300-0000FF0C0000}">
          <x14:formula1>
            <xm:f>項目!C17:$KSQ$262145</xm:f>
          </x14:formula1>
          <xm:sqref>KSY262149:KSY262172</xm:sqref>
        </x14:dataValidation>
        <x14:dataValidation type="list" allowBlank="1" showInputMessage="1" showErrorMessage="1" xr:uid="{00000000-0002-0000-0300-0000000D0000}">
          <x14:formula1>
            <xm:f>項目!C17:$LCM$262145</xm:f>
          </x14:formula1>
          <xm:sqref>LCU262149:LCU262172</xm:sqref>
        </x14:dataValidation>
        <x14:dataValidation type="list" allowBlank="1" showInputMessage="1" showErrorMessage="1" xr:uid="{00000000-0002-0000-0300-0000010D0000}">
          <x14:formula1>
            <xm:f>項目!C17:$LMI$262145</xm:f>
          </x14:formula1>
          <xm:sqref>LMQ262149:LMQ262172</xm:sqref>
        </x14:dataValidation>
        <x14:dataValidation type="list" allowBlank="1" showInputMessage="1" showErrorMessage="1" xr:uid="{00000000-0002-0000-0300-0000020D0000}">
          <x14:formula1>
            <xm:f>項目!C17:$LWE$262145</xm:f>
          </x14:formula1>
          <xm:sqref>LWM262149:LWM262172</xm:sqref>
        </x14:dataValidation>
        <x14:dataValidation type="list" allowBlank="1" showInputMessage="1" showErrorMessage="1" xr:uid="{00000000-0002-0000-0300-0000030D0000}">
          <x14:formula1>
            <xm:f>項目!C17:$MGA$262145</xm:f>
          </x14:formula1>
          <xm:sqref>MGI262149:MGI262172</xm:sqref>
        </x14:dataValidation>
        <x14:dataValidation type="list" allowBlank="1" showInputMessage="1" showErrorMessage="1" xr:uid="{00000000-0002-0000-0300-0000040D0000}">
          <x14:formula1>
            <xm:f>項目!C17:$MPW$262145</xm:f>
          </x14:formula1>
          <xm:sqref>MQE262149:MQE262172</xm:sqref>
        </x14:dataValidation>
        <x14:dataValidation type="list" allowBlank="1" showInputMessage="1" showErrorMessage="1" xr:uid="{00000000-0002-0000-0300-0000050D0000}">
          <x14:formula1>
            <xm:f>項目!C17:$MZS$262145</xm:f>
          </x14:formula1>
          <xm:sqref>NAA262149:NAA262172</xm:sqref>
        </x14:dataValidation>
        <x14:dataValidation type="list" allowBlank="1" showInputMessage="1" showErrorMessage="1" xr:uid="{00000000-0002-0000-0300-0000060D0000}">
          <x14:formula1>
            <xm:f>項目!C17:$NJO$262145</xm:f>
          </x14:formula1>
          <xm:sqref>NJW262149:NJW262172</xm:sqref>
        </x14:dataValidation>
        <x14:dataValidation type="list" allowBlank="1" showInputMessage="1" showErrorMessage="1" xr:uid="{00000000-0002-0000-0300-0000070D0000}">
          <x14:formula1>
            <xm:f>項目!C17:$NTK$262145</xm:f>
          </x14:formula1>
          <xm:sqref>NTS262149:NTS262172</xm:sqref>
        </x14:dataValidation>
        <x14:dataValidation type="list" allowBlank="1" showInputMessage="1" showErrorMessage="1" xr:uid="{00000000-0002-0000-0300-0000080D0000}">
          <x14:formula1>
            <xm:f>項目!C17:$ODG$262145</xm:f>
          </x14:formula1>
          <xm:sqref>ODO262149:ODO262172</xm:sqref>
        </x14:dataValidation>
        <x14:dataValidation type="list" allowBlank="1" showInputMessage="1" showErrorMessage="1" xr:uid="{00000000-0002-0000-0300-0000090D0000}">
          <x14:formula1>
            <xm:f>項目!C17:$ONC$262145</xm:f>
          </x14:formula1>
          <xm:sqref>ONK262149:ONK262172</xm:sqref>
        </x14:dataValidation>
        <x14:dataValidation type="list" allowBlank="1" showInputMessage="1" showErrorMessage="1" xr:uid="{00000000-0002-0000-0300-00000A0D0000}">
          <x14:formula1>
            <xm:f>項目!C17:$OWY$262145</xm:f>
          </x14:formula1>
          <xm:sqref>OXG262149:OXG262172</xm:sqref>
        </x14:dataValidation>
        <x14:dataValidation type="list" allowBlank="1" showInputMessage="1" showErrorMessage="1" xr:uid="{00000000-0002-0000-0300-00000B0D0000}">
          <x14:formula1>
            <xm:f>項目!C17:$PGU$262145</xm:f>
          </x14:formula1>
          <xm:sqref>PHC262149:PHC262172</xm:sqref>
        </x14:dataValidation>
        <x14:dataValidation type="list" allowBlank="1" showInputMessage="1" showErrorMessage="1" xr:uid="{00000000-0002-0000-0300-00000C0D0000}">
          <x14:formula1>
            <xm:f>項目!C17:$PQQ$262145</xm:f>
          </x14:formula1>
          <xm:sqref>PQY262149:PQY262172</xm:sqref>
        </x14:dataValidation>
        <x14:dataValidation type="list" allowBlank="1" showInputMessage="1" showErrorMessage="1" xr:uid="{00000000-0002-0000-0300-00000D0D0000}">
          <x14:formula1>
            <xm:f>項目!C17:$QAM$262145</xm:f>
          </x14:formula1>
          <xm:sqref>QAU262149:QAU262172</xm:sqref>
        </x14:dataValidation>
        <x14:dataValidation type="list" allowBlank="1" showInputMessage="1" showErrorMessage="1" xr:uid="{00000000-0002-0000-0300-00000E0D0000}">
          <x14:formula1>
            <xm:f>項目!C17:$QKI$262145</xm:f>
          </x14:formula1>
          <xm:sqref>QKQ262149:QKQ262172</xm:sqref>
        </x14:dataValidation>
        <x14:dataValidation type="list" allowBlank="1" showInputMessage="1" showErrorMessage="1" xr:uid="{00000000-0002-0000-0300-00000F0D0000}">
          <x14:formula1>
            <xm:f>項目!C17:$QUE$262145</xm:f>
          </x14:formula1>
          <xm:sqref>QUM262149:QUM262172</xm:sqref>
        </x14:dataValidation>
        <x14:dataValidation type="list" allowBlank="1" showInputMessage="1" showErrorMessage="1" xr:uid="{00000000-0002-0000-0300-0000100D0000}">
          <x14:formula1>
            <xm:f>項目!C17:$REA$262145</xm:f>
          </x14:formula1>
          <xm:sqref>REI262149:REI262172</xm:sqref>
        </x14:dataValidation>
        <x14:dataValidation type="list" allowBlank="1" showInputMessage="1" showErrorMessage="1" xr:uid="{00000000-0002-0000-0300-0000110D0000}">
          <x14:formula1>
            <xm:f>項目!C17:$RNW$262145</xm:f>
          </x14:formula1>
          <xm:sqref>ROE262149:ROE262172</xm:sqref>
        </x14:dataValidation>
        <x14:dataValidation type="list" allowBlank="1" showInputMessage="1" showErrorMessage="1" xr:uid="{00000000-0002-0000-0300-0000120D0000}">
          <x14:formula1>
            <xm:f>項目!C17:$RXS$262145</xm:f>
          </x14:formula1>
          <xm:sqref>RYA262149:RYA262172</xm:sqref>
        </x14:dataValidation>
        <x14:dataValidation type="list" allowBlank="1" showInputMessage="1" showErrorMessage="1" xr:uid="{00000000-0002-0000-0300-0000130D0000}">
          <x14:formula1>
            <xm:f>項目!C17:$SHO$262145</xm:f>
          </x14:formula1>
          <xm:sqref>SHW262149:SHW262172</xm:sqref>
        </x14:dataValidation>
        <x14:dataValidation type="list" allowBlank="1" showInputMessage="1" showErrorMessage="1" xr:uid="{00000000-0002-0000-0300-0000140D0000}">
          <x14:formula1>
            <xm:f>項目!C17:$SRK$262145</xm:f>
          </x14:formula1>
          <xm:sqref>SRS262149:SRS262172</xm:sqref>
        </x14:dataValidation>
        <x14:dataValidation type="list" allowBlank="1" showInputMessage="1" showErrorMessage="1" xr:uid="{00000000-0002-0000-0300-0000150D0000}">
          <x14:formula1>
            <xm:f>項目!C17:$TBG$262145</xm:f>
          </x14:formula1>
          <xm:sqref>TBO262149:TBO262172</xm:sqref>
        </x14:dataValidation>
        <x14:dataValidation type="list" allowBlank="1" showInputMessage="1" showErrorMessage="1" xr:uid="{00000000-0002-0000-0300-0000160D0000}">
          <x14:formula1>
            <xm:f>項目!C17:$TLC$262145</xm:f>
          </x14:formula1>
          <xm:sqref>TLK262149:TLK262172</xm:sqref>
        </x14:dataValidation>
        <x14:dataValidation type="list" allowBlank="1" showInputMessage="1" showErrorMessage="1" xr:uid="{00000000-0002-0000-0300-0000170D0000}">
          <x14:formula1>
            <xm:f>項目!C17:$TUY$262145</xm:f>
          </x14:formula1>
          <xm:sqref>TVG262149:TVG262172</xm:sqref>
        </x14:dataValidation>
        <x14:dataValidation type="list" allowBlank="1" showInputMessage="1" showErrorMessage="1" xr:uid="{00000000-0002-0000-0300-0000180D0000}">
          <x14:formula1>
            <xm:f>項目!C17:$UEU$262145</xm:f>
          </x14:formula1>
          <xm:sqref>UFC262149:UFC262172</xm:sqref>
        </x14:dataValidation>
        <x14:dataValidation type="list" allowBlank="1" showInputMessage="1" showErrorMessage="1" xr:uid="{00000000-0002-0000-0300-0000190D0000}">
          <x14:formula1>
            <xm:f>項目!C17:$UOQ$262145</xm:f>
          </x14:formula1>
          <xm:sqref>UOY262149:UOY262172</xm:sqref>
        </x14:dataValidation>
        <x14:dataValidation type="list" allowBlank="1" showInputMessage="1" showErrorMessage="1" xr:uid="{00000000-0002-0000-0300-00001A0D0000}">
          <x14:formula1>
            <xm:f>項目!C17:$UYM$262145</xm:f>
          </x14:formula1>
          <xm:sqref>UYU262149:UYU262172</xm:sqref>
        </x14:dataValidation>
        <x14:dataValidation type="list" allowBlank="1" showInputMessage="1" showErrorMessage="1" xr:uid="{00000000-0002-0000-0300-00001B0D0000}">
          <x14:formula1>
            <xm:f>項目!C17:$VII$262145</xm:f>
          </x14:formula1>
          <xm:sqref>VIQ262149:VIQ262172</xm:sqref>
        </x14:dataValidation>
        <x14:dataValidation type="list" allowBlank="1" showInputMessage="1" showErrorMessage="1" xr:uid="{00000000-0002-0000-0300-00001C0D0000}">
          <x14:formula1>
            <xm:f>項目!C17:$VSE$262145</xm:f>
          </x14:formula1>
          <xm:sqref>VSM262149:VSM262172</xm:sqref>
        </x14:dataValidation>
        <x14:dataValidation type="list" allowBlank="1" showInputMessage="1" showErrorMessage="1" xr:uid="{00000000-0002-0000-0300-00001D0D0000}">
          <x14:formula1>
            <xm:f>項目!C17:$WCA$262145</xm:f>
          </x14:formula1>
          <xm:sqref>WCI262149:WCI262172</xm:sqref>
        </x14:dataValidation>
        <x14:dataValidation type="list" allowBlank="1" showInputMessage="1" showErrorMessage="1" xr:uid="{00000000-0002-0000-0300-00001E0D0000}">
          <x14:formula1>
            <xm:f>項目!C17:$WLW$262145</xm:f>
          </x14:formula1>
          <xm:sqref>WME262149:WME262172</xm:sqref>
        </x14:dataValidation>
        <x14:dataValidation type="list" allowBlank="1" showInputMessage="1" showErrorMessage="1" xr:uid="{00000000-0002-0000-0300-00001F0D0000}">
          <x14:formula1>
            <xm:f>項目!C17:$WVS$262145</xm:f>
          </x14:formula1>
          <xm:sqref>WWA262149:WWA262172</xm:sqref>
        </x14:dataValidation>
        <x14:dataValidation type="list" allowBlank="1" showInputMessage="1" showErrorMessage="1" xr:uid="{00000000-0002-0000-0300-0000200D0000}">
          <x14:formula1>
            <xm:f>項目!C17:$M$327681</xm:f>
          </x14:formula1>
          <xm:sqref>S327685:S327708</xm:sqref>
        </x14:dataValidation>
        <x14:dataValidation type="list" allowBlank="1" showInputMessage="1" showErrorMessage="1" xr:uid="{00000000-0002-0000-0300-0000210D0000}">
          <x14:formula1>
            <xm:f>項目!C17:$JG$327681</xm:f>
          </x14:formula1>
          <xm:sqref>JO327685:JO327708</xm:sqref>
        </x14:dataValidation>
        <x14:dataValidation type="list" allowBlank="1" showInputMessage="1" showErrorMessage="1" xr:uid="{00000000-0002-0000-0300-0000220D0000}">
          <x14:formula1>
            <xm:f>項目!C17:$TC$327681</xm:f>
          </x14:formula1>
          <xm:sqref>TK327685:TK327708</xm:sqref>
        </x14:dataValidation>
        <x14:dataValidation type="list" allowBlank="1" showInputMessage="1" showErrorMessage="1" xr:uid="{00000000-0002-0000-0300-0000230D0000}">
          <x14:formula1>
            <xm:f>項目!C17:$ACY$327681</xm:f>
          </x14:formula1>
          <xm:sqref>ADG327685:ADG327708</xm:sqref>
        </x14:dataValidation>
        <x14:dataValidation type="list" allowBlank="1" showInputMessage="1" showErrorMessage="1" xr:uid="{00000000-0002-0000-0300-0000240D0000}">
          <x14:formula1>
            <xm:f>項目!C17:$AMU$327681</xm:f>
          </x14:formula1>
          <xm:sqref>ANC327685:ANC327708</xm:sqref>
        </x14:dataValidation>
        <x14:dataValidation type="list" allowBlank="1" showInputMessage="1" showErrorMessage="1" xr:uid="{00000000-0002-0000-0300-0000250D0000}">
          <x14:formula1>
            <xm:f>項目!C17:$AWQ$327681</xm:f>
          </x14:formula1>
          <xm:sqref>AWY327685:AWY327708</xm:sqref>
        </x14:dataValidation>
        <x14:dataValidation type="list" allowBlank="1" showInputMessage="1" showErrorMessage="1" xr:uid="{00000000-0002-0000-0300-0000260D0000}">
          <x14:formula1>
            <xm:f>項目!C17:$BGM$327681</xm:f>
          </x14:formula1>
          <xm:sqref>BGU327685:BGU327708</xm:sqref>
        </x14:dataValidation>
        <x14:dataValidation type="list" allowBlank="1" showInputMessage="1" showErrorMessage="1" xr:uid="{00000000-0002-0000-0300-0000270D0000}">
          <x14:formula1>
            <xm:f>項目!C17:$BQI$327681</xm:f>
          </x14:formula1>
          <xm:sqref>BQQ327685:BQQ327708</xm:sqref>
        </x14:dataValidation>
        <x14:dataValidation type="list" allowBlank="1" showInputMessage="1" showErrorMessage="1" xr:uid="{00000000-0002-0000-0300-0000280D0000}">
          <x14:formula1>
            <xm:f>項目!C17:$CAE$327681</xm:f>
          </x14:formula1>
          <xm:sqref>CAM327685:CAM327708</xm:sqref>
        </x14:dataValidation>
        <x14:dataValidation type="list" allowBlank="1" showInputMessage="1" showErrorMessage="1" xr:uid="{00000000-0002-0000-0300-0000290D0000}">
          <x14:formula1>
            <xm:f>項目!C17:$CKA$327681</xm:f>
          </x14:formula1>
          <xm:sqref>CKI327685:CKI327708</xm:sqref>
        </x14:dataValidation>
        <x14:dataValidation type="list" allowBlank="1" showInputMessage="1" showErrorMessage="1" xr:uid="{00000000-0002-0000-0300-00002A0D0000}">
          <x14:formula1>
            <xm:f>項目!C17:$CTW$327681</xm:f>
          </x14:formula1>
          <xm:sqref>CUE327685:CUE327708</xm:sqref>
        </x14:dataValidation>
        <x14:dataValidation type="list" allowBlank="1" showInputMessage="1" showErrorMessage="1" xr:uid="{00000000-0002-0000-0300-00002B0D0000}">
          <x14:formula1>
            <xm:f>項目!C17:$DDS$327681</xm:f>
          </x14:formula1>
          <xm:sqref>DEA327685:DEA327708</xm:sqref>
        </x14:dataValidation>
        <x14:dataValidation type="list" allowBlank="1" showInputMessage="1" showErrorMessage="1" xr:uid="{00000000-0002-0000-0300-00002C0D0000}">
          <x14:formula1>
            <xm:f>項目!C17:$DNO$327681</xm:f>
          </x14:formula1>
          <xm:sqref>DNW327685:DNW327708</xm:sqref>
        </x14:dataValidation>
        <x14:dataValidation type="list" allowBlank="1" showInputMessage="1" showErrorMessage="1" xr:uid="{00000000-0002-0000-0300-00002D0D0000}">
          <x14:formula1>
            <xm:f>項目!C17:$DXK$327681</xm:f>
          </x14:formula1>
          <xm:sqref>DXS327685:DXS327708</xm:sqref>
        </x14:dataValidation>
        <x14:dataValidation type="list" allowBlank="1" showInputMessage="1" showErrorMessage="1" xr:uid="{00000000-0002-0000-0300-00002E0D0000}">
          <x14:formula1>
            <xm:f>項目!C17:$EHG$327681</xm:f>
          </x14:formula1>
          <xm:sqref>EHO327685:EHO327708</xm:sqref>
        </x14:dataValidation>
        <x14:dataValidation type="list" allowBlank="1" showInputMessage="1" showErrorMessage="1" xr:uid="{00000000-0002-0000-0300-00002F0D0000}">
          <x14:formula1>
            <xm:f>項目!C17:$ERC$327681</xm:f>
          </x14:formula1>
          <xm:sqref>ERK327685:ERK327708</xm:sqref>
        </x14:dataValidation>
        <x14:dataValidation type="list" allowBlank="1" showInputMessage="1" showErrorMessage="1" xr:uid="{00000000-0002-0000-0300-0000300D0000}">
          <x14:formula1>
            <xm:f>項目!C17:$FAY$327681</xm:f>
          </x14:formula1>
          <xm:sqref>FBG327685:FBG327708</xm:sqref>
        </x14:dataValidation>
        <x14:dataValidation type="list" allowBlank="1" showInputMessage="1" showErrorMessage="1" xr:uid="{00000000-0002-0000-0300-0000310D0000}">
          <x14:formula1>
            <xm:f>項目!C17:$FKU$327681</xm:f>
          </x14:formula1>
          <xm:sqref>FLC327685:FLC327708</xm:sqref>
        </x14:dataValidation>
        <x14:dataValidation type="list" allowBlank="1" showInputMessage="1" showErrorMessage="1" xr:uid="{00000000-0002-0000-0300-0000320D0000}">
          <x14:formula1>
            <xm:f>項目!C17:$FUQ$327681</xm:f>
          </x14:formula1>
          <xm:sqref>FUY327685:FUY327708</xm:sqref>
        </x14:dataValidation>
        <x14:dataValidation type="list" allowBlank="1" showInputMessage="1" showErrorMessage="1" xr:uid="{00000000-0002-0000-0300-0000330D0000}">
          <x14:formula1>
            <xm:f>項目!C17:$GEM$327681</xm:f>
          </x14:formula1>
          <xm:sqref>GEU327685:GEU327708</xm:sqref>
        </x14:dataValidation>
        <x14:dataValidation type="list" allowBlank="1" showInputMessage="1" showErrorMessage="1" xr:uid="{00000000-0002-0000-0300-0000340D0000}">
          <x14:formula1>
            <xm:f>項目!C17:$GOI$327681</xm:f>
          </x14:formula1>
          <xm:sqref>GOQ327685:GOQ327708</xm:sqref>
        </x14:dataValidation>
        <x14:dataValidation type="list" allowBlank="1" showInputMessage="1" showErrorMessage="1" xr:uid="{00000000-0002-0000-0300-0000350D0000}">
          <x14:formula1>
            <xm:f>項目!C17:$GYE$327681</xm:f>
          </x14:formula1>
          <xm:sqref>GYM327685:GYM327708</xm:sqref>
        </x14:dataValidation>
        <x14:dataValidation type="list" allowBlank="1" showInputMessage="1" showErrorMessage="1" xr:uid="{00000000-0002-0000-0300-0000360D0000}">
          <x14:formula1>
            <xm:f>項目!C17:$HIA$327681</xm:f>
          </x14:formula1>
          <xm:sqref>HII327685:HII327708</xm:sqref>
        </x14:dataValidation>
        <x14:dataValidation type="list" allowBlank="1" showInputMessage="1" showErrorMessage="1" xr:uid="{00000000-0002-0000-0300-0000370D0000}">
          <x14:formula1>
            <xm:f>項目!C17:$HRW$327681</xm:f>
          </x14:formula1>
          <xm:sqref>HSE327685:HSE327708</xm:sqref>
        </x14:dataValidation>
        <x14:dataValidation type="list" allowBlank="1" showInputMessage="1" showErrorMessage="1" xr:uid="{00000000-0002-0000-0300-0000380D0000}">
          <x14:formula1>
            <xm:f>項目!C17:$IBS$327681</xm:f>
          </x14:formula1>
          <xm:sqref>ICA327685:ICA327708</xm:sqref>
        </x14:dataValidation>
        <x14:dataValidation type="list" allowBlank="1" showInputMessage="1" showErrorMessage="1" xr:uid="{00000000-0002-0000-0300-0000390D0000}">
          <x14:formula1>
            <xm:f>項目!C17:$ILO$327681</xm:f>
          </x14:formula1>
          <xm:sqref>ILW327685:ILW327708</xm:sqref>
        </x14:dataValidation>
        <x14:dataValidation type="list" allowBlank="1" showInputMessage="1" showErrorMessage="1" xr:uid="{00000000-0002-0000-0300-00003A0D0000}">
          <x14:formula1>
            <xm:f>項目!C17:$IVK$327681</xm:f>
          </x14:formula1>
          <xm:sqref>IVS327685:IVS327708</xm:sqref>
        </x14:dataValidation>
        <x14:dataValidation type="list" allowBlank="1" showInputMessage="1" showErrorMessage="1" xr:uid="{00000000-0002-0000-0300-00003B0D0000}">
          <x14:formula1>
            <xm:f>項目!C17:$JFG$327681</xm:f>
          </x14:formula1>
          <xm:sqref>JFO327685:JFO327708</xm:sqref>
        </x14:dataValidation>
        <x14:dataValidation type="list" allowBlank="1" showInputMessage="1" showErrorMessage="1" xr:uid="{00000000-0002-0000-0300-00003C0D0000}">
          <x14:formula1>
            <xm:f>項目!C17:$JPC$327681</xm:f>
          </x14:formula1>
          <xm:sqref>JPK327685:JPK327708</xm:sqref>
        </x14:dataValidation>
        <x14:dataValidation type="list" allowBlank="1" showInputMessage="1" showErrorMessage="1" xr:uid="{00000000-0002-0000-0300-00003D0D0000}">
          <x14:formula1>
            <xm:f>項目!C17:$JYY$327681</xm:f>
          </x14:formula1>
          <xm:sqref>JZG327685:JZG327708</xm:sqref>
        </x14:dataValidation>
        <x14:dataValidation type="list" allowBlank="1" showInputMessage="1" showErrorMessage="1" xr:uid="{00000000-0002-0000-0300-00003E0D0000}">
          <x14:formula1>
            <xm:f>項目!C17:$KIU$327681</xm:f>
          </x14:formula1>
          <xm:sqref>KJC327685:KJC327708</xm:sqref>
        </x14:dataValidation>
        <x14:dataValidation type="list" allowBlank="1" showInputMessage="1" showErrorMessage="1" xr:uid="{00000000-0002-0000-0300-00003F0D0000}">
          <x14:formula1>
            <xm:f>項目!C17:$KSQ$327681</xm:f>
          </x14:formula1>
          <xm:sqref>KSY327685:KSY327708</xm:sqref>
        </x14:dataValidation>
        <x14:dataValidation type="list" allowBlank="1" showInputMessage="1" showErrorMessage="1" xr:uid="{00000000-0002-0000-0300-0000400D0000}">
          <x14:formula1>
            <xm:f>項目!C17:$LCM$327681</xm:f>
          </x14:formula1>
          <xm:sqref>LCU327685:LCU327708</xm:sqref>
        </x14:dataValidation>
        <x14:dataValidation type="list" allowBlank="1" showInputMessage="1" showErrorMessage="1" xr:uid="{00000000-0002-0000-0300-0000410D0000}">
          <x14:formula1>
            <xm:f>項目!C17:$LMI$327681</xm:f>
          </x14:formula1>
          <xm:sqref>LMQ327685:LMQ327708</xm:sqref>
        </x14:dataValidation>
        <x14:dataValidation type="list" allowBlank="1" showInputMessage="1" showErrorMessage="1" xr:uid="{00000000-0002-0000-0300-0000420D0000}">
          <x14:formula1>
            <xm:f>項目!C17:$LWE$327681</xm:f>
          </x14:formula1>
          <xm:sqref>LWM327685:LWM327708</xm:sqref>
        </x14:dataValidation>
        <x14:dataValidation type="list" allowBlank="1" showInputMessage="1" showErrorMessage="1" xr:uid="{00000000-0002-0000-0300-0000430D0000}">
          <x14:formula1>
            <xm:f>項目!C17:$MGA$327681</xm:f>
          </x14:formula1>
          <xm:sqref>MGI327685:MGI327708</xm:sqref>
        </x14:dataValidation>
        <x14:dataValidation type="list" allowBlank="1" showInputMessage="1" showErrorMessage="1" xr:uid="{00000000-0002-0000-0300-0000440D0000}">
          <x14:formula1>
            <xm:f>項目!C17:$MPW$327681</xm:f>
          </x14:formula1>
          <xm:sqref>MQE327685:MQE327708</xm:sqref>
        </x14:dataValidation>
        <x14:dataValidation type="list" allowBlank="1" showInputMessage="1" showErrorMessage="1" xr:uid="{00000000-0002-0000-0300-0000450D0000}">
          <x14:formula1>
            <xm:f>項目!C17:$MZS$327681</xm:f>
          </x14:formula1>
          <xm:sqref>NAA327685:NAA327708</xm:sqref>
        </x14:dataValidation>
        <x14:dataValidation type="list" allowBlank="1" showInputMessage="1" showErrorMessage="1" xr:uid="{00000000-0002-0000-0300-0000460D0000}">
          <x14:formula1>
            <xm:f>項目!C17:$NJO$327681</xm:f>
          </x14:formula1>
          <xm:sqref>NJW327685:NJW327708</xm:sqref>
        </x14:dataValidation>
        <x14:dataValidation type="list" allowBlank="1" showInputMessage="1" showErrorMessage="1" xr:uid="{00000000-0002-0000-0300-0000470D0000}">
          <x14:formula1>
            <xm:f>項目!C17:$NTK$327681</xm:f>
          </x14:formula1>
          <xm:sqref>NTS327685:NTS327708</xm:sqref>
        </x14:dataValidation>
        <x14:dataValidation type="list" allowBlank="1" showInputMessage="1" showErrorMessage="1" xr:uid="{00000000-0002-0000-0300-0000480D0000}">
          <x14:formula1>
            <xm:f>項目!C17:$ODG$327681</xm:f>
          </x14:formula1>
          <xm:sqref>ODO327685:ODO327708</xm:sqref>
        </x14:dataValidation>
        <x14:dataValidation type="list" allowBlank="1" showInputMessage="1" showErrorMessage="1" xr:uid="{00000000-0002-0000-0300-0000490D0000}">
          <x14:formula1>
            <xm:f>項目!C17:$ONC$327681</xm:f>
          </x14:formula1>
          <xm:sqref>ONK327685:ONK327708</xm:sqref>
        </x14:dataValidation>
        <x14:dataValidation type="list" allowBlank="1" showInputMessage="1" showErrorMessage="1" xr:uid="{00000000-0002-0000-0300-00004A0D0000}">
          <x14:formula1>
            <xm:f>項目!C17:$OWY$327681</xm:f>
          </x14:formula1>
          <xm:sqref>OXG327685:OXG327708</xm:sqref>
        </x14:dataValidation>
        <x14:dataValidation type="list" allowBlank="1" showInputMessage="1" showErrorMessage="1" xr:uid="{00000000-0002-0000-0300-00004B0D0000}">
          <x14:formula1>
            <xm:f>項目!C17:$PGU$327681</xm:f>
          </x14:formula1>
          <xm:sqref>PHC327685:PHC327708</xm:sqref>
        </x14:dataValidation>
        <x14:dataValidation type="list" allowBlank="1" showInputMessage="1" showErrorMessage="1" xr:uid="{00000000-0002-0000-0300-00004C0D0000}">
          <x14:formula1>
            <xm:f>項目!C17:$PQQ$327681</xm:f>
          </x14:formula1>
          <xm:sqref>PQY327685:PQY327708</xm:sqref>
        </x14:dataValidation>
        <x14:dataValidation type="list" allowBlank="1" showInputMessage="1" showErrorMessage="1" xr:uid="{00000000-0002-0000-0300-00004D0D0000}">
          <x14:formula1>
            <xm:f>項目!C17:$QAM$327681</xm:f>
          </x14:formula1>
          <xm:sqref>QAU327685:QAU327708</xm:sqref>
        </x14:dataValidation>
        <x14:dataValidation type="list" allowBlank="1" showInputMessage="1" showErrorMessage="1" xr:uid="{00000000-0002-0000-0300-00004E0D0000}">
          <x14:formula1>
            <xm:f>項目!C17:$QKI$327681</xm:f>
          </x14:formula1>
          <xm:sqref>QKQ327685:QKQ327708</xm:sqref>
        </x14:dataValidation>
        <x14:dataValidation type="list" allowBlank="1" showInputMessage="1" showErrorMessage="1" xr:uid="{00000000-0002-0000-0300-00004F0D0000}">
          <x14:formula1>
            <xm:f>項目!C17:$QUE$327681</xm:f>
          </x14:formula1>
          <xm:sqref>QUM327685:QUM327708</xm:sqref>
        </x14:dataValidation>
        <x14:dataValidation type="list" allowBlank="1" showInputMessage="1" showErrorMessage="1" xr:uid="{00000000-0002-0000-0300-0000500D0000}">
          <x14:formula1>
            <xm:f>項目!C17:$REA$327681</xm:f>
          </x14:formula1>
          <xm:sqref>REI327685:REI327708</xm:sqref>
        </x14:dataValidation>
        <x14:dataValidation type="list" allowBlank="1" showInputMessage="1" showErrorMessage="1" xr:uid="{00000000-0002-0000-0300-0000510D0000}">
          <x14:formula1>
            <xm:f>項目!C17:$RNW$327681</xm:f>
          </x14:formula1>
          <xm:sqref>ROE327685:ROE327708</xm:sqref>
        </x14:dataValidation>
        <x14:dataValidation type="list" allowBlank="1" showInputMessage="1" showErrorMessage="1" xr:uid="{00000000-0002-0000-0300-0000520D0000}">
          <x14:formula1>
            <xm:f>項目!C17:$RXS$327681</xm:f>
          </x14:formula1>
          <xm:sqref>RYA327685:RYA327708</xm:sqref>
        </x14:dataValidation>
        <x14:dataValidation type="list" allowBlank="1" showInputMessage="1" showErrorMessage="1" xr:uid="{00000000-0002-0000-0300-0000530D0000}">
          <x14:formula1>
            <xm:f>項目!C17:$SHO$327681</xm:f>
          </x14:formula1>
          <xm:sqref>SHW327685:SHW327708</xm:sqref>
        </x14:dataValidation>
        <x14:dataValidation type="list" allowBlank="1" showInputMessage="1" showErrorMessage="1" xr:uid="{00000000-0002-0000-0300-0000540D0000}">
          <x14:formula1>
            <xm:f>項目!C17:$SRK$327681</xm:f>
          </x14:formula1>
          <xm:sqref>SRS327685:SRS327708</xm:sqref>
        </x14:dataValidation>
        <x14:dataValidation type="list" allowBlank="1" showInputMessage="1" showErrorMessage="1" xr:uid="{00000000-0002-0000-0300-0000550D0000}">
          <x14:formula1>
            <xm:f>項目!C17:$TBG$327681</xm:f>
          </x14:formula1>
          <xm:sqref>TBO327685:TBO327708</xm:sqref>
        </x14:dataValidation>
        <x14:dataValidation type="list" allowBlank="1" showInputMessage="1" showErrorMessage="1" xr:uid="{00000000-0002-0000-0300-0000560D0000}">
          <x14:formula1>
            <xm:f>項目!C17:$TLC$327681</xm:f>
          </x14:formula1>
          <xm:sqref>TLK327685:TLK327708</xm:sqref>
        </x14:dataValidation>
        <x14:dataValidation type="list" allowBlank="1" showInputMessage="1" showErrorMessage="1" xr:uid="{00000000-0002-0000-0300-0000570D0000}">
          <x14:formula1>
            <xm:f>項目!C17:$TUY$327681</xm:f>
          </x14:formula1>
          <xm:sqref>TVG327685:TVG327708</xm:sqref>
        </x14:dataValidation>
        <x14:dataValidation type="list" allowBlank="1" showInputMessage="1" showErrorMessage="1" xr:uid="{00000000-0002-0000-0300-0000580D0000}">
          <x14:formula1>
            <xm:f>項目!C17:$UEU$327681</xm:f>
          </x14:formula1>
          <xm:sqref>UFC327685:UFC327708</xm:sqref>
        </x14:dataValidation>
        <x14:dataValidation type="list" allowBlank="1" showInputMessage="1" showErrorMessage="1" xr:uid="{00000000-0002-0000-0300-0000590D0000}">
          <x14:formula1>
            <xm:f>項目!C17:$UOQ$327681</xm:f>
          </x14:formula1>
          <xm:sqref>UOY327685:UOY327708</xm:sqref>
        </x14:dataValidation>
        <x14:dataValidation type="list" allowBlank="1" showInputMessage="1" showErrorMessage="1" xr:uid="{00000000-0002-0000-0300-00005A0D0000}">
          <x14:formula1>
            <xm:f>項目!C17:$UYM$327681</xm:f>
          </x14:formula1>
          <xm:sqref>UYU327685:UYU327708</xm:sqref>
        </x14:dataValidation>
        <x14:dataValidation type="list" allowBlank="1" showInputMessage="1" showErrorMessage="1" xr:uid="{00000000-0002-0000-0300-00005B0D0000}">
          <x14:formula1>
            <xm:f>項目!C17:$VII$327681</xm:f>
          </x14:formula1>
          <xm:sqref>VIQ327685:VIQ327708</xm:sqref>
        </x14:dataValidation>
        <x14:dataValidation type="list" allowBlank="1" showInputMessage="1" showErrorMessage="1" xr:uid="{00000000-0002-0000-0300-00005C0D0000}">
          <x14:formula1>
            <xm:f>項目!C17:$VSE$327681</xm:f>
          </x14:formula1>
          <xm:sqref>VSM327685:VSM327708</xm:sqref>
        </x14:dataValidation>
        <x14:dataValidation type="list" allowBlank="1" showInputMessage="1" showErrorMessage="1" xr:uid="{00000000-0002-0000-0300-00005D0D0000}">
          <x14:formula1>
            <xm:f>項目!C17:$WCA$327681</xm:f>
          </x14:formula1>
          <xm:sqref>WCI327685:WCI327708</xm:sqref>
        </x14:dataValidation>
        <x14:dataValidation type="list" allowBlank="1" showInputMessage="1" showErrorMessage="1" xr:uid="{00000000-0002-0000-0300-00005E0D0000}">
          <x14:formula1>
            <xm:f>項目!C17:$WLW$327681</xm:f>
          </x14:formula1>
          <xm:sqref>WME327685:WME327708</xm:sqref>
        </x14:dataValidation>
        <x14:dataValidation type="list" allowBlank="1" showInputMessage="1" showErrorMessage="1" xr:uid="{00000000-0002-0000-0300-00005F0D0000}">
          <x14:formula1>
            <xm:f>項目!C17:$WVS$327681</xm:f>
          </x14:formula1>
          <xm:sqref>WWA327685:WWA327708</xm:sqref>
        </x14:dataValidation>
        <x14:dataValidation type="list" allowBlank="1" showInputMessage="1" showErrorMessage="1" xr:uid="{00000000-0002-0000-0300-0000600D0000}">
          <x14:formula1>
            <xm:f>項目!C17:$M$393217</xm:f>
          </x14:formula1>
          <xm:sqref>S393221:S393244</xm:sqref>
        </x14:dataValidation>
        <x14:dataValidation type="list" allowBlank="1" showInputMessage="1" showErrorMessage="1" xr:uid="{00000000-0002-0000-0300-0000610D0000}">
          <x14:formula1>
            <xm:f>項目!C17:$JG$393217</xm:f>
          </x14:formula1>
          <xm:sqref>JO393221:JO393244</xm:sqref>
        </x14:dataValidation>
        <x14:dataValidation type="list" allowBlank="1" showInputMessage="1" showErrorMessage="1" xr:uid="{00000000-0002-0000-0300-0000620D0000}">
          <x14:formula1>
            <xm:f>項目!C17:$TC$393217</xm:f>
          </x14:formula1>
          <xm:sqref>TK393221:TK393244</xm:sqref>
        </x14:dataValidation>
        <x14:dataValidation type="list" allowBlank="1" showInputMessage="1" showErrorMessage="1" xr:uid="{00000000-0002-0000-0300-0000630D0000}">
          <x14:formula1>
            <xm:f>項目!C17:$ACY$393217</xm:f>
          </x14:formula1>
          <xm:sqref>ADG393221:ADG393244</xm:sqref>
        </x14:dataValidation>
        <x14:dataValidation type="list" allowBlank="1" showInputMessage="1" showErrorMessage="1" xr:uid="{00000000-0002-0000-0300-0000640D0000}">
          <x14:formula1>
            <xm:f>項目!C17:$AMU$393217</xm:f>
          </x14:formula1>
          <xm:sqref>ANC393221:ANC393244</xm:sqref>
        </x14:dataValidation>
        <x14:dataValidation type="list" allowBlank="1" showInputMessage="1" showErrorMessage="1" xr:uid="{00000000-0002-0000-0300-0000650D0000}">
          <x14:formula1>
            <xm:f>項目!C17:$AWQ$393217</xm:f>
          </x14:formula1>
          <xm:sqref>AWY393221:AWY393244</xm:sqref>
        </x14:dataValidation>
        <x14:dataValidation type="list" allowBlank="1" showInputMessage="1" showErrorMessage="1" xr:uid="{00000000-0002-0000-0300-0000660D0000}">
          <x14:formula1>
            <xm:f>項目!C17:$BGM$393217</xm:f>
          </x14:formula1>
          <xm:sqref>BGU393221:BGU393244</xm:sqref>
        </x14:dataValidation>
        <x14:dataValidation type="list" allowBlank="1" showInputMessage="1" showErrorMessage="1" xr:uid="{00000000-0002-0000-0300-0000670D0000}">
          <x14:formula1>
            <xm:f>項目!C17:$BQI$393217</xm:f>
          </x14:formula1>
          <xm:sqref>BQQ393221:BQQ393244</xm:sqref>
        </x14:dataValidation>
        <x14:dataValidation type="list" allowBlank="1" showInputMessage="1" showErrorMessage="1" xr:uid="{00000000-0002-0000-0300-0000680D0000}">
          <x14:formula1>
            <xm:f>項目!C17:$CAE$393217</xm:f>
          </x14:formula1>
          <xm:sqref>CAM393221:CAM393244</xm:sqref>
        </x14:dataValidation>
        <x14:dataValidation type="list" allowBlank="1" showInputMessage="1" showErrorMessage="1" xr:uid="{00000000-0002-0000-0300-0000690D0000}">
          <x14:formula1>
            <xm:f>項目!C17:$CKA$393217</xm:f>
          </x14:formula1>
          <xm:sqref>CKI393221:CKI393244</xm:sqref>
        </x14:dataValidation>
        <x14:dataValidation type="list" allowBlank="1" showInputMessage="1" showErrorMessage="1" xr:uid="{00000000-0002-0000-0300-00006A0D0000}">
          <x14:formula1>
            <xm:f>項目!C17:$CTW$393217</xm:f>
          </x14:formula1>
          <xm:sqref>CUE393221:CUE393244</xm:sqref>
        </x14:dataValidation>
        <x14:dataValidation type="list" allowBlank="1" showInputMessage="1" showErrorMessage="1" xr:uid="{00000000-0002-0000-0300-00006B0D0000}">
          <x14:formula1>
            <xm:f>項目!C17:$DDS$393217</xm:f>
          </x14:formula1>
          <xm:sqref>DEA393221:DEA393244</xm:sqref>
        </x14:dataValidation>
        <x14:dataValidation type="list" allowBlank="1" showInputMessage="1" showErrorMessage="1" xr:uid="{00000000-0002-0000-0300-00006C0D0000}">
          <x14:formula1>
            <xm:f>項目!C17:$DNO$393217</xm:f>
          </x14:formula1>
          <xm:sqref>DNW393221:DNW393244</xm:sqref>
        </x14:dataValidation>
        <x14:dataValidation type="list" allowBlank="1" showInputMessage="1" showErrorMessage="1" xr:uid="{00000000-0002-0000-0300-00006D0D0000}">
          <x14:formula1>
            <xm:f>項目!C17:$DXK$393217</xm:f>
          </x14:formula1>
          <xm:sqref>DXS393221:DXS393244</xm:sqref>
        </x14:dataValidation>
        <x14:dataValidation type="list" allowBlank="1" showInputMessage="1" showErrorMessage="1" xr:uid="{00000000-0002-0000-0300-00006E0D0000}">
          <x14:formula1>
            <xm:f>項目!C17:$EHG$393217</xm:f>
          </x14:formula1>
          <xm:sqref>EHO393221:EHO393244</xm:sqref>
        </x14:dataValidation>
        <x14:dataValidation type="list" allowBlank="1" showInputMessage="1" showErrorMessage="1" xr:uid="{00000000-0002-0000-0300-00006F0D0000}">
          <x14:formula1>
            <xm:f>項目!C17:$ERC$393217</xm:f>
          </x14:formula1>
          <xm:sqref>ERK393221:ERK393244</xm:sqref>
        </x14:dataValidation>
        <x14:dataValidation type="list" allowBlank="1" showInputMessage="1" showErrorMessage="1" xr:uid="{00000000-0002-0000-0300-0000700D0000}">
          <x14:formula1>
            <xm:f>項目!C17:$FAY$393217</xm:f>
          </x14:formula1>
          <xm:sqref>FBG393221:FBG393244</xm:sqref>
        </x14:dataValidation>
        <x14:dataValidation type="list" allowBlank="1" showInputMessage="1" showErrorMessage="1" xr:uid="{00000000-0002-0000-0300-0000710D0000}">
          <x14:formula1>
            <xm:f>項目!C17:$FKU$393217</xm:f>
          </x14:formula1>
          <xm:sqref>FLC393221:FLC393244</xm:sqref>
        </x14:dataValidation>
        <x14:dataValidation type="list" allowBlank="1" showInputMessage="1" showErrorMessage="1" xr:uid="{00000000-0002-0000-0300-0000720D0000}">
          <x14:formula1>
            <xm:f>項目!C17:$FUQ$393217</xm:f>
          </x14:formula1>
          <xm:sqref>FUY393221:FUY393244</xm:sqref>
        </x14:dataValidation>
        <x14:dataValidation type="list" allowBlank="1" showInputMessage="1" showErrorMessage="1" xr:uid="{00000000-0002-0000-0300-0000730D0000}">
          <x14:formula1>
            <xm:f>項目!C17:$GEM$393217</xm:f>
          </x14:formula1>
          <xm:sqref>GEU393221:GEU393244</xm:sqref>
        </x14:dataValidation>
        <x14:dataValidation type="list" allowBlank="1" showInputMessage="1" showErrorMessage="1" xr:uid="{00000000-0002-0000-0300-0000740D0000}">
          <x14:formula1>
            <xm:f>項目!C17:$GOI$393217</xm:f>
          </x14:formula1>
          <xm:sqref>GOQ393221:GOQ393244</xm:sqref>
        </x14:dataValidation>
        <x14:dataValidation type="list" allowBlank="1" showInputMessage="1" showErrorMessage="1" xr:uid="{00000000-0002-0000-0300-0000750D0000}">
          <x14:formula1>
            <xm:f>項目!C17:$GYE$393217</xm:f>
          </x14:formula1>
          <xm:sqref>GYM393221:GYM393244</xm:sqref>
        </x14:dataValidation>
        <x14:dataValidation type="list" allowBlank="1" showInputMessage="1" showErrorMessage="1" xr:uid="{00000000-0002-0000-0300-0000760D0000}">
          <x14:formula1>
            <xm:f>項目!C17:$HIA$393217</xm:f>
          </x14:formula1>
          <xm:sqref>HII393221:HII393244</xm:sqref>
        </x14:dataValidation>
        <x14:dataValidation type="list" allowBlank="1" showInputMessage="1" showErrorMessage="1" xr:uid="{00000000-0002-0000-0300-0000770D0000}">
          <x14:formula1>
            <xm:f>項目!C17:$HRW$393217</xm:f>
          </x14:formula1>
          <xm:sqref>HSE393221:HSE393244</xm:sqref>
        </x14:dataValidation>
        <x14:dataValidation type="list" allowBlank="1" showInputMessage="1" showErrorMessage="1" xr:uid="{00000000-0002-0000-0300-0000780D0000}">
          <x14:formula1>
            <xm:f>項目!C17:$IBS$393217</xm:f>
          </x14:formula1>
          <xm:sqref>ICA393221:ICA393244</xm:sqref>
        </x14:dataValidation>
        <x14:dataValidation type="list" allowBlank="1" showInputMessage="1" showErrorMessage="1" xr:uid="{00000000-0002-0000-0300-0000790D0000}">
          <x14:formula1>
            <xm:f>項目!C17:$ILO$393217</xm:f>
          </x14:formula1>
          <xm:sqref>ILW393221:ILW393244</xm:sqref>
        </x14:dataValidation>
        <x14:dataValidation type="list" allowBlank="1" showInputMessage="1" showErrorMessage="1" xr:uid="{00000000-0002-0000-0300-00007A0D0000}">
          <x14:formula1>
            <xm:f>項目!C17:$IVK$393217</xm:f>
          </x14:formula1>
          <xm:sqref>IVS393221:IVS393244</xm:sqref>
        </x14:dataValidation>
        <x14:dataValidation type="list" allowBlank="1" showInputMessage="1" showErrorMessage="1" xr:uid="{00000000-0002-0000-0300-00007B0D0000}">
          <x14:formula1>
            <xm:f>項目!C17:$JFG$393217</xm:f>
          </x14:formula1>
          <xm:sqref>JFO393221:JFO393244</xm:sqref>
        </x14:dataValidation>
        <x14:dataValidation type="list" allowBlank="1" showInputMessage="1" showErrorMessage="1" xr:uid="{00000000-0002-0000-0300-00007C0D0000}">
          <x14:formula1>
            <xm:f>項目!C17:$JPC$393217</xm:f>
          </x14:formula1>
          <xm:sqref>JPK393221:JPK393244</xm:sqref>
        </x14:dataValidation>
        <x14:dataValidation type="list" allowBlank="1" showInputMessage="1" showErrorMessage="1" xr:uid="{00000000-0002-0000-0300-00007D0D0000}">
          <x14:formula1>
            <xm:f>項目!C17:$JYY$393217</xm:f>
          </x14:formula1>
          <xm:sqref>JZG393221:JZG393244</xm:sqref>
        </x14:dataValidation>
        <x14:dataValidation type="list" allowBlank="1" showInputMessage="1" showErrorMessage="1" xr:uid="{00000000-0002-0000-0300-00007E0D0000}">
          <x14:formula1>
            <xm:f>項目!C17:$KIU$393217</xm:f>
          </x14:formula1>
          <xm:sqref>KJC393221:KJC393244</xm:sqref>
        </x14:dataValidation>
        <x14:dataValidation type="list" allowBlank="1" showInputMessage="1" showErrorMessage="1" xr:uid="{00000000-0002-0000-0300-00007F0D0000}">
          <x14:formula1>
            <xm:f>項目!C17:$KSQ$393217</xm:f>
          </x14:formula1>
          <xm:sqref>KSY393221:KSY393244</xm:sqref>
        </x14:dataValidation>
        <x14:dataValidation type="list" allowBlank="1" showInputMessage="1" showErrorMessage="1" xr:uid="{00000000-0002-0000-0300-0000800D0000}">
          <x14:formula1>
            <xm:f>項目!C17:$LCM$393217</xm:f>
          </x14:formula1>
          <xm:sqref>LCU393221:LCU393244</xm:sqref>
        </x14:dataValidation>
        <x14:dataValidation type="list" allowBlank="1" showInputMessage="1" showErrorMessage="1" xr:uid="{00000000-0002-0000-0300-0000810D0000}">
          <x14:formula1>
            <xm:f>項目!C17:$LMI$393217</xm:f>
          </x14:formula1>
          <xm:sqref>LMQ393221:LMQ393244</xm:sqref>
        </x14:dataValidation>
        <x14:dataValidation type="list" allowBlank="1" showInputMessage="1" showErrorMessage="1" xr:uid="{00000000-0002-0000-0300-0000820D0000}">
          <x14:formula1>
            <xm:f>項目!C17:$LWE$393217</xm:f>
          </x14:formula1>
          <xm:sqref>LWM393221:LWM393244</xm:sqref>
        </x14:dataValidation>
        <x14:dataValidation type="list" allowBlank="1" showInputMessage="1" showErrorMessage="1" xr:uid="{00000000-0002-0000-0300-0000830D0000}">
          <x14:formula1>
            <xm:f>項目!C17:$MGA$393217</xm:f>
          </x14:formula1>
          <xm:sqref>MGI393221:MGI393244</xm:sqref>
        </x14:dataValidation>
        <x14:dataValidation type="list" allowBlank="1" showInputMessage="1" showErrorMessage="1" xr:uid="{00000000-0002-0000-0300-0000840D0000}">
          <x14:formula1>
            <xm:f>項目!C17:$MPW$393217</xm:f>
          </x14:formula1>
          <xm:sqref>MQE393221:MQE393244</xm:sqref>
        </x14:dataValidation>
        <x14:dataValidation type="list" allowBlank="1" showInputMessage="1" showErrorMessage="1" xr:uid="{00000000-0002-0000-0300-0000850D0000}">
          <x14:formula1>
            <xm:f>項目!C17:$MZS$393217</xm:f>
          </x14:formula1>
          <xm:sqref>NAA393221:NAA393244</xm:sqref>
        </x14:dataValidation>
        <x14:dataValidation type="list" allowBlank="1" showInputMessage="1" showErrorMessage="1" xr:uid="{00000000-0002-0000-0300-0000860D0000}">
          <x14:formula1>
            <xm:f>項目!C17:$NJO$393217</xm:f>
          </x14:formula1>
          <xm:sqref>NJW393221:NJW393244</xm:sqref>
        </x14:dataValidation>
        <x14:dataValidation type="list" allowBlank="1" showInputMessage="1" showErrorMessage="1" xr:uid="{00000000-0002-0000-0300-0000870D0000}">
          <x14:formula1>
            <xm:f>項目!C17:$NTK$393217</xm:f>
          </x14:formula1>
          <xm:sqref>NTS393221:NTS393244</xm:sqref>
        </x14:dataValidation>
        <x14:dataValidation type="list" allowBlank="1" showInputMessage="1" showErrorMessage="1" xr:uid="{00000000-0002-0000-0300-0000880D0000}">
          <x14:formula1>
            <xm:f>項目!C17:$ODG$393217</xm:f>
          </x14:formula1>
          <xm:sqref>ODO393221:ODO393244</xm:sqref>
        </x14:dataValidation>
        <x14:dataValidation type="list" allowBlank="1" showInputMessage="1" showErrorMessage="1" xr:uid="{00000000-0002-0000-0300-0000890D0000}">
          <x14:formula1>
            <xm:f>項目!C17:$ONC$393217</xm:f>
          </x14:formula1>
          <xm:sqref>ONK393221:ONK393244</xm:sqref>
        </x14:dataValidation>
        <x14:dataValidation type="list" allowBlank="1" showInputMessage="1" showErrorMessage="1" xr:uid="{00000000-0002-0000-0300-00008A0D0000}">
          <x14:formula1>
            <xm:f>項目!C17:$OWY$393217</xm:f>
          </x14:formula1>
          <xm:sqref>OXG393221:OXG393244</xm:sqref>
        </x14:dataValidation>
        <x14:dataValidation type="list" allowBlank="1" showInputMessage="1" showErrorMessage="1" xr:uid="{00000000-0002-0000-0300-00008B0D0000}">
          <x14:formula1>
            <xm:f>項目!C17:$PGU$393217</xm:f>
          </x14:formula1>
          <xm:sqref>PHC393221:PHC393244</xm:sqref>
        </x14:dataValidation>
        <x14:dataValidation type="list" allowBlank="1" showInputMessage="1" showErrorMessage="1" xr:uid="{00000000-0002-0000-0300-00008C0D0000}">
          <x14:formula1>
            <xm:f>項目!C17:$PQQ$393217</xm:f>
          </x14:formula1>
          <xm:sqref>PQY393221:PQY393244</xm:sqref>
        </x14:dataValidation>
        <x14:dataValidation type="list" allowBlank="1" showInputMessage="1" showErrorMessage="1" xr:uid="{00000000-0002-0000-0300-00008D0D0000}">
          <x14:formula1>
            <xm:f>項目!C17:$QAM$393217</xm:f>
          </x14:formula1>
          <xm:sqref>QAU393221:QAU393244</xm:sqref>
        </x14:dataValidation>
        <x14:dataValidation type="list" allowBlank="1" showInputMessage="1" showErrorMessage="1" xr:uid="{00000000-0002-0000-0300-00008E0D0000}">
          <x14:formula1>
            <xm:f>項目!C17:$QKI$393217</xm:f>
          </x14:formula1>
          <xm:sqref>QKQ393221:QKQ393244</xm:sqref>
        </x14:dataValidation>
        <x14:dataValidation type="list" allowBlank="1" showInputMessage="1" showErrorMessage="1" xr:uid="{00000000-0002-0000-0300-00008F0D0000}">
          <x14:formula1>
            <xm:f>項目!C17:$QUE$393217</xm:f>
          </x14:formula1>
          <xm:sqref>QUM393221:QUM393244</xm:sqref>
        </x14:dataValidation>
        <x14:dataValidation type="list" allowBlank="1" showInputMessage="1" showErrorMessage="1" xr:uid="{00000000-0002-0000-0300-0000900D0000}">
          <x14:formula1>
            <xm:f>項目!C17:$REA$393217</xm:f>
          </x14:formula1>
          <xm:sqref>REI393221:REI393244</xm:sqref>
        </x14:dataValidation>
        <x14:dataValidation type="list" allowBlank="1" showInputMessage="1" showErrorMessage="1" xr:uid="{00000000-0002-0000-0300-0000910D0000}">
          <x14:formula1>
            <xm:f>項目!C17:$RNW$393217</xm:f>
          </x14:formula1>
          <xm:sqref>ROE393221:ROE393244</xm:sqref>
        </x14:dataValidation>
        <x14:dataValidation type="list" allowBlank="1" showInputMessage="1" showErrorMessage="1" xr:uid="{00000000-0002-0000-0300-0000920D0000}">
          <x14:formula1>
            <xm:f>項目!C17:$RXS$393217</xm:f>
          </x14:formula1>
          <xm:sqref>RYA393221:RYA393244</xm:sqref>
        </x14:dataValidation>
        <x14:dataValidation type="list" allowBlank="1" showInputMessage="1" showErrorMessage="1" xr:uid="{00000000-0002-0000-0300-0000930D0000}">
          <x14:formula1>
            <xm:f>項目!C17:$SHO$393217</xm:f>
          </x14:formula1>
          <xm:sqref>SHW393221:SHW393244</xm:sqref>
        </x14:dataValidation>
        <x14:dataValidation type="list" allowBlank="1" showInputMessage="1" showErrorMessage="1" xr:uid="{00000000-0002-0000-0300-0000940D0000}">
          <x14:formula1>
            <xm:f>項目!C17:$SRK$393217</xm:f>
          </x14:formula1>
          <xm:sqref>SRS393221:SRS393244</xm:sqref>
        </x14:dataValidation>
        <x14:dataValidation type="list" allowBlank="1" showInputMessage="1" showErrorMessage="1" xr:uid="{00000000-0002-0000-0300-0000950D0000}">
          <x14:formula1>
            <xm:f>項目!C17:$TBG$393217</xm:f>
          </x14:formula1>
          <xm:sqref>TBO393221:TBO393244</xm:sqref>
        </x14:dataValidation>
        <x14:dataValidation type="list" allowBlank="1" showInputMessage="1" showErrorMessage="1" xr:uid="{00000000-0002-0000-0300-0000960D0000}">
          <x14:formula1>
            <xm:f>項目!C17:$TLC$393217</xm:f>
          </x14:formula1>
          <xm:sqref>TLK393221:TLK393244</xm:sqref>
        </x14:dataValidation>
        <x14:dataValidation type="list" allowBlank="1" showInputMessage="1" showErrorMessage="1" xr:uid="{00000000-0002-0000-0300-0000970D0000}">
          <x14:formula1>
            <xm:f>項目!C17:$TUY$393217</xm:f>
          </x14:formula1>
          <xm:sqref>TVG393221:TVG393244</xm:sqref>
        </x14:dataValidation>
        <x14:dataValidation type="list" allowBlank="1" showInputMessage="1" showErrorMessage="1" xr:uid="{00000000-0002-0000-0300-0000980D0000}">
          <x14:formula1>
            <xm:f>項目!C17:$UEU$393217</xm:f>
          </x14:formula1>
          <xm:sqref>UFC393221:UFC393244</xm:sqref>
        </x14:dataValidation>
        <x14:dataValidation type="list" allowBlank="1" showInputMessage="1" showErrorMessage="1" xr:uid="{00000000-0002-0000-0300-0000990D0000}">
          <x14:formula1>
            <xm:f>項目!C17:$UOQ$393217</xm:f>
          </x14:formula1>
          <xm:sqref>UOY393221:UOY393244</xm:sqref>
        </x14:dataValidation>
        <x14:dataValidation type="list" allowBlank="1" showInputMessage="1" showErrorMessage="1" xr:uid="{00000000-0002-0000-0300-00009A0D0000}">
          <x14:formula1>
            <xm:f>項目!C17:$UYM$393217</xm:f>
          </x14:formula1>
          <xm:sqref>UYU393221:UYU393244</xm:sqref>
        </x14:dataValidation>
        <x14:dataValidation type="list" allowBlank="1" showInputMessage="1" showErrorMessage="1" xr:uid="{00000000-0002-0000-0300-00009B0D0000}">
          <x14:formula1>
            <xm:f>項目!C17:$VII$393217</xm:f>
          </x14:formula1>
          <xm:sqref>VIQ393221:VIQ393244</xm:sqref>
        </x14:dataValidation>
        <x14:dataValidation type="list" allowBlank="1" showInputMessage="1" showErrorMessage="1" xr:uid="{00000000-0002-0000-0300-00009C0D0000}">
          <x14:formula1>
            <xm:f>項目!C17:$VSE$393217</xm:f>
          </x14:formula1>
          <xm:sqref>VSM393221:VSM393244</xm:sqref>
        </x14:dataValidation>
        <x14:dataValidation type="list" allowBlank="1" showInputMessage="1" showErrorMessage="1" xr:uid="{00000000-0002-0000-0300-00009D0D0000}">
          <x14:formula1>
            <xm:f>項目!C17:$WCA$393217</xm:f>
          </x14:formula1>
          <xm:sqref>WCI393221:WCI393244</xm:sqref>
        </x14:dataValidation>
        <x14:dataValidation type="list" allowBlank="1" showInputMessage="1" showErrorMessage="1" xr:uid="{00000000-0002-0000-0300-00009E0D0000}">
          <x14:formula1>
            <xm:f>項目!C17:$WLW$393217</xm:f>
          </x14:formula1>
          <xm:sqref>WME393221:WME393244</xm:sqref>
        </x14:dataValidation>
        <x14:dataValidation type="list" allowBlank="1" showInputMessage="1" showErrorMessage="1" xr:uid="{00000000-0002-0000-0300-00009F0D0000}">
          <x14:formula1>
            <xm:f>項目!C17:$WVS$393217</xm:f>
          </x14:formula1>
          <xm:sqref>WWA393221:WWA393244</xm:sqref>
        </x14:dataValidation>
        <x14:dataValidation type="list" allowBlank="1" showInputMessage="1" showErrorMessage="1" xr:uid="{00000000-0002-0000-0300-0000A00D0000}">
          <x14:formula1>
            <xm:f>項目!C17:$M$458753</xm:f>
          </x14:formula1>
          <xm:sqref>S458757:S458780</xm:sqref>
        </x14:dataValidation>
        <x14:dataValidation type="list" allowBlank="1" showInputMessage="1" showErrorMessage="1" xr:uid="{00000000-0002-0000-0300-0000A10D0000}">
          <x14:formula1>
            <xm:f>項目!C17:$JG$458753</xm:f>
          </x14:formula1>
          <xm:sqref>JO458757:JO458780</xm:sqref>
        </x14:dataValidation>
        <x14:dataValidation type="list" allowBlank="1" showInputMessage="1" showErrorMessage="1" xr:uid="{00000000-0002-0000-0300-0000A20D0000}">
          <x14:formula1>
            <xm:f>項目!C17:$TC$458753</xm:f>
          </x14:formula1>
          <xm:sqref>TK458757:TK458780</xm:sqref>
        </x14:dataValidation>
        <x14:dataValidation type="list" allowBlank="1" showInputMessage="1" showErrorMessage="1" xr:uid="{00000000-0002-0000-0300-0000A30D0000}">
          <x14:formula1>
            <xm:f>項目!C17:$ACY$458753</xm:f>
          </x14:formula1>
          <xm:sqref>ADG458757:ADG458780</xm:sqref>
        </x14:dataValidation>
        <x14:dataValidation type="list" allowBlank="1" showInputMessage="1" showErrorMessage="1" xr:uid="{00000000-0002-0000-0300-0000A40D0000}">
          <x14:formula1>
            <xm:f>項目!C17:$AMU$458753</xm:f>
          </x14:formula1>
          <xm:sqref>ANC458757:ANC458780</xm:sqref>
        </x14:dataValidation>
        <x14:dataValidation type="list" allowBlank="1" showInputMessage="1" showErrorMessage="1" xr:uid="{00000000-0002-0000-0300-0000A50D0000}">
          <x14:formula1>
            <xm:f>項目!C17:$AWQ$458753</xm:f>
          </x14:formula1>
          <xm:sqref>AWY458757:AWY458780</xm:sqref>
        </x14:dataValidation>
        <x14:dataValidation type="list" allowBlank="1" showInputMessage="1" showErrorMessage="1" xr:uid="{00000000-0002-0000-0300-0000A60D0000}">
          <x14:formula1>
            <xm:f>項目!C17:$BGM$458753</xm:f>
          </x14:formula1>
          <xm:sqref>BGU458757:BGU458780</xm:sqref>
        </x14:dataValidation>
        <x14:dataValidation type="list" allowBlank="1" showInputMessage="1" showErrorMessage="1" xr:uid="{00000000-0002-0000-0300-0000A70D0000}">
          <x14:formula1>
            <xm:f>項目!C17:$BQI$458753</xm:f>
          </x14:formula1>
          <xm:sqref>BQQ458757:BQQ458780</xm:sqref>
        </x14:dataValidation>
        <x14:dataValidation type="list" allowBlank="1" showInputMessage="1" showErrorMessage="1" xr:uid="{00000000-0002-0000-0300-0000A80D0000}">
          <x14:formula1>
            <xm:f>項目!C17:$CAE$458753</xm:f>
          </x14:formula1>
          <xm:sqref>CAM458757:CAM458780</xm:sqref>
        </x14:dataValidation>
        <x14:dataValidation type="list" allowBlank="1" showInputMessage="1" showErrorMessage="1" xr:uid="{00000000-0002-0000-0300-0000A90D0000}">
          <x14:formula1>
            <xm:f>項目!C17:$CKA$458753</xm:f>
          </x14:formula1>
          <xm:sqref>CKI458757:CKI458780</xm:sqref>
        </x14:dataValidation>
        <x14:dataValidation type="list" allowBlank="1" showInputMessage="1" showErrorMessage="1" xr:uid="{00000000-0002-0000-0300-0000AA0D0000}">
          <x14:formula1>
            <xm:f>項目!C17:$CTW$458753</xm:f>
          </x14:formula1>
          <xm:sqref>CUE458757:CUE458780</xm:sqref>
        </x14:dataValidation>
        <x14:dataValidation type="list" allowBlank="1" showInputMessage="1" showErrorMessage="1" xr:uid="{00000000-0002-0000-0300-0000AB0D0000}">
          <x14:formula1>
            <xm:f>項目!C17:$DDS$458753</xm:f>
          </x14:formula1>
          <xm:sqref>DEA458757:DEA458780</xm:sqref>
        </x14:dataValidation>
        <x14:dataValidation type="list" allowBlank="1" showInputMessage="1" showErrorMessage="1" xr:uid="{00000000-0002-0000-0300-0000AC0D0000}">
          <x14:formula1>
            <xm:f>項目!C17:$DNO$458753</xm:f>
          </x14:formula1>
          <xm:sqref>DNW458757:DNW458780</xm:sqref>
        </x14:dataValidation>
        <x14:dataValidation type="list" allowBlank="1" showInputMessage="1" showErrorMessage="1" xr:uid="{00000000-0002-0000-0300-0000AD0D0000}">
          <x14:formula1>
            <xm:f>項目!C17:$DXK$458753</xm:f>
          </x14:formula1>
          <xm:sqref>DXS458757:DXS458780</xm:sqref>
        </x14:dataValidation>
        <x14:dataValidation type="list" allowBlank="1" showInputMessage="1" showErrorMessage="1" xr:uid="{00000000-0002-0000-0300-0000AE0D0000}">
          <x14:formula1>
            <xm:f>項目!C17:$EHG$458753</xm:f>
          </x14:formula1>
          <xm:sqref>EHO458757:EHO458780</xm:sqref>
        </x14:dataValidation>
        <x14:dataValidation type="list" allowBlank="1" showInputMessage="1" showErrorMessage="1" xr:uid="{00000000-0002-0000-0300-0000AF0D0000}">
          <x14:formula1>
            <xm:f>項目!C17:$ERC$458753</xm:f>
          </x14:formula1>
          <xm:sqref>ERK458757:ERK458780</xm:sqref>
        </x14:dataValidation>
        <x14:dataValidation type="list" allowBlank="1" showInputMessage="1" showErrorMessage="1" xr:uid="{00000000-0002-0000-0300-0000B00D0000}">
          <x14:formula1>
            <xm:f>項目!C17:$FAY$458753</xm:f>
          </x14:formula1>
          <xm:sqref>FBG458757:FBG458780</xm:sqref>
        </x14:dataValidation>
        <x14:dataValidation type="list" allowBlank="1" showInputMessage="1" showErrorMessage="1" xr:uid="{00000000-0002-0000-0300-0000B10D0000}">
          <x14:formula1>
            <xm:f>項目!C17:$FKU$458753</xm:f>
          </x14:formula1>
          <xm:sqref>FLC458757:FLC458780</xm:sqref>
        </x14:dataValidation>
        <x14:dataValidation type="list" allowBlank="1" showInputMessage="1" showErrorMessage="1" xr:uid="{00000000-0002-0000-0300-0000B20D0000}">
          <x14:formula1>
            <xm:f>項目!C17:$FUQ$458753</xm:f>
          </x14:formula1>
          <xm:sqref>FUY458757:FUY458780</xm:sqref>
        </x14:dataValidation>
        <x14:dataValidation type="list" allowBlank="1" showInputMessage="1" showErrorMessage="1" xr:uid="{00000000-0002-0000-0300-0000B30D0000}">
          <x14:formula1>
            <xm:f>項目!C17:$GEM$458753</xm:f>
          </x14:formula1>
          <xm:sqref>GEU458757:GEU458780</xm:sqref>
        </x14:dataValidation>
        <x14:dataValidation type="list" allowBlank="1" showInputMessage="1" showErrorMessage="1" xr:uid="{00000000-0002-0000-0300-0000B40D0000}">
          <x14:formula1>
            <xm:f>項目!C17:$GOI$458753</xm:f>
          </x14:formula1>
          <xm:sqref>GOQ458757:GOQ458780</xm:sqref>
        </x14:dataValidation>
        <x14:dataValidation type="list" allowBlank="1" showInputMessage="1" showErrorMessage="1" xr:uid="{00000000-0002-0000-0300-0000B50D0000}">
          <x14:formula1>
            <xm:f>項目!C17:$GYE$458753</xm:f>
          </x14:formula1>
          <xm:sqref>GYM458757:GYM458780</xm:sqref>
        </x14:dataValidation>
        <x14:dataValidation type="list" allowBlank="1" showInputMessage="1" showErrorMessage="1" xr:uid="{00000000-0002-0000-0300-0000B60D0000}">
          <x14:formula1>
            <xm:f>項目!C17:$HIA$458753</xm:f>
          </x14:formula1>
          <xm:sqref>HII458757:HII458780</xm:sqref>
        </x14:dataValidation>
        <x14:dataValidation type="list" allowBlank="1" showInputMessage="1" showErrorMessage="1" xr:uid="{00000000-0002-0000-0300-0000B70D0000}">
          <x14:formula1>
            <xm:f>項目!C17:$HRW$458753</xm:f>
          </x14:formula1>
          <xm:sqref>HSE458757:HSE458780</xm:sqref>
        </x14:dataValidation>
        <x14:dataValidation type="list" allowBlank="1" showInputMessage="1" showErrorMessage="1" xr:uid="{00000000-0002-0000-0300-0000B80D0000}">
          <x14:formula1>
            <xm:f>項目!C17:$IBS$458753</xm:f>
          </x14:formula1>
          <xm:sqref>ICA458757:ICA458780</xm:sqref>
        </x14:dataValidation>
        <x14:dataValidation type="list" allowBlank="1" showInputMessage="1" showErrorMessage="1" xr:uid="{00000000-0002-0000-0300-0000B90D0000}">
          <x14:formula1>
            <xm:f>項目!C17:$ILO$458753</xm:f>
          </x14:formula1>
          <xm:sqref>ILW458757:ILW458780</xm:sqref>
        </x14:dataValidation>
        <x14:dataValidation type="list" allowBlank="1" showInputMessage="1" showErrorMessage="1" xr:uid="{00000000-0002-0000-0300-0000BA0D0000}">
          <x14:formula1>
            <xm:f>項目!C17:$IVK$458753</xm:f>
          </x14:formula1>
          <xm:sqref>IVS458757:IVS458780</xm:sqref>
        </x14:dataValidation>
        <x14:dataValidation type="list" allowBlank="1" showInputMessage="1" showErrorMessage="1" xr:uid="{00000000-0002-0000-0300-0000BB0D0000}">
          <x14:formula1>
            <xm:f>項目!C17:$JFG$458753</xm:f>
          </x14:formula1>
          <xm:sqref>JFO458757:JFO458780</xm:sqref>
        </x14:dataValidation>
        <x14:dataValidation type="list" allowBlank="1" showInputMessage="1" showErrorMessage="1" xr:uid="{00000000-0002-0000-0300-0000BC0D0000}">
          <x14:formula1>
            <xm:f>項目!C17:$JPC$458753</xm:f>
          </x14:formula1>
          <xm:sqref>JPK458757:JPK458780</xm:sqref>
        </x14:dataValidation>
        <x14:dataValidation type="list" allowBlank="1" showInputMessage="1" showErrorMessage="1" xr:uid="{00000000-0002-0000-0300-0000BD0D0000}">
          <x14:formula1>
            <xm:f>項目!C17:$JYY$458753</xm:f>
          </x14:formula1>
          <xm:sqref>JZG458757:JZG458780</xm:sqref>
        </x14:dataValidation>
        <x14:dataValidation type="list" allowBlank="1" showInputMessage="1" showErrorMessage="1" xr:uid="{00000000-0002-0000-0300-0000BE0D0000}">
          <x14:formula1>
            <xm:f>項目!C17:$KIU$458753</xm:f>
          </x14:formula1>
          <xm:sqref>KJC458757:KJC458780</xm:sqref>
        </x14:dataValidation>
        <x14:dataValidation type="list" allowBlank="1" showInputMessage="1" showErrorMessage="1" xr:uid="{00000000-0002-0000-0300-0000BF0D0000}">
          <x14:formula1>
            <xm:f>項目!C17:$KSQ$458753</xm:f>
          </x14:formula1>
          <xm:sqref>KSY458757:KSY458780</xm:sqref>
        </x14:dataValidation>
        <x14:dataValidation type="list" allowBlank="1" showInputMessage="1" showErrorMessage="1" xr:uid="{00000000-0002-0000-0300-0000C00D0000}">
          <x14:formula1>
            <xm:f>項目!C17:$LCM$458753</xm:f>
          </x14:formula1>
          <xm:sqref>LCU458757:LCU458780</xm:sqref>
        </x14:dataValidation>
        <x14:dataValidation type="list" allowBlank="1" showInputMessage="1" showErrorMessage="1" xr:uid="{00000000-0002-0000-0300-0000C10D0000}">
          <x14:formula1>
            <xm:f>項目!C17:$LMI$458753</xm:f>
          </x14:formula1>
          <xm:sqref>LMQ458757:LMQ458780</xm:sqref>
        </x14:dataValidation>
        <x14:dataValidation type="list" allowBlank="1" showInputMessage="1" showErrorMessage="1" xr:uid="{00000000-0002-0000-0300-0000C20D0000}">
          <x14:formula1>
            <xm:f>項目!C17:$LWE$458753</xm:f>
          </x14:formula1>
          <xm:sqref>LWM458757:LWM458780</xm:sqref>
        </x14:dataValidation>
        <x14:dataValidation type="list" allowBlank="1" showInputMessage="1" showErrorMessage="1" xr:uid="{00000000-0002-0000-0300-0000C30D0000}">
          <x14:formula1>
            <xm:f>項目!C17:$MGA$458753</xm:f>
          </x14:formula1>
          <xm:sqref>MGI458757:MGI458780</xm:sqref>
        </x14:dataValidation>
        <x14:dataValidation type="list" allowBlank="1" showInputMessage="1" showErrorMessage="1" xr:uid="{00000000-0002-0000-0300-0000C40D0000}">
          <x14:formula1>
            <xm:f>項目!C17:$MPW$458753</xm:f>
          </x14:formula1>
          <xm:sqref>MQE458757:MQE458780</xm:sqref>
        </x14:dataValidation>
        <x14:dataValidation type="list" allowBlank="1" showInputMessage="1" showErrorMessage="1" xr:uid="{00000000-0002-0000-0300-0000C50D0000}">
          <x14:formula1>
            <xm:f>項目!C17:$MZS$458753</xm:f>
          </x14:formula1>
          <xm:sqref>NAA458757:NAA458780</xm:sqref>
        </x14:dataValidation>
        <x14:dataValidation type="list" allowBlank="1" showInputMessage="1" showErrorMessage="1" xr:uid="{00000000-0002-0000-0300-0000C60D0000}">
          <x14:formula1>
            <xm:f>項目!C17:$NJO$458753</xm:f>
          </x14:formula1>
          <xm:sqref>NJW458757:NJW458780</xm:sqref>
        </x14:dataValidation>
        <x14:dataValidation type="list" allowBlank="1" showInputMessage="1" showErrorMessage="1" xr:uid="{00000000-0002-0000-0300-0000C70D0000}">
          <x14:formula1>
            <xm:f>項目!C17:$NTK$458753</xm:f>
          </x14:formula1>
          <xm:sqref>NTS458757:NTS458780</xm:sqref>
        </x14:dataValidation>
        <x14:dataValidation type="list" allowBlank="1" showInputMessage="1" showErrorMessage="1" xr:uid="{00000000-0002-0000-0300-0000C80D0000}">
          <x14:formula1>
            <xm:f>項目!C17:$ODG$458753</xm:f>
          </x14:formula1>
          <xm:sqref>ODO458757:ODO458780</xm:sqref>
        </x14:dataValidation>
        <x14:dataValidation type="list" allowBlank="1" showInputMessage="1" showErrorMessage="1" xr:uid="{00000000-0002-0000-0300-0000C90D0000}">
          <x14:formula1>
            <xm:f>項目!C17:$ONC$458753</xm:f>
          </x14:formula1>
          <xm:sqref>ONK458757:ONK458780</xm:sqref>
        </x14:dataValidation>
        <x14:dataValidation type="list" allowBlank="1" showInputMessage="1" showErrorMessage="1" xr:uid="{00000000-0002-0000-0300-0000CA0D0000}">
          <x14:formula1>
            <xm:f>項目!C17:$OWY$458753</xm:f>
          </x14:formula1>
          <xm:sqref>OXG458757:OXG458780</xm:sqref>
        </x14:dataValidation>
        <x14:dataValidation type="list" allowBlank="1" showInputMessage="1" showErrorMessage="1" xr:uid="{00000000-0002-0000-0300-0000CB0D0000}">
          <x14:formula1>
            <xm:f>項目!C17:$PGU$458753</xm:f>
          </x14:formula1>
          <xm:sqref>PHC458757:PHC458780</xm:sqref>
        </x14:dataValidation>
        <x14:dataValidation type="list" allowBlank="1" showInputMessage="1" showErrorMessage="1" xr:uid="{00000000-0002-0000-0300-0000CC0D0000}">
          <x14:formula1>
            <xm:f>項目!C17:$PQQ$458753</xm:f>
          </x14:formula1>
          <xm:sqref>PQY458757:PQY458780</xm:sqref>
        </x14:dataValidation>
        <x14:dataValidation type="list" allowBlank="1" showInputMessage="1" showErrorMessage="1" xr:uid="{00000000-0002-0000-0300-0000CD0D0000}">
          <x14:formula1>
            <xm:f>項目!C17:$QAM$458753</xm:f>
          </x14:formula1>
          <xm:sqref>QAU458757:QAU458780</xm:sqref>
        </x14:dataValidation>
        <x14:dataValidation type="list" allowBlank="1" showInputMessage="1" showErrorMessage="1" xr:uid="{00000000-0002-0000-0300-0000CE0D0000}">
          <x14:formula1>
            <xm:f>項目!C17:$QKI$458753</xm:f>
          </x14:formula1>
          <xm:sqref>QKQ458757:QKQ458780</xm:sqref>
        </x14:dataValidation>
        <x14:dataValidation type="list" allowBlank="1" showInputMessage="1" showErrorMessage="1" xr:uid="{00000000-0002-0000-0300-0000CF0D0000}">
          <x14:formula1>
            <xm:f>項目!C17:$QUE$458753</xm:f>
          </x14:formula1>
          <xm:sqref>QUM458757:QUM458780</xm:sqref>
        </x14:dataValidation>
        <x14:dataValidation type="list" allowBlank="1" showInputMessage="1" showErrorMessage="1" xr:uid="{00000000-0002-0000-0300-0000D00D0000}">
          <x14:formula1>
            <xm:f>項目!C17:$REA$458753</xm:f>
          </x14:formula1>
          <xm:sqref>REI458757:REI458780</xm:sqref>
        </x14:dataValidation>
        <x14:dataValidation type="list" allowBlank="1" showInputMessage="1" showErrorMessage="1" xr:uid="{00000000-0002-0000-0300-0000D10D0000}">
          <x14:formula1>
            <xm:f>項目!C17:$RNW$458753</xm:f>
          </x14:formula1>
          <xm:sqref>ROE458757:ROE458780</xm:sqref>
        </x14:dataValidation>
        <x14:dataValidation type="list" allowBlank="1" showInputMessage="1" showErrorMessage="1" xr:uid="{00000000-0002-0000-0300-0000D20D0000}">
          <x14:formula1>
            <xm:f>項目!C17:$RXS$458753</xm:f>
          </x14:formula1>
          <xm:sqref>RYA458757:RYA458780</xm:sqref>
        </x14:dataValidation>
        <x14:dataValidation type="list" allowBlank="1" showInputMessage="1" showErrorMessage="1" xr:uid="{00000000-0002-0000-0300-0000D30D0000}">
          <x14:formula1>
            <xm:f>項目!C17:$SHO$458753</xm:f>
          </x14:formula1>
          <xm:sqref>SHW458757:SHW458780</xm:sqref>
        </x14:dataValidation>
        <x14:dataValidation type="list" allowBlank="1" showInputMessage="1" showErrorMessage="1" xr:uid="{00000000-0002-0000-0300-0000D40D0000}">
          <x14:formula1>
            <xm:f>項目!C17:$SRK$458753</xm:f>
          </x14:formula1>
          <xm:sqref>SRS458757:SRS458780</xm:sqref>
        </x14:dataValidation>
        <x14:dataValidation type="list" allowBlank="1" showInputMessage="1" showErrorMessage="1" xr:uid="{00000000-0002-0000-0300-0000D50D0000}">
          <x14:formula1>
            <xm:f>項目!C17:$TBG$458753</xm:f>
          </x14:formula1>
          <xm:sqref>TBO458757:TBO458780</xm:sqref>
        </x14:dataValidation>
        <x14:dataValidation type="list" allowBlank="1" showInputMessage="1" showErrorMessage="1" xr:uid="{00000000-0002-0000-0300-0000D60D0000}">
          <x14:formula1>
            <xm:f>項目!C17:$TLC$458753</xm:f>
          </x14:formula1>
          <xm:sqref>TLK458757:TLK458780</xm:sqref>
        </x14:dataValidation>
        <x14:dataValidation type="list" allowBlank="1" showInputMessage="1" showErrorMessage="1" xr:uid="{00000000-0002-0000-0300-0000D70D0000}">
          <x14:formula1>
            <xm:f>項目!C17:$TUY$458753</xm:f>
          </x14:formula1>
          <xm:sqref>TVG458757:TVG458780</xm:sqref>
        </x14:dataValidation>
        <x14:dataValidation type="list" allowBlank="1" showInputMessage="1" showErrorMessage="1" xr:uid="{00000000-0002-0000-0300-0000D80D0000}">
          <x14:formula1>
            <xm:f>項目!C17:$UEU$458753</xm:f>
          </x14:formula1>
          <xm:sqref>UFC458757:UFC458780</xm:sqref>
        </x14:dataValidation>
        <x14:dataValidation type="list" allowBlank="1" showInputMessage="1" showErrorMessage="1" xr:uid="{00000000-0002-0000-0300-0000D90D0000}">
          <x14:formula1>
            <xm:f>項目!C17:$UOQ$458753</xm:f>
          </x14:formula1>
          <xm:sqref>UOY458757:UOY458780</xm:sqref>
        </x14:dataValidation>
        <x14:dataValidation type="list" allowBlank="1" showInputMessage="1" showErrorMessage="1" xr:uid="{00000000-0002-0000-0300-0000DA0D0000}">
          <x14:formula1>
            <xm:f>項目!C17:$UYM$458753</xm:f>
          </x14:formula1>
          <xm:sqref>UYU458757:UYU458780</xm:sqref>
        </x14:dataValidation>
        <x14:dataValidation type="list" allowBlank="1" showInputMessage="1" showErrorMessage="1" xr:uid="{00000000-0002-0000-0300-0000DB0D0000}">
          <x14:formula1>
            <xm:f>項目!C17:$VII$458753</xm:f>
          </x14:formula1>
          <xm:sqref>VIQ458757:VIQ458780</xm:sqref>
        </x14:dataValidation>
        <x14:dataValidation type="list" allowBlank="1" showInputMessage="1" showErrorMessage="1" xr:uid="{00000000-0002-0000-0300-0000DC0D0000}">
          <x14:formula1>
            <xm:f>項目!C17:$VSE$458753</xm:f>
          </x14:formula1>
          <xm:sqref>VSM458757:VSM458780</xm:sqref>
        </x14:dataValidation>
        <x14:dataValidation type="list" allowBlank="1" showInputMessage="1" showErrorMessage="1" xr:uid="{00000000-0002-0000-0300-0000DD0D0000}">
          <x14:formula1>
            <xm:f>項目!C17:$WCA$458753</xm:f>
          </x14:formula1>
          <xm:sqref>WCI458757:WCI458780</xm:sqref>
        </x14:dataValidation>
        <x14:dataValidation type="list" allowBlank="1" showInputMessage="1" showErrorMessage="1" xr:uid="{00000000-0002-0000-0300-0000DE0D0000}">
          <x14:formula1>
            <xm:f>項目!C17:$WLW$458753</xm:f>
          </x14:formula1>
          <xm:sqref>WME458757:WME458780</xm:sqref>
        </x14:dataValidation>
        <x14:dataValidation type="list" allowBlank="1" showInputMessage="1" showErrorMessage="1" xr:uid="{00000000-0002-0000-0300-0000DF0D0000}">
          <x14:formula1>
            <xm:f>項目!C17:$WVS$458753</xm:f>
          </x14:formula1>
          <xm:sqref>WWA458757:WWA458780</xm:sqref>
        </x14:dataValidation>
        <x14:dataValidation type="list" allowBlank="1" showInputMessage="1" showErrorMessage="1" xr:uid="{00000000-0002-0000-0300-0000E00D0000}">
          <x14:formula1>
            <xm:f>項目!C17:$M$524289</xm:f>
          </x14:formula1>
          <xm:sqref>S524293:S524316</xm:sqref>
        </x14:dataValidation>
        <x14:dataValidation type="list" allowBlank="1" showInputMessage="1" showErrorMessage="1" xr:uid="{00000000-0002-0000-0300-0000E10D0000}">
          <x14:formula1>
            <xm:f>項目!C17:$JG$524289</xm:f>
          </x14:formula1>
          <xm:sqref>JO524293:JO524316</xm:sqref>
        </x14:dataValidation>
        <x14:dataValidation type="list" allowBlank="1" showInputMessage="1" showErrorMessage="1" xr:uid="{00000000-0002-0000-0300-0000E20D0000}">
          <x14:formula1>
            <xm:f>項目!C17:$TC$524289</xm:f>
          </x14:formula1>
          <xm:sqref>TK524293:TK524316</xm:sqref>
        </x14:dataValidation>
        <x14:dataValidation type="list" allowBlank="1" showInputMessage="1" showErrorMessage="1" xr:uid="{00000000-0002-0000-0300-0000E30D0000}">
          <x14:formula1>
            <xm:f>項目!C17:$ACY$524289</xm:f>
          </x14:formula1>
          <xm:sqref>ADG524293:ADG524316</xm:sqref>
        </x14:dataValidation>
        <x14:dataValidation type="list" allowBlank="1" showInputMessage="1" showErrorMessage="1" xr:uid="{00000000-0002-0000-0300-0000E40D0000}">
          <x14:formula1>
            <xm:f>項目!C17:$AMU$524289</xm:f>
          </x14:formula1>
          <xm:sqref>ANC524293:ANC524316</xm:sqref>
        </x14:dataValidation>
        <x14:dataValidation type="list" allowBlank="1" showInputMessage="1" showErrorMessage="1" xr:uid="{00000000-0002-0000-0300-0000E50D0000}">
          <x14:formula1>
            <xm:f>項目!C17:$AWQ$524289</xm:f>
          </x14:formula1>
          <xm:sqref>AWY524293:AWY524316</xm:sqref>
        </x14:dataValidation>
        <x14:dataValidation type="list" allowBlank="1" showInputMessage="1" showErrorMessage="1" xr:uid="{00000000-0002-0000-0300-0000E60D0000}">
          <x14:formula1>
            <xm:f>項目!C17:$BGM$524289</xm:f>
          </x14:formula1>
          <xm:sqref>BGU524293:BGU524316</xm:sqref>
        </x14:dataValidation>
        <x14:dataValidation type="list" allowBlank="1" showInputMessage="1" showErrorMessage="1" xr:uid="{00000000-0002-0000-0300-0000E70D0000}">
          <x14:formula1>
            <xm:f>項目!C17:$BQI$524289</xm:f>
          </x14:formula1>
          <xm:sqref>BQQ524293:BQQ524316</xm:sqref>
        </x14:dataValidation>
        <x14:dataValidation type="list" allowBlank="1" showInputMessage="1" showErrorMessage="1" xr:uid="{00000000-0002-0000-0300-0000E80D0000}">
          <x14:formula1>
            <xm:f>項目!C17:$CAE$524289</xm:f>
          </x14:formula1>
          <xm:sqref>CAM524293:CAM524316</xm:sqref>
        </x14:dataValidation>
        <x14:dataValidation type="list" allowBlank="1" showInputMessage="1" showErrorMessage="1" xr:uid="{00000000-0002-0000-0300-0000E90D0000}">
          <x14:formula1>
            <xm:f>項目!C17:$CKA$524289</xm:f>
          </x14:formula1>
          <xm:sqref>CKI524293:CKI524316</xm:sqref>
        </x14:dataValidation>
        <x14:dataValidation type="list" allowBlank="1" showInputMessage="1" showErrorMessage="1" xr:uid="{00000000-0002-0000-0300-0000EA0D0000}">
          <x14:formula1>
            <xm:f>項目!C17:$CTW$524289</xm:f>
          </x14:formula1>
          <xm:sqref>CUE524293:CUE524316</xm:sqref>
        </x14:dataValidation>
        <x14:dataValidation type="list" allowBlank="1" showInputMessage="1" showErrorMessage="1" xr:uid="{00000000-0002-0000-0300-0000EB0D0000}">
          <x14:formula1>
            <xm:f>項目!C17:$DDS$524289</xm:f>
          </x14:formula1>
          <xm:sqref>DEA524293:DEA524316</xm:sqref>
        </x14:dataValidation>
        <x14:dataValidation type="list" allowBlank="1" showInputMessage="1" showErrorMessage="1" xr:uid="{00000000-0002-0000-0300-0000EC0D0000}">
          <x14:formula1>
            <xm:f>項目!C17:$DNO$524289</xm:f>
          </x14:formula1>
          <xm:sqref>DNW524293:DNW524316</xm:sqref>
        </x14:dataValidation>
        <x14:dataValidation type="list" allowBlank="1" showInputMessage="1" showErrorMessage="1" xr:uid="{00000000-0002-0000-0300-0000ED0D0000}">
          <x14:formula1>
            <xm:f>項目!C17:$DXK$524289</xm:f>
          </x14:formula1>
          <xm:sqref>DXS524293:DXS524316</xm:sqref>
        </x14:dataValidation>
        <x14:dataValidation type="list" allowBlank="1" showInputMessage="1" showErrorMessage="1" xr:uid="{00000000-0002-0000-0300-0000EE0D0000}">
          <x14:formula1>
            <xm:f>項目!C17:$EHG$524289</xm:f>
          </x14:formula1>
          <xm:sqref>EHO524293:EHO524316</xm:sqref>
        </x14:dataValidation>
        <x14:dataValidation type="list" allowBlank="1" showInputMessage="1" showErrorMessage="1" xr:uid="{00000000-0002-0000-0300-0000EF0D0000}">
          <x14:formula1>
            <xm:f>項目!C17:$ERC$524289</xm:f>
          </x14:formula1>
          <xm:sqref>ERK524293:ERK524316</xm:sqref>
        </x14:dataValidation>
        <x14:dataValidation type="list" allowBlank="1" showInputMessage="1" showErrorMessage="1" xr:uid="{00000000-0002-0000-0300-0000F00D0000}">
          <x14:formula1>
            <xm:f>項目!C17:$FAY$524289</xm:f>
          </x14:formula1>
          <xm:sqref>FBG524293:FBG524316</xm:sqref>
        </x14:dataValidation>
        <x14:dataValidation type="list" allowBlank="1" showInputMessage="1" showErrorMessage="1" xr:uid="{00000000-0002-0000-0300-0000F10D0000}">
          <x14:formula1>
            <xm:f>項目!C17:$FKU$524289</xm:f>
          </x14:formula1>
          <xm:sqref>FLC524293:FLC524316</xm:sqref>
        </x14:dataValidation>
        <x14:dataValidation type="list" allowBlank="1" showInputMessage="1" showErrorMessage="1" xr:uid="{00000000-0002-0000-0300-0000F20D0000}">
          <x14:formula1>
            <xm:f>項目!C17:$FUQ$524289</xm:f>
          </x14:formula1>
          <xm:sqref>FUY524293:FUY524316</xm:sqref>
        </x14:dataValidation>
        <x14:dataValidation type="list" allowBlank="1" showInputMessage="1" showErrorMessage="1" xr:uid="{00000000-0002-0000-0300-0000F30D0000}">
          <x14:formula1>
            <xm:f>項目!C17:$GEM$524289</xm:f>
          </x14:formula1>
          <xm:sqref>GEU524293:GEU524316</xm:sqref>
        </x14:dataValidation>
        <x14:dataValidation type="list" allowBlank="1" showInputMessage="1" showErrorMessage="1" xr:uid="{00000000-0002-0000-0300-0000F40D0000}">
          <x14:formula1>
            <xm:f>項目!C17:$GOI$524289</xm:f>
          </x14:formula1>
          <xm:sqref>GOQ524293:GOQ524316</xm:sqref>
        </x14:dataValidation>
        <x14:dataValidation type="list" allowBlank="1" showInputMessage="1" showErrorMessage="1" xr:uid="{00000000-0002-0000-0300-0000F50D0000}">
          <x14:formula1>
            <xm:f>項目!C17:$GYE$524289</xm:f>
          </x14:formula1>
          <xm:sqref>GYM524293:GYM524316</xm:sqref>
        </x14:dataValidation>
        <x14:dataValidation type="list" allowBlank="1" showInputMessage="1" showErrorMessage="1" xr:uid="{00000000-0002-0000-0300-0000F60D0000}">
          <x14:formula1>
            <xm:f>項目!C17:$HIA$524289</xm:f>
          </x14:formula1>
          <xm:sqref>HII524293:HII524316</xm:sqref>
        </x14:dataValidation>
        <x14:dataValidation type="list" allowBlank="1" showInputMessage="1" showErrorMessage="1" xr:uid="{00000000-0002-0000-0300-0000F70D0000}">
          <x14:formula1>
            <xm:f>項目!C17:$HRW$524289</xm:f>
          </x14:formula1>
          <xm:sqref>HSE524293:HSE524316</xm:sqref>
        </x14:dataValidation>
        <x14:dataValidation type="list" allowBlank="1" showInputMessage="1" showErrorMessage="1" xr:uid="{00000000-0002-0000-0300-0000F80D0000}">
          <x14:formula1>
            <xm:f>項目!C17:$IBS$524289</xm:f>
          </x14:formula1>
          <xm:sqref>ICA524293:ICA524316</xm:sqref>
        </x14:dataValidation>
        <x14:dataValidation type="list" allowBlank="1" showInputMessage="1" showErrorMessage="1" xr:uid="{00000000-0002-0000-0300-0000F90D0000}">
          <x14:formula1>
            <xm:f>項目!C17:$ILO$524289</xm:f>
          </x14:formula1>
          <xm:sqref>ILW524293:ILW524316</xm:sqref>
        </x14:dataValidation>
        <x14:dataValidation type="list" allowBlank="1" showInputMessage="1" showErrorMessage="1" xr:uid="{00000000-0002-0000-0300-0000FA0D0000}">
          <x14:formula1>
            <xm:f>項目!C17:$IVK$524289</xm:f>
          </x14:formula1>
          <xm:sqref>IVS524293:IVS524316</xm:sqref>
        </x14:dataValidation>
        <x14:dataValidation type="list" allowBlank="1" showInputMessage="1" showErrorMessage="1" xr:uid="{00000000-0002-0000-0300-0000FB0D0000}">
          <x14:formula1>
            <xm:f>項目!C17:$JFG$524289</xm:f>
          </x14:formula1>
          <xm:sqref>JFO524293:JFO524316</xm:sqref>
        </x14:dataValidation>
        <x14:dataValidation type="list" allowBlank="1" showInputMessage="1" showErrorMessage="1" xr:uid="{00000000-0002-0000-0300-0000FC0D0000}">
          <x14:formula1>
            <xm:f>項目!C17:$JPC$524289</xm:f>
          </x14:formula1>
          <xm:sqref>JPK524293:JPK524316</xm:sqref>
        </x14:dataValidation>
        <x14:dataValidation type="list" allowBlank="1" showInputMessage="1" showErrorMessage="1" xr:uid="{00000000-0002-0000-0300-0000FD0D0000}">
          <x14:formula1>
            <xm:f>項目!C17:$JYY$524289</xm:f>
          </x14:formula1>
          <xm:sqref>JZG524293:JZG524316</xm:sqref>
        </x14:dataValidation>
        <x14:dataValidation type="list" allowBlank="1" showInputMessage="1" showErrorMessage="1" xr:uid="{00000000-0002-0000-0300-0000FE0D0000}">
          <x14:formula1>
            <xm:f>項目!C17:$KIU$524289</xm:f>
          </x14:formula1>
          <xm:sqref>KJC524293:KJC524316</xm:sqref>
        </x14:dataValidation>
        <x14:dataValidation type="list" allowBlank="1" showInputMessage="1" showErrorMessage="1" xr:uid="{00000000-0002-0000-0300-0000FF0D0000}">
          <x14:formula1>
            <xm:f>項目!C17:$KSQ$524289</xm:f>
          </x14:formula1>
          <xm:sqref>KSY524293:KSY524316</xm:sqref>
        </x14:dataValidation>
        <x14:dataValidation type="list" allowBlank="1" showInputMessage="1" showErrorMessage="1" xr:uid="{00000000-0002-0000-0300-0000000E0000}">
          <x14:formula1>
            <xm:f>項目!C17:$LCM$524289</xm:f>
          </x14:formula1>
          <xm:sqref>LCU524293:LCU524316</xm:sqref>
        </x14:dataValidation>
        <x14:dataValidation type="list" allowBlank="1" showInputMessage="1" showErrorMessage="1" xr:uid="{00000000-0002-0000-0300-0000010E0000}">
          <x14:formula1>
            <xm:f>項目!C17:$LMI$524289</xm:f>
          </x14:formula1>
          <xm:sqref>LMQ524293:LMQ524316</xm:sqref>
        </x14:dataValidation>
        <x14:dataValidation type="list" allowBlank="1" showInputMessage="1" showErrorMessage="1" xr:uid="{00000000-0002-0000-0300-0000020E0000}">
          <x14:formula1>
            <xm:f>項目!C17:$LWE$524289</xm:f>
          </x14:formula1>
          <xm:sqref>LWM524293:LWM524316</xm:sqref>
        </x14:dataValidation>
        <x14:dataValidation type="list" allowBlank="1" showInputMessage="1" showErrorMessage="1" xr:uid="{00000000-0002-0000-0300-0000030E0000}">
          <x14:formula1>
            <xm:f>項目!C17:$MGA$524289</xm:f>
          </x14:formula1>
          <xm:sqref>MGI524293:MGI524316</xm:sqref>
        </x14:dataValidation>
        <x14:dataValidation type="list" allowBlank="1" showInputMessage="1" showErrorMessage="1" xr:uid="{00000000-0002-0000-0300-0000040E0000}">
          <x14:formula1>
            <xm:f>項目!C17:$MPW$524289</xm:f>
          </x14:formula1>
          <xm:sqref>MQE524293:MQE524316</xm:sqref>
        </x14:dataValidation>
        <x14:dataValidation type="list" allowBlank="1" showInputMessage="1" showErrorMessage="1" xr:uid="{00000000-0002-0000-0300-0000050E0000}">
          <x14:formula1>
            <xm:f>項目!C17:$MZS$524289</xm:f>
          </x14:formula1>
          <xm:sqref>NAA524293:NAA524316</xm:sqref>
        </x14:dataValidation>
        <x14:dataValidation type="list" allowBlank="1" showInputMessage="1" showErrorMessage="1" xr:uid="{00000000-0002-0000-0300-0000060E0000}">
          <x14:formula1>
            <xm:f>項目!C17:$NJO$524289</xm:f>
          </x14:formula1>
          <xm:sqref>NJW524293:NJW524316</xm:sqref>
        </x14:dataValidation>
        <x14:dataValidation type="list" allowBlank="1" showInputMessage="1" showErrorMessage="1" xr:uid="{00000000-0002-0000-0300-0000070E0000}">
          <x14:formula1>
            <xm:f>項目!C17:$NTK$524289</xm:f>
          </x14:formula1>
          <xm:sqref>NTS524293:NTS524316</xm:sqref>
        </x14:dataValidation>
        <x14:dataValidation type="list" allowBlank="1" showInputMessage="1" showErrorMessage="1" xr:uid="{00000000-0002-0000-0300-0000080E0000}">
          <x14:formula1>
            <xm:f>項目!C17:$ODG$524289</xm:f>
          </x14:formula1>
          <xm:sqref>ODO524293:ODO524316</xm:sqref>
        </x14:dataValidation>
        <x14:dataValidation type="list" allowBlank="1" showInputMessage="1" showErrorMessage="1" xr:uid="{00000000-0002-0000-0300-0000090E0000}">
          <x14:formula1>
            <xm:f>項目!C17:$ONC$524289</xm:f>
          </x14:formula1>
          <xm:sqref>ONK524293:ONK524316</xm:sqref>
        </x14:dataValidation>
        <x14:dataValidation type="list" allowBlank="1" showInputMessage="1" showErrorMessage="1" xr:uid="{00000000-0002-0000-0300-00000A0E0000}">
          <x14:formula1>
            <xm:f>項目!C17:$OWY$524289</xm:f>
          </x14:formula1>
          <xm:sqref>OXG524293:OXG524316</xm:sqref>
        </x14:dataValidation>
        <x14:dataValidation type="list" allowBlank="1" showInputMessage="1" showErrorMessage="1" xr:uid="{00000000-0002-0000-0300-00000B0E0000}">
          <x14:formula1>
            <xm:f>項目!C17:$PGU$524289</xm:f>
          </x14:formula1>
          <xm:sqref>PHC524293:PHC524316</xm:sqref>
        </x14:dataValidation>
        <x14:dataValidation type="list" allowBlank="1" showInputMessage="1" showErrorMessage="1" xr:uid="{00000000-0002-0000-0300-00000C0E0000}">
          <x14:formula1>
            <xm:f>項目!C17:$PQQ$524289</xm:f>
          </x14:formula1>
          <xm:sqref>PQY524293:PQY524316</xm:sqref>
        </x14:dataValidation>
        <x14:dataValidation type="list" allowBlank="1" showInputMessage="1" showErrorMessage="1" xr:uid="{00000000-0002-0000-0300-00000D0E0000}">
          <x14:formula1>
            <xm:f>項目!C17:$QAM$524289</xm:f>
          </x14:formula1>
          <xm:sqref>QAU524293:QAU524316</xm:sqref>
        </x14:dataValidation>
        <x14:dataValidation type="list" allowBlank="1" showInputMessage="1" showErrorMessage="1" xr:uid="{00000000-0002-0000-0300-00000E0E0000}">
          <x14:formula1>
            <xm:f>項目!C17:$QKI$524289</xm:f>
          </x14:formula1>
          <xm:sqref>QKQ524293:QKQ524316</xm:sqref>
        </x14:dataValidation>
        <x14:dataValidation type="list" allowBlank="1" showInputMessage="1" showErrorMessage="1" xr:uid="{00000000-0002-0000-0300-00000F0E0000}">
          <x14:formula1>
            <xm:f>項目!C17:$QUE$524289</xm:f>
          </x14:formula1>
          <xm:sqref>QUM524293:QUM524316</xm:sqref>
        </x14:dataValidation>
        <x14:dataValidation type="list" allowBlank="1" showInputMessage="1" showErrorMessage="1" xr:uid="{00000000-0002-0000-0300-0000100E0000}">
          <x14:formula1>
            <xm:f>項目!C17:$REA$524289</xm:f>
          </x14:formula1>
          <xm:sqref>REI524293:REI524316</xm:sqref>
        </x14:dataValidation>
        <x14:dataValidation type="list" allowBlank="1" showInputMessage="1" showErrorMessage="1" xr:uid="{00000000-0002-0000-0300-0000110E0000}">
          <x14:formula1>
            <xm:f>項目!C17:$RNW$524289</xm:f>
          </x14:formula1>
          <xm:sqref>ROE524293:ROE524316</xm:sqref>
        </x14:dataValidation>
        <x14:dataValidation type="list" allowBlank="1" showInputMessage="1" showErrorMessage="1" xr:uid="{00000000-0002-0000-0300-0000120E0000}">
          <x14:formula1>
            <xm:f>項目!C17:$RXS$524289</xm:f>
          </x14:formula1>
          <xm:sqref>RYA524293:RYA524316</xm:sqref>
        </x14:dataValidation>
        <x14:dataValidation type="list" allowBlank="1" showInputMessage="1" showErrorMessage="1" xr:uid="{00000000-0002-0000-0300-0000130E0000}">
          <x14:formula1>
            <xm:f>項目!C17:$SHO$524289</xm:f>
          </x14:formula1>
          <xm:sqref>SHW524293:SHW524316</xm:sqref>
        </x14:dataValidation>
        <x14:dataValidation type="list" allowBlank="1" showInputMessage="1" showErrorMessage="1" xr:uid="{00000000-0002-0000-0300-0000140E0000}">
          <x14:formula1>
            <xm:f>項目!C17:$SRK$524289</xm:f>
          </x14:formula1>
          <xm:sqref>SRS524293:SRS524316</xm:sqref>
        </x14:dataValidation>
        <x14:dataValidation type="list" allowBlank="1" showInputMessage="1" showErrorMessage="1" xr:uid="{00000000-0002-0000-0300-0000150E0000}">
          <x14:formula1>
            <xm:f>項目!C17:$TBG$524289</xm:f>
          </x14:formula1>
          <xm:sqref>TBO524293:TBO524316</xm:sqref>
        </x14:dataValidation>
        <x14:dataValidation type="list" allowBlank="1" showInputMessage="1" showErrorMessage="1" xr:uid="{00000000-0002-0000-0300-0000160E0000}">
          <x14:formula1>
            <xm:f>項目!C17:$TLC$524289</xm:f>
          </x14:formula1>
          <xm:sqref>TLK524293:TLK524316</xm:sqref>
        </x14:dataValidation>
        <x14:dataValidation type="list" allowBlank="1" showInputMessage="1" showErrorMessage="1" xr:uid="{00000000-0002-0000-0300-0000170E0000}">
          <x14:formula1>
            <xm:f>項目!C17:$TUY$524289</xm:f>
          </x14:formula1>
          <xm:sqref>TVG524293:TVG524316</xm:sqref>
        </x14:dataValidation>
        <x14:dataValidation type="list" allowBlank="1" showInputMessage="1" showErrorMessage="1" xr:uid="{00000000-0002-0000-0300-0000180E0000}">
          <x14:formula1>
            <xm:f>項目!C17:$UEU$524289</xm:f>
          </x14:formula1>
          <xm:sqref>UFC524293:UFC524316</xm:sqref>
        </x14:dataValidation>
        <x14:dataValidation type="list" allowBlank="1" showInputMessage="1" showErrorMessage="1" xr:uid="{00000000-0002-0000-0300-0000190E0000}">
          <x14:formula1>
            <xm:f>項目!C17:$UOQ$524289</xm:f>
          </x14:formula1>
          <xm:sqref>UOY524293:UOY524316</xm:sqref>
        </x14:dataValidation>
        <x14:dataValidation type="list" allowBlank="1" showInputMessage="1" showErrorMessage="1" xr:uid="{00000000-0002-0000-0300-00001A0E0000}">
          <x14:formula1>
            <xm:f>項目!C17:$UYM$524289</xm:f>
          </x14:formula1>
          <xm:sqref>UYU524293:UYU524316</xm:sqref>
        </x14:dataValidation>
        <x14:dataValidation type="list" allowBlank="1" showInputMessage="1" showErrorMessage="1" xr:uid="{00000000-0002-0000-0300-00001B0E0000}">
          <x14:formula1>
            <xm:f>項目!C17:$VII$524289</xm:f>
          </x14:formula1>
          <xm:sqref>VIQ524293:VIQ524316</xm:sqref>
        </x14:dataValidation>
        <x14:dataValidation type="list" allowBlank="1" showInputMessage="1" showErrorMessage="1" xr:uid="{00000000-0002-0000-0300-00001C0E0000}">
          <x14:formula1>
            <xm:f>項目!C17:$VSE$524289</xm:f>
          </x14:formula1>
          <xm:sqref>VSM524293:VSM524316</xm:sqref>
        </x14:dataValidation>
        <x14:dataValidation type="list" allowBlank="1" showInputMessage="1" showErrorMessage="1" xr:uid="{00000000-0002-0000-0300-00001D0E0000}">
          <x14:formula1>
            <xm:f>項目!C17:$WCA$524289</xm:f>
          </x14:formula1>
          <xm:sqref>WCI524293:WCI524316</xm:sqref>
        </x14:dataValidation>
        <x14:dataValidation type="list" allowBlank="1" showInputMessage="1" showErrorMessage="1" xr:uid="{00000000-0002-0000-0300-00001E0E0000}">
          <x14:formula1>
            <xm:f>項目!C17:$WLW$524289</xm:f>
          </x14:formula1>
          <xm:sqref>WME524293:WME524316</xm:sqref>
        </x14:dataValidation>
        <x14:dataValidation type="list" allowBlank="1" showInputMessage="1" showErrorMessage="1" xr:uid="{00000000-0002-0000-0300-00001F0E0000}">
          <x14:formula1>
            <xm:f>項目!C17:$WVS$524289</xm:f>
          </x14:formula1>
          <xm:sqref>WWA524293:WWA524316</xm:sqref>
        </x14:dataValidation>
        <x14:dataValidation type="list" allowBlank="1" showInputMessage="1" showErrorMessage="1" xr:uid="{00000000-0002-0000-0300-0000200E0000}">
          <x14:formula1>
            <xm:f>項目!C17:$M$589825</xm:f>
          </x14:formula1>
          <xm:sqref>S589829:S589852</xm:sqref>
        </x14:dataValidation>
        <x14:dataValidation type="list" allowBlank="1" showInputMessage="1" showErrorMessage="1" xr:uid="{00000000-0002-0000-0300-0000210E0000}">
          <x14:formula1>
            <xm:f>項目!C17:$JG$589825</xm:f>
          </x14:formula1>
          <xm:sqref>JO589829:JO589852</xm:sqref>
        </x14:dataValidation>
        <x14:dataValidation type="list" allowBlank="1" showInputMessage="1" showErrorMessage="1" xr:uid="{00000000-0002-0000-0300-0000220E0000}">
          <x14:formula1>
            <xm:f>項目!C17:$TC$589825</xm:f>
          </x14:formula1>
          <xm:sqref>TK589829:TK589852</xm:sqref>
        </x14:dataValidation>
        <x14:dataValidation type="list" allowBlank="1" showInputMessage="1" showErrorMessage="1" xr:uid="{00000000-0002-0000-0300-0000230E0000}">
          <x14:formula1>
            <xm:f>項目!C17:$ACY$589825</xm:f>
          </x14:formula1>
          <xm:sqref>ADG589829:ADG589852</xm:sqref>
        </x14:dataValidation>
        <x14:dataValidation type="list" allowBlank="1" showInputMessage="1" showErrorMessage="1" xr:uid="{00000000-0002-0000-0300-0000240E0000}">
          <x14:formula1>
            <xm:f>項目!C17:$AMU$589825</xm:f>
          </x14:formula1>
          <xm:sqref>ANC589829:ANC589852</xm:sqref>
        </x14:dataValidation>
        <x14:dataValidation type="list" allowBlank="1" showInputMessage="1" showErrorMessage="1" xr:uid="{00000000-0002-0000-0300-0000250E0000}">
          <x14:formula1>
            <xm:f>項目!C17:$AWQ$589825</xm:f>
          </x14:formula1>
          <xm:sqref>AWY589829:AWY589852</xm:sqref>
        </x14:dataValidation>
        <x14:dataValidation type="list" allowBlank="1" showInputMessage="1" showErrorMessage="1" xr:uid="{00000000-0002-0000-0300-0000260E0000}">
          <x14:formula1>
            <xm:f>項目!C17:$BGM$589825</xm:f>
          </x14:formula1>
          <xm:sqref>BGU589829:BGU589852</xm:sqref>
        </x14:dataValidation>
        <x14:dataValidation type="list" allowBlank="1" showInputMessage="1" showErrorMessage="1" xr:uid="{00000000-0002-0000-0300-0000270E0000}">
          <x14:formula1>
            <xm:f>項目!C17:$BQI$589825</xm:f>
          </x14:formula1>
          <xm:sqref>BQQ589829:BQQ589852</xm:sqref>
        </x14:dataValidation>
        <x14:dataValidation type="list" allowBlank="1" showInputMessage="1" showErrorMessage="1" xr:uid="{00000000-0002-0000-0300-0000280E0000}">
          <x14:formula1>
            <xm:f>項目!C17:$CAE$589825</xm:f>
          </x14:formula1>
          <xm:sqref>CAM589829:CAM589852</xm:sqref>
        </x14:dataValidation>
        <x14:dataValidation type="list" allowBlank="1" showInputMessage="1" showErrorMessage="1" xr:uid="{00000000-0002-0000-0300-0000290E0000}">
          <x14:formula1>
            <xm:f>項目!C17:$CKA$589825</xm:f>
          </x14:formula1>
          <xm:sqref>CKI589829:CKI589852</xm:sqref>
        </x14:dataValidation>
        <x14:dataValidation type="list" allowBlank="1" showInputMessage="1" showErrorMessage="1" xr:uid="{00000000-0002-0000-0300-00002A0E0000}">
          <x14:formula1>
            <xm:f>項目!C17:$CTW$589825</xm:f>
          </x14:formula1>
          <xm:sqref>CUE589829:CUE589852</xm:sqref>
        </x14:dataValidation>
        <x14:dataValidation type="list" allowBlank="1" showInputMessage="1" showErrorMessage="1" xr:uid="{00000000-0002-0000-0300-00002B0E0000}">
          <x14:formula1>
            <xm:f>項目!C17:$DDS$589825</xm:f>
          </x14:formula1>
          <xm:sqref>DEA589829:DEA589852</xm:sqref>
        </x14:dataValidation>
        <x14:dataValidation type="list" allowBlank="1" showInputMessage="1" showErrorMessage="1" xr:uid="{00000000-0002-0000-0300-00002C0E0000}">
          <x14:formula1>
            <xm:f>項目!C17:$DNO$589825</xm:f>
          </x14:formula1>
          <xm:sqref>DNW589829:DNW589852</xm:sqref>
        </x14:dataValidation>
        <x14:dataValidation type="list" allowBlank="1" showInputMessage="1" showErrorMessage="1" xr:uid="{00000000-0002-0000-0300-00002D0E0000}">
          <x14:formula1>
            <xm:f>項目!C17:$DXK$589825</xm:f>
          </x14:formula1>
          <xm:sqref>DXS589829:DXS589852</xm:sqref>
        </x14:dataValidation>
        <x14:dataValidation type="list" allowBlank="1" showInputMessage="1" showErrorMessage="1" xr:uid="{00000000-0002-0000-0300-00002E0E0000}">
          <x14:formula1>
            <xm:f>項目!C17:$EHG$589825</xm:f>
          </x14:formula1>
          <xm:sqref>EHO589829:EHO589852</xm:sqref>
        </x14:dataValidation>
        <x14:dataValidation type="list" allowBlank="1" showInputMessage="1" showErrorMessage="1" xr:uid="{00000000-0002-0000-0300-00002F0E0000}">
          <x14:formula1>
            <xm:f>項目!C17:$ERC$589825</xm:f>
          </x14:formula1>
          <xm:sqref>ERK589829:ERK589852</xm:sqref>
        </x14:dataValidation>
        <x14:dataValidation type="list" allowBlank="1" showInputMessage="1" showErrorMessage="1" xr:uid="{00000000-0002-0000-0300-0000300E0000}">
          <x14:formula1>
            <xm:f>項目!C17:$FAY$589825</xm:f>
          </x14:formula1>
          <xm:sqref>FBG589829:FBG589852</xm:sqref>
        </x14:dataValidation>
        <x14:dataValidation type="list" allowBlank="1" showInputMessage="1" showErrorMessage="1" xr:uid="{00000000-0002-0000-0300-0000310E0000}">
          <x14:formula1>
            <xm:f>項目!C17:$FKU$589825</xm:f>
          </x14:formula1>
          <xm:sqref>FLC589829:FLC589852</xm:sqref>
        </x14:dataValidation>
        <x14:dataValidation type="list" allowBlank="1" showInputMessage="1" showErrorMessage="1" xr:uid="{00000000-0002-0000-0300-0000320E0000}">
          <x14:formula1>
            <xm:f>項目!C17:$FUQ$589825</xm:f>
          </x14:formula1>
          <xm:sqref>FUY589829:FUY589852</xm:sqref>
        </x14:dataValidation>
        <x14:dataValidation type="list" allowBlank="1" showInputMessage="1" showErrorMessage="1" xr:uid="{00000000-0002-0000-0300-0000330E0000}">
          <x14:formula1>
            <xm:f>項目!C17:$GEM$589825</xm:f>
          </x14:formula1>
          <xm:sqref>GEU589829:GEU589852</xm:sqref>
        </x14:dataValidation>
        <x14:dataValidation type="list" allowBlank="1" showInputMessage="1" showErrorMessage="1" xr:uid="{00000000-0002-0000-0300-0000340E0000}">
          <x14:formula1>
            <xm:f>項目!C17:$GOI$589825</xm:f>
          </x14:formula1>
          <xm:sqref>GOQ589829:GOQ589852</xm:sqref>
        </x14:dataValidation>
        <x14:dataValidation type="list" allowBlank="1" showInputMessage="1" showErrorMessage="1" xr:uid="{00000000-0002-0000-0300-0000350E0000}">
          <x14:formula1>
            <xm:f>項目!C17:$GYE$589825</xm:f>
          </x14:formula1>
          <xm:sqref>GYM589829:GYM589852</xm:sqref>
        </x14:dataValidation>
        <x14:dataValidation type="list" allowBlank="1" showInputMessage="1" showErrorMessage="1" xr:uid="{00000000-0002-0000-0300-0000360E0000}">
          <x14:formula1>
            <xm:f>項目!C17:$HIA$589825</xm:f>
          </x14:formula1>
          <xm:sqref>HII589829:HII589852</xm:sqref>
        </x14:dataValidation>
        <x14:dataValidation type="list" allowBlank="1" showInputMessage="1" showErrorMessage="1" xr:uid="{00000000-0002-0000-0300-0000370E0000}">
          <x14:formula1>
            <xm:f>項目!C17:$HRW$589825</xm:f>
          </x14:formula1>
          <xm:sqref>HSE589829:HSE589852</xm:sqref>
        </x14:dataValidation>
        <x14:dataValidation type="list" allowBlank="1" showInputMessage="1" showErrorMessage="1" xr:uid="{00000000-0002-0000-0300-0000380E0000}">
          <x14:formula1>
            <xm:f>項目!C17:$IBS$589825</xm:f>
          </x14:formula1>
          <xm:sqref>ICA589829:ICA589852</xm:sqref>
        </x14:dataValidation>
        <x14:dataValidation type="list" allowBlank="1" showInputMessage="1" showErrorMessage="1" xr:uid="{00000000-0002-0000-0300-0000390E0000}">
          <x14:formula1>
            <xm:f>項目!C17:$ILO$589825</xm:f>
          </x14:formula1>
          <xm:sqref>ILW589829:ILW589852</xm:sqref>
        </x14:dataValidation>
        <x14:dataValidation type="list" allowBlank="1" showInputMessage="1" showErrorMessage="1" xr:uid="{00000000-0002-0000-0300-00003A0E0000}">
          <x14:formula1>
            <xm:f>項目!C17:$IVK$589825</xm:f>
          </x14:formula1>
          <xm:sqref>IVS589829:IVS589852</xm:sqref>
        </x14:dataValidation>
        <x14:dataValidation type="list" allowBlank="1" showInputMessage="1" showErrorMessage="1" xr:uid="{00000000-0002-0000-0300-00003B0E0000}">
          <x14:formula1>
            <xm:f>項目!C17:$JFG$589825</xm:f>
          </x14:formula1>
          <xm:sqref>JFO589829:JFO589852</xm:sqref>
        </x14:dataValidation>
        <x14:dataValidation type="list" allowBlank="1" showInputMessage="1" showErrorMessage="1" xr:uid="{00000000-0002-0000-0300-00003C0E0000}">
          <x14:formula1>
            <xm:f>項目!C17:$JPC$589825</xm:f>
          </x14:formula1>
          <xm:sqref>JPK589829:JPK589852</xm:sqref>
        </x14:dataValidation>
        <x14:dataValidation type="list" allowBlank="1" showInputMessage="1" showErrorMessage="1" xr:uid="{00000000-0002-0000-0300-00003D0E0000}">
          <x14:formula1>
            <xm:f>項目!C17:$JYY$589825</xm:f>
          </x14:formula1>
          <xm:sqref>JZG589829:JZG589852</xm:sqref>
        </x14:dataValidation>
        <x14:dataValidation type="list" allowBlank="1" showInputMessage="1" showErrorMessage="1" xr:uid="{00000000-0002-0000-0300-00003E0E0000}">
          <x14:formula1>
            <xm:f>項目!C17:$KIU$589825</xm:f>
          </x14:formula1>
          <xm:sqref>KJC589829:KJC589852</xm:sqref>
        </x14:dataValidation>
        <x14:dataValidation type="list" allowBlank="1" showInputMessage="1" showErrorMessage="1" xr:uid="{00000000-0002-0000-0300-00003F0E0000}">
          <x14:formula1>
            <xm:f>項目!C17:$KSQ$589825</xm:f>
          </x14:formula1>
          <xm:sqref>KSY589829:KSY589852</xm:sqref>
        </x14:dataValidation>
        <x14:dataValidation type="list" allowBlank="1" showInputMessage="1" showErrorMessage="1" xr:uid="{00000000-0002-0000-0300-0000400E0000}">
          <x14:formula1>
            <xm:f>項目!C17:$LCM$589825</xm:f>
          </x14:formula1>
          <xm:sqref>LCU589829:LCU589852</xm:sqref>
        </x14:dataValidation>
        <x14:dataValidation type="list" allowBlank="1" showInputMessage="1" showErrorMessage="1" xr:uid="{00000000-0002-0000-0300-0000410E0000}">
          <x14:formula1>
            <xm:f>項目!C17:$LMI$589825</xm:f>
          </x14:formula1>
          <xm:sqref>LMQ589829:LMQ589852</xm:sqref>
        </x14:dataValidation>
        <x14:dataValidation type="list" allowBlank="1" showInputMessage="1" showErrorMessage="1" xr:uid="{00000000-0002-0000-0300-0000420E0000}">
          <x14:formula1>
            <xm:f>項目!C17:$LWE$589825</xm:f>
          </x14:formula1>
          <xm:sqref>LWM589829:LWM589852</xm:sqref>
        </x14:dataValidation>
        <x14:dataValidation type="list" allowBlank="1" showInputMessage="1" showErrorMessage="1" xr:uid="{00000000-0002-0000-0300-0000430E0000}">
          <x14:formula1>
            <xm:f>項目!C17:$MGA$589825</xm:f>
          </x14:formula1>
          <xm:sqref>MGI589829:MGI589852</xm:sqref>
        </x14:dataValidation>
        <x14:dataValidation type="list" allowBlank="1" showInputMessage="1" showErrorMessage="1" xr:uid="{00000000-0002-0000-0300-0000440E0000}">
          <x14:formula1>
            <xm:f>項目!C17:$MPW$589825</xm:f>
          </x14:formula1>
          <xm:sqref>MQE589829:MQE589852</xm:sqref>
        </x14:dataValidation>
        <x14:dataValidation type="list" allowBlank="1" showInputMessage="1" showErrorMessage="1" xr:uid="{00000000-0002-0000-0300-0000450E0000}">
          <x14:formula1>
            <xm:f>項目!C17:$MZS$589825</xm:f>
          </x14:formula1>
          <xm:sqref>NAA589829:NAA589852</xm:sqref>
        </x14:dataValidation>
        <x14:dataValidation type="list" allowBlank="1" showInputMessage="1" showErrorMessage="1" xr:uid="{00000000-0002-0000-0300-0000460E0000}">
          <x14:formula1>
            <xm:f>項目!C17:$NJO$589825</xm:f>
          </x14:formula1>
          <xm:sqref>NJW589829:NJW589852</xm:sqref>
        </x14:dataValidation>
        <x14:dataValidation type="list" allowBlank="1" showInputMessage="1" showErrorMessage="1" xr:uid="{00000000-0002-0000-0300-0000470E0000}">
          <x14:formula1>
            <xm:f>項目!C17:$NTK$589825</xm:f>
          </x14:formula1>
          <xm:sqref>NTS589829:NTS589852</xm:sqref>
        </x14:dataValidation>
        <x14:dataValidation type="list" allowBlank="1" showInputMessage="1" showErrorMessage="1" xr:uid="{00000000-0002-0000-0300-0000480E0000}">
          <x14:formula1>
            <xm:f>項目!C17:$ODG$589825</xm:f>
          </x14:formula1>
          <xm:sqref>ODO589829:ODO589852</xm:sqref>
        </x14:dataValidation>
        <x14:dataValidation type="list" allowBlank="1" showInputMessage="1" showErrorMessage="1" xr:uid="{00000000-0002-0000-0300-0000490E0000}">
          <x14:formula1>
            <xm:f>項目!C17:$ONC$589825</xm:f>
          </x14:formula1>
          <xm:sqref>ONK589829:ONK589852</xm:sqref>
        </x14:dataValidation>
        <x14:dataValidation type="list" allowBlank="1" showInputMessage="1" showErrorMessage="1" xr:uid="{00000000-0002-0000-0300-00004A0E0000}">
          <x14:formula1>
            <xm:f>項目!C17:$OWY$589825</xm:f>
          </x14:formula1>
          <xm:sqref>OXG589829:OXG589852</xm:sqref>
        </x14:dataValidation>
        <x14:dataValidation type="list" allowBlank="1" showInputMessage="1" showErrorMessage="1" xr:uid="{00000000-0002-0000-0300-00004B0E0000}">
          <x14:formula1>
            <xm:f>項目!C17:$PGU$589825</xm:f>
          </x14:formula1>
          <xm:sqref>PHC589829:PHC589852</xm:sqref>
        </x14:dataValidation>
        <x14:dataValidation type="list" allowBlank="1" showInputMessage="1" showErrorMessage="1" xr:uid="{00000000-0002-0000-0300-00004C0E0000}">
          <x14:formula1>
            <xm:f>項目!C17:$PQQ$589825</xm:f>
          </x14:formula1>
          <xm:sqref>PQY589829:PQY589852</xm:sqref>
        </x14:dataValidation>
        <x14:dataValidation type="list" allowBlank="1" showInputMessage="1" showErrorMessage="1" xr:uid="{00000000-0002-0000-0300-00004D0E0000}">
          <x14:formula1>
            <xm:f>項目!C17:$QAM$589825</xm:f>
          </x14:formula1>
          <xm:sqref>QAU589829:QAU589852</xm:sqref>
        </x14:dataValidation>
        <x14:dataValidation type="list" allowBlank="1" showInputMessage="1" showErrorMessage="1" xr:uid="{00000000-0002-0000-0300-00004E0E0000}">
          <x14:formula1>
            <xm:f>項目!C17:$QKI$589825</xm:f>
          </x14:formula1>
          <xm:sqref>QKQ589829:QKQ589852</xm:sqref>
        </x14:dataValidation>
        <x14:dataValidation type="list" allowBlank="1" showInputMessage="1" showErrorMessage="1" xr:uid="{00000000-0002-0000-0300-00004F0E0000}">
          <x14:formula1>
            <xm:f>項目!C17:$QUE$589825</xm:f>
          </x14:formula1>
          <xm:sqref>QUM589829:QUM589852</xm:sqref>
        </x14:dataValidation>
        <x14:dataValidation type="list" allowBlank="1" showInputMessage="1" showErrorMessage="1" xr:uid="{00000000-0002-0000-0300-0000500E0000}">
          <x14:formula1>
            <xm:f>項目!C17:$REA$589825</xm:f>
          </x14:formula1>
          <xm:sqref>REI589829:REI589852</xm:sqref>
        </x14:dataValidation>
        <x14:dataValidation type="list" allowBlank="1" showInputMessage="1" showErrorMessage="1" xr:uid="{00000000-0002-0000-0300-0000510E0000}">
          <x14:formula1>
            <xm:f>項目!C17:$RNW$589825</xm:f>
          </x14:formula1>
          <xm:sqref>ROE589829:ROE589852</xm:sqref>
        </x14:dataValidation>
        <x14:dataValidation type="list" allowBlank="1" showInputMessage="1" showErrorMessage="1" xr:uid="{00000000-0002-0000-0300-0000520E0000}">
          <x14:formula1>
            <xm:f>項目!C17:$RXS$589825</xm:f>
          </x14:formula1>
          <xm:sqref>RYA589829:RYA589852</xm:sqref>
        </x14:dataValidation>
        <x14:dataValidation type="list" allowBlank="1" showInputMessage="1" showErrorMessage="1" xr:uid="{00000000-0002-0000-0300-0000530E0000}">
          <x14:formula1>
            <xm:f>項目!C17:$SHO$589825</xm:f>
          </x14:formula1>
          <xm:sqref>SHW589829:SHW589852</xm:sqref>
        </x14:dataValidation>
        <x14:dataValidation type="list" allowBlank="1" showInputMessage="1" showErrorMessage="1" xr:uid="{00000000-0002-0000-0300-0000540E0000}">
          <x14:formula1>
            <xm:f>項目!C17:$SRK$589825</xm:f>
          </x14:formula1>
          <xm:sqref>SRS589829:SRS589852</xm:sqref>
        </x14:dataValidation>
        <x14:dataValidation type="list" allowBlank="1" showInputMessage="1" showErrorMessage="1" xr:uid="{00000000-0002-0000-0300-0000550E0000}">
          <x14:formula1>
            <xm:f>項目!C17:$TBG$589825</xm:f>
          </x14:formula1>
          <xm:sqref>TBO589829:TBO589852</xm:sqref>
        </x14:dataValidation>
        <x14:dataValidation type="list" allowBlank="1" showInputMessage="1" showErrorMessage="1" xr:uid="{00000000-0002-0000-0300-0000560E0000}">
          <x14:formula1>
            <xm:f>項目!C17:$TLC$589825</xm:f>
          </x14:formula1>
          <xm:sqref>TLK589829:TLK589852</xm:sqref>
        </x14:dataValidation>
        <x14:dataValidation type="list" allowBlank="1" showInputMessage="1" showErrorMessage="1" xr:uid="{00000000-0002-0000-0300-0000570E0000}">
          <x14:formula1>
            <xm:f>項目!C17:$TUY$589825</xm:f>
          </x14:formula1>
          <xm:sqref>TVG589829:TVG589852</xm:sqref>
        </x14:dataValidation>
        <x14:dataValidation type="list" allowBlank="1" showInputMessage="1" showErrorMessage="1" xr:uid="{00000000-0002-0000-0300-0000580E0000}">
          <x14:formula1>
            <xm:f>項目!C17:$UEU$589825</xm:f>
          </x14:formula1>
          <xm:sqref>UFC589829:UFC589852</xm:sqref>
        </x14:dataValidation>
        <x14:dataValidation type="list" allowBlank="1" showInputMessage="1" showErrorMessage="1" xr:uid="{00000000-0002-0000-0300-0000590E0000}">
          <x14:formula1>
            <xm:f>項目!C17:$UOQ$589825</xm:f>
          </x14:formula1>
          <xm:sqref>UOY589829:UOY589852</xm:sqref>
        </x14:dataValidation>
        <x14:dataValidation type="list" allowBlank="1" showInputMessage="1" showErrorMessage="1" xr:uid="{00000000-0002-0000-0300-00005A0E0000}">
          <x14:formula1>
            <xm:f>項目!C17:$UYM$589825</xm:f>
          </x14:formula1>
          <xm:sqref>UYU589829:UYU589852</xm:sqref>
        </x14:dataValidation>
        <x14:dataValidation type="list" allowBlank="1" showInputMessage="1" showErrorMessage="1" xr:uid="{00000000-0002-0000-0300-00005B0E0000}">
          <x14:formula1>
            <xm:f>項目!C17:$VII$589825</xm:f>
          </x14:formula1>
          <xm:sqref>VIQ589829:VIQ589852</xm:sqref>
        </x14:dataValidation>
        <x14:dataValidation type="list" allowBlank="1" showInputMessage="1" showErrorMessage="1" xr:uid="{00000000-0002-0000-0300-00005C0E0000}">
          <x14:formula1>
            <xm:f>項目!C17:$VSE$589825</xm:f>
          </x14:formula1>
          <xm:sqref>VSM589829:VSM589852</xm:sqref>
        </x14:dataValidation>
        <x14:dataValidation type="list" allowBlank="1" showInputMessage="1" showErrorMessage="1" xr:uid="{00000000-0002-0000-0300-00005D0E0000}">
          <x14:formula1>
            <xm:f>項目!C17:$WCA$589825</xm:f>
          </x14:formula1>
          <xm:sqref>WCI589829:WCI589852</xm:sqref>
        </x14:dataValidation>
        <x14:dataValidation type="list" allowBlank="1" showInputMessage="1" showErrorMessage="1" xr:uid="{00000000-0002-0000-0300-00005E0E0000}">
          <x14:formula1>
            <xm:f>項目!C17:$WLW$589825</xm:f>
          </x14:formula1>
          <xm:sqref>WME589829:WME589852</xm:sqref>
        </x14:dataValidation>
        <x14:dataValidation type="list" allowBlank="1" showInputMessage="1" showErrorMessage="1" xr:uid="{00000000-0002-0000-0300-00005F0E0000}">
          <x14:formula1>
            <xm:f>項目!C17:$WVS$589825</xm:f>
          </x14:formula1>
          <xm:sqref>WWA589829:WWA589852</xm:sqref>
        </x14:dataValidation>
        <x14:dataValidation type="list" allowBlank="1" showInputMessage="1" showErrorMessage="1" xr:uid="{00000000-0002-0000-0300-0000600E0000}">
          <x14:formula1>
            <xm:f>項目!C17:$M$655361</xm:f>
          </x14:formula1>
          <xm:sqref>S655365:S655388</xm:sqref>
        </x14:dataValidation>
        <x14:dataValidation type="list" allowBlank="1" showInputMessage="1" showErrorMessage="1" xr:uid="{00000000-0002-0000-0300-0000610E0000}">
          <x14:formula1>
            <xm:f>項目!C17:$JG$655361</xm:f>
          </x14:formula1>
          <xm:sqref>JO655365:JO655388</xm:sqref>
        </x14:dataValidation>
        <x14:dataValidation type="list" allowBlank="1" showInputMessage="1" showErrorMessage="1" xr:uid="{00000000-0002-0000-0300-0000620E0000}">
          <x14:formula1>
            <xm:f>項目!C17:$TC$655361</xm:f>
          </x14:formula1>
          <xm:sqref>TK655365:TK655388</xm:sqref>
        </x14:dataValidation>
        <x14:dataValidation type="list" allowBlank="1" showInputMessage="1" showErrorMessage="1" xr:uid="{00000000-0002-0000-0300-0000630E0000}">
          <x14:formula1>
            <xm:f>項目!C17:$ACY$655361</xm:f>
          </x14:formula1>
          <xm:sqref>ADG655365:ADG655388</xm:sqref>
        </x14:dataValidation>
        <x14:dataValidation type="list" allowBlank="1" showInputMessage="1" showErrorMessage="1" xr:uid="{00000000-0002-0000-0300-0000640E0000}">
          <x14:formula1>
            <xm:f>項目!C17:$AMU$655361</xm:f>
          </x14:formula1>
          <xm:sqref>ANC655365:ANC655388</xm:sqref>
        </x14:dataValidation>
        <x14:dataValidation type="list" allowBlank="1" showInputMessage="1" showErrorMessage="1" xr:uid="{00000000-0002-0000-0300-0000650E0000}">
          <x14:formula1>
            <xm:f>項目!C17:$AWQ$655361</xm:f>
          </x14:formula1>
          <xm:sqref>AWY655365:AWY655388</xm:sqref>
        </x14:dataValidation>
        <x14:dataValidation type="list" allowBlank="1" showInputMessage="1" showErrorMessage="1" xr:uid="{00000000-0002-0000-0300-0000660E0000}">
          <x14:formula1>
            <xm:f>項目!C17:$BGM$655361</xm:f>
          </x14:formula1>
          <xm:sqref>BGU655365:BGU655388</xm:sqref>
        </x14:dataValidation>
        <x14:dataValidation type="list" allowBlank="1" showInputMessage="1" showErrorMessage="1" xr:uid="{00000000-0002-0000-0300-0000670E0000}">
          <x14:formula1>
            <xm:f>項目!C17:$BQI$655361</xm:f>
          </x14:formula1>
          <xm:sqref>BQQ655365:BQQ655388</xm:sqref>
        </x14:dataValidation>
        <x14:dataValidation type="list" allowBlank="1" showInputMessage="1" showErrorMessage="1" xr:uid="{00000000-0002-0000-0300-0000680E0000}">
          <x14:formula1>
            <xm:f>項目!C17:$CAE$655361</xm:f>
          </x14:formula1>
          <xm:sqref>CAM655365:CAM655388</xm:sqref>
        </x14:dataValidation>
        <x14:dataValidation type="list" allowBlank="1" showInputMessage="1" showErrorMessage="1" xr:uid="{00000000-0002-0000-0300-0000690E0000}">
          <x14:formula1>
            <xm:f>項目!C17:$CKA$655361</xm:f>
          </x14:formula1>
          <xm:sqref>CKI655365:CKI655388</xm:sqref>
        </x14:dataValidation>
        <x14:dataValidation type="list" allowBlank="1" showInputMessage="1" showErrorMessage="1" xr:uid="{00000000-0002-0000-0300-00006A0E0000}">
          <x14:formula1>
            <xm:f>項目!C17:$CTW$655361</xm:f>
          </x14:formula1>
          <xm:sqref>CUE655365:CUE655388</xm:sqref>
        </x14:dataValidation>
        <x14:dataValidation type="list" allowBlank="1" showInputMessage="1" showErrorMessage="1" xr:uid="{00000000-0002-0000-0300-00006B0E0000}">
          <x14:formula1>
            <xm:f>項目!C17:$DDS$655361</xm:f>
          </x14:formula1>
          <xm:sqref>DEA655365:DEA655388</xm:sqref>
        </x14:dataValidation>
        <x14:dataValidation type="list" allowBlank="1" showInputMessage="1" showErrorMessage="1" xr:uid="{00000000-0002-0000-0300-00006C0E0000}">
          <x14:formula1>
            <xm:f>項目!C17:$DNO$655361</xm:f>
          </x14:formula1>
          <xm:sqref>DNW655365:DNW655388</xm:sqref>
        </x14:dataValidation>
        <x14:dataValidation type="list" allowBlank="1" showInputMessage="1" showErrorMessage="1" xr:uid="{00000000-0002-0000-0300-00006D0E0000}">
          <x14:formula1>
            <xm:f>項目!C17:$DXK$655361</xm:f>
          </x14:formula1>
          <xm:sqref>DXS655365:DXS655388</xm:sqref>
        </x14:dataValidation>
        <x14:dataValidation type="list" allowBlank="1" showInputMessage="1" showErrorMessage="1" xr:uid="{00000000-0002-0000-0300-00006E0E0000}">
          <x14:formula1>
            <xm:f>項目!C17:$EHG$655361</xm:f>
          </x14:formula1>
          <xm:sqref>EHO655365:EHO655388</xm:sqref>
        </x14:dataValidation>
        <x14:dataValidation type="list" allowBlank="1" showInputMessage="1" showErrorMessage="1" xr:uid="{00000000-0002-0000-0300-00006F0E0000}">
          <x14:formula1>
            <xm:f>項目!C17:$ERC$655361</xm:f>
          </x14:formula1>
          <xm:sqref>ERK655365:ERK655388</xm:sqref>
        </x14:dataValidation>
        <x14:dataValidation type="list" allowBlank="1" showInputMessage="1" showErrorMessage="1" xr:uid="{00000000-0002-0000-0300-0000700E0000}">
          <x14:formula1>
            <xm:f>項目!C17:$FAY$655361</xm:f>
          </x14:formula1>
          <xm:sqref>FBG655365:FBG655388</xm:sqref>
        </x14:dataValidation>
        <x14:dataValidation type="list" allowBlank="1" showInputMessage="1" showErrorMessage="1" xr:uid="{00000000-0002-0000-0300-0000710E0000}">
          <x14:formula1>
            <xm:f>項目!C17:$FKU$655361</xm:f>
          </x14:formula1>
          <xm:sqref>FLC655365:FLC655388</xm:sqref>
        </x14:dataValidation>
        <x14:dataValidation type="list" allowBlank="1" showInputMessage="1" showErrorMessage="1" xr:uid="{00000000-0002-0000-0300-0000720E0000}">
          <x14:formula1>
            <xm:f>項目!C17:$FUQ$655361</xm:f>
          </x14:formula1>
          <xm:sqref>FUY655365:FUY655388</xm:sqref>
        </x14:dataValidation>
        <x14:dataValidation type="list" allowBlank="1" showInputMessage="1" showErrorMessage="1" xr:uid="{00000000-0002-0000-0300-0000730E0000}">
          <x14:formula1>
            <xm:f>項目!C17:$GEM$655361</xm:f>
          </x14:formula1>
          <xm:sqref>GEU655365:GEU655388</xm:sqref>
        </x14:dataValidation>
        <x14:dataValidation type="list" allowBlank="1" showInputMessage="1" showErrorMessage="1" xr:uid="{00000000-0002-0000-0300-0000740E0000}">
          <x14:formula1>
            <xm:f>項目!C17:$GOI$655361</xm:f>
          </x14:formula1>
          <xm:sqref>GOQ655365:GOQ655388</xm:sqref>
        </x14:dataValidation>
        <x14:dataValidation type="list" allowBlank="1" showInputMessage="1" showErrorMessage="1" xr:uid="{00000000-0002-0000-0300-0000750E0000}">
          <x14:formula1>
            <xm:f>項目!C17:$GYE$655361</xm:f>
          </x14:formula1>
          <xm:sqref>GYM655365:GYM655388</xm:sqref>
        </x14:dataValidation>
        <x14:dataValidation type="list" allowBlank="1" showInputMessage="1" showErrorMessage="1" xr:uid="{00000000-0002-0000-0300-0000760E0000}">
          <x14:formula1>
            <xm:f>項目!C17:$HIA$655361</xm:f>
          </x14:formula1>
          <xm:sqref>HII655365:HII655388</xm:sqref>
        </x14:dataValidation>
        <x14:dataValidation type="list" allowBlank="1" showInputMessage="1" showErrorMessage="1" xr:uid="{00000000-0002-0000-0300-0000770E0000}">
          <x14:formula1>
            <xm:f>項目!C17:$HRW$655361</xm:f>
          </x14:formula1>
          <xm:sqref>HSE655365:HSE655388</xm:sqref>
        </x14:dataValidation>
        <x14:dataValidation type="list" allowBlank="1" showInputMessage="1" showErrorMessage="1" xr:uid="{00000000-0002-0000-0300-0000780E0000}">
          <x14:formula1>
            <xm:f>項目!C17:$IBS$655361</xm:f>
          </x14:formula1>
          <xm:sqref>ICA655365:ICA655388</xm:sqref>
        </x14:dataValidation>
        <x14:dataValidation type="list" allowBlank="1" showInputMessage="1" showErrorMessage="1" xr:uid="{00000000-0002-0000-0300-0000790E0000}">
          <x14:formula1>
            <xm:f>項目!C17:$ILO$655361</xm:f>
          </x14:formula1>
          <xm:sqref>ILW655365:ILW655388</xm:sqref>
        </x14:dataValidation>
        <x14:dataValidation type="list" allowBlank="1" showInputMessage="1" showErrorMessage="1" xr:uid="{00000000-0002-0000-0300-00007A0E0000}">
          <x14:formula1>
            <xm:f>項目!C17:$IVK$655361</xm:f>
          </x14:formula1>
          <xm:sqref>IVS655365:IVS655388</xm:sqref>
        </x14:dataValidation>
        <x14:dataValidation type="list" allowBlank="1" showInputMessage="1" showErrorMessage="1" xr:uid="{00000000-0002-0000-0300-00007B0E0000}">
          <x14:formula1>
            <xm:f>項目!C17:$JFG$655361</xm:f>
          </x14:formula1>
          <xm:sqref>JFO655365:JFO655388</xm:sqref>
        </x14:dataValidation>
        <x14:dataValidation type="list" allowBlank="1" showInputMessage="1" showErrorMessage="1" xr:uid="{00000000-0002-0000-0300-00007C0E0000}">
          <x14:formula1>
            <xm:f>項目!C17:$JPC$655361</xm:f>
          </x14:formula1>
          <xm:sqref>JPK655365:JPK655388</xm:sqref>
        </x14:dataValidation>
        <x14:dataValidation type="list" allowBlank="1" showInputMessage="1" showErrorMessage="1" xr:uid="{00000000-0002-0000-0300-00007D0E0000}">
          <x14:formula1>
            <xm:f>項目!C17:$JYY$655361</xm:f>
          </x14:formula1>
          <xm:sqref>JZG655365:JZG655388</xm:sqref>
        </x14:dataValidation>
        <x14:dataValidation type="list" allowBlank="1" showInputMessage="1" showErrorMessage="1" xr:uid="{00000000-0002-0000-0300-00007E0E0000}">
          <x14:formula1>
            <xm:f>項目!C17:$KIU$655361</xm:f>
          </x14:formula1>
          <xm:sqref>KJC655365:KJC655388</xm:sqref>
        </x14:dataValidation>
        <x14:dataValidation type="list" allowBlank="1" showInputMessage="1" showErrorMessage="1" xr:uid="{00000000-0002-0000-0300-00007F0E0000}">
          <x14:formula1>
            <xm:f>項目!C17:$KSQ$655361</xm:f>
          </x14:formula1>
          <xm:sqref>KSY655365:KSY655388</xm:sqref>
        </x14:dataValidation>
        <x14:dataValidation type="list" allowBlank="1" showInputMessage="1" showErrorMessage="1" xr:uid="{00000000-0002-0000-0300-0000800E0000}">
          <x14:formula1>
            <xm:f>項目!C17:$LCM$655361</xm:f>
          </x14:formula1>
          <xm:sqref>LCU655365:LCU655388</xm:sqref>
        </x14:dataValidation>
        <x14:dataValidation type="list" allowBlank="1" showInputMessage="1" showErrorMessage="1" xr:uid="{00000000-0002-0000-0300-0000810E0000}">
          <x14:formula1>
            <xm:f>項目!C17:$LMI$655361</xm:f>
          </x14:formula1>
          <xm:sqref>LMQ655365:LMQ655388</xm:sqref>
        </x14:dataValidation>
        <x14:dataValidation type="list" allowBlank="1" showInputMessage="1" showErrorMessage="1" xr:uid="{00000000-0002-0000-0300-0000820E0000}">
          <x14:formula1>
            <xm:f>項目!C17:$LWE$655361</xm:f>
          </x14:formula1>
          <xm:sqref>LWM655365:LWM655388</xm:sqref>
        </x14:dataValidation>
        <x14:dataValidation type="list" allowBlank="1" showInputMessage="1" showErrorMessage="1" xr:uid="{00000000-0002-0000-0300-0000830E0000}">
          <x14:formula1>
            <xm:f>項目!C17:$MGA$655361</xm:f>
          </x14:formula1>
          <xm:sqref>MGI655365:MGI655388</xm:sqref>
        </x14:dataValidation>
        <x14:dataValidation type="list" allowBlank="1" showInputMessage="1" showErrorMessage="1" xr:uid="{00000000-0002-0000-0300-0000840E0000}">
          <x14:formula1>
            <xm:f>項目!C17:$MPW$655361</xm:f>
          </x14:formula1>
          <xm:sqref>MQE655365:MQE655388</xm:sqref>
        </x14:dataValidation>
        <x14:dataValidation type="list" allowBlank="1" showInputMessage="1" showErrorMessage="1" xr:uid="{00000000-0002-0000-0300-0000850E0000}">
          <x14:formula1>
            <xm:f>項目!C17:$MZS$655361</xm:f>
          </x14:formula1>
          <xm:sqref>NAA655365:NAA655388</xm:sqref>
        </x14:dataValidation>
        <x14:dataValidation type="list" allowBlank="1" showInputMessage="1" showErrorMessage="1" xr:uid="{00000000-0002-0000-0300-0000860E0000}">
          <x14:formula1>
            <xm:f>項目!C17:$NJO$655361</xm:f>
          </x14:formula1>
          <xm:sqref>NJW655365:NJW655388</xm:sqref>
        </x14:dataValidation>
        <x14:dataValidation type="list" allowBlank="1" showInputMessage="1" showErrorMessage="1" xr:uid="{00000000-0002-0000-0300-0000870E0000}">
          <x14:formula1>
            <xm:f>項目!C17:$NTK$655361</xm:f>
          </x14:formula1>
          <xm:sqref>NTS655365:NTS655388</xm:sqref>
        </x14:dataValidation>
        <x14:dataValidation type="list" allowBlank="1" showInputMessage="1" showErrorMessage="1" xr:uid="{00000000-0002-0000-0300-0000880E0000}">
          <x14:formula1>
            <xm:f>項目!C17:$ODG$655361</xm:f>
          </x14:formula1>
          <xm:sqref>ODO655365:ODO655388</xm:sqref>
        </x14:dataValidation>
        <x14:dataValidation type="list" allowBlank="1" showInputMessage="1" showErrorMessage="1" xr:uid="{00000000-0002-0000-0300-0000890E0000}">
          <x14:formula1>
            <xm:f>項目!C17:$ONC$655361</xm:f>
          </x14:formula1>
          <xm:sqref>ONK655365:ONK655388</xm:sqref>
        </x14:dataValidation>
        <x14:dataValidation type="list" allowBlank="1" showInputMessage="1" showErrorMessage="1" xr:uid="{00000000-0002-0000-0300-00008A0E0000}">
          <x14:formula1>
            <xm:f>項目!C17:$OWY$655361</xm:f>
          </x14:formula1>
          <xm:sqref>OXG655365:OXG655388</xm:sqref>
        </x14:dataValidation>
        <x14:dataValidation type="list" allowBlank="1" showInputMessage="1" showErrorMessage="1" xr:uid="{00000000-0002-0000-0300-00008B0E0000}">
          <x14:formula1>
            <xm:f>項目!C17:$PGU$655361</xm:f>
          </x14:formula1>
          <xm:sqref>PHC655365:PHC655388</xm:sqref>
        </x14:dataValidation>
        <x14:dataValidation type="list" allowBlank="1" showInputMessage="1" showErrorMessage="1" xr:uid="{00000000-0002-0000-0300-00008C0E0000}">
          <x14:formula1>
            <xm:f>項目!C17:$PQQ$655361</xm:f>
          </x14:formula1>
          <xm:sqref>PQY655365:PQY655388</xm:sqref>
        </x14:dataValidation>
        <x14:dataValidation type="list" allowBlank="1" showInputMessage="1" showErrorMessage="1" xr:uid="{00000000-0002-0000-0300-00008D0E0000}">
          <x14:formula1>
            <xm:f>項目!C17:$QAM$655361</xm:f>
          </x14:formula1>
          <xm:sqref>QAU655365:QAU655388</xm:sqref>
        </x14:dataValidation>
        <x14:dataValidation type="list" allowBlank="1" showInputMessage="1" showErrorMessage="1" xr:uid="{00000000-0002-0000-0300-00008E0E0000}">
          <x14:formula1>
            <xm:f>項目!C17:$QKI$655361</xm:f>
          </x14:formula1>
          <xm:sqref>QKQ655365:QKQ655388</xm:sqref>
        </x14:dataValidation>
        <x14:dataValidation type="list" allowBlank="1" showInputMessage="1" showErrorMessage="1" xr:uid="{00000000-0002-0000-0300-00008F0E0000}">
          <x14:formula1>
            <xm:f>項目!C17:$QUE$655361</xm:f>
          </x14:formula1>
          <xm:sqref>QUM655365:QUM655388</xm:sqref>
        </x14:dataValidation>
        <x14:dataValidation type="list" allowBlank="1" showInputMessage="1" showErrorMessage="1" xr:uid="{00000000-0002-0000-0300-0000900E0000}">
          <x14:formula1>
            <xm:f>項目!C17:$REA$655361</xm:f>
          </x14:formula1>
          <xm:sqref>REI655365:REI655388</xm:sqref>
        </x14:dataValidation>
        <x14:dataValidation type="list" allowBlank="1" showInputMessage="1" showErrorMessage="1" xr:uid="{00000000-0002-0000-0300-0000910E0000}">
          <x14:formula1>
            <xm:f>項目!C17:$RNW$655361</xm:f>
          </x14:formula1>
          <xm:sqref>ROE655365:ROE655388</xm:sqref>
        </x14:dataValidation>
        <x14:dataValidation type="list" allowBlank="1" showInputMessage="1" showErrorMessage="1" xr:uid="{00000000-0002-0000-0300-0000920E0000}">
          <x14:formula1>
            <xm:f>項目!C17:$RXS$655361</xm:f>
          </x14:formula1>
          <xm:sqref>RYA655365:RYA655388</xm:sqref>
        </x14:dataValidation>
        <x14:dataValidation type="list" allowBlank="1" showInputMessage="1" showErrorMessage="1" xr:uid="{00000000-0002-0000-0300-0000930E0000}">
          <x14:formula1>
            <xm:f>項目!C17:$SHO$655361</xm:f>
          </x14:formula1>
          <xm:sqref>SHW655365:SHW655388</xm:sqref>
        </x14:dataValidation>
        <x14:dataValidation type="list" allowBlank="1" showInputMessage="1" showErrorMessage="1" xr:uid="{00000000-0002-0000-0300-0000940E0000}">
          <x14:formula1>
            <xm:f>項目!C17:$SRK$655361</xm:f>
          </x14:formula1>
          <xm:sqref>SRS655365:SRS655388</xm:sqref>
        </x14:dataValidation>
        <x14:dataValidation type="list" allowBlank="1" showInputMessage="1" showErrorMessage="1" xr:uid="{00000000-0002-0000-0300-0000950E0000}">
          <x14:formula1>
            <xm:f>項目!C17:$TBG$655361</xm:f>
          </x14:formula1>
          <xm:sqref>TBO655365:TBO655388</xm:sqref>
        </x14:dataValidation>
        <x14:dataValidation type="list" allowBlank="1" showInputMessage="1" showErrorMessage="1" xr:uid="{00000000-0002-0000-0300-0000960E0000}">
          <x14:formula1>
            <xm:f>項目!C17:$TLC$655361</xm:f>
          </x14:formula1>
          <xm:sqref>TLK655365:TLK655388</xm:sqref>
        </x14:dataValidation>
        <x14:dataValidation type="list" allowBlank="1" showInputMessage="1" showErrorMessage="1" xr:uid="{00000000-0002-0000-0300-0000970E0000}">
          <x14:formula1>
            <xm:f>項目!C17:$TUY$655361</xm:f>
          </x14:formula1>
          <xm:sqref>TVG655365:TVG655388</xm:sqref>
        </x14:dataValidation>
        <x14:dataValidation type="list" allowBlank="1" showInputMessage="1" showErrorMessage="1" xr:uid="{00000000-0002-0000-0300-0000980E0000}">
          <x14:formula1>
            <xm:f>項目!C17:$UEU$655361</xm:f>
          </x14:formula1>
          <xm:sqref>UFC655365:UFC655388</xm:sqref>
        </x14:dataValidation>
        <x14:dataValidation type="list" allowBlank="1" showInputMessage="1" showErrorMessage="1" xr:uid="{00000000-0002-0000-0300-0000990E0000}">
          <x14:formula1>
            <xm:f>項目!C17:$UOQ$655361</xm:f>
          </x14:formula1>
          <xm:sqref>UOY655365:UOY655388</xm:sqref>
        </x14:dataValidation>
        <x14:dataValidation type="list" allowBlank="1" showInputMessage="1" showErrorMessage="1" xr:uid="{00000000-0002-0000-0300-00009A0E0000}">
          <x14:formula1>
            <xm:f>項目!C17:$UYM$655361</xm:f>
          </x14:formula1>
          <xm:sqref>UYU655365:UYU655388</xm:sqref>
        </x14:dataValidation>
        <x14:dataValidation type="list" allowBlank="1" showInputMessage="1" showErrorMessage="1" xr:uid="{00000000-0002-0000-0300-00009B0E0000}">
          <x14:formula1>
            <xm:f>項目!C17:$VII$655361</xm:f>
          </x14:formula1>
          <xm:sqref>VIQ655365:VIQ655388</xm:sqref>
        </x14:dataValidation>
        <x14:dataValidation type="list" allowBlank="1" showInputMessage="1" showErrorMessage="1" xr:uid="{00000000-0002-0000-0300-00009C0E0000}">
          <x14:formula1>
            <xm:f>項目!C17:$VSE$655361</xm:f>
          </x14:formula1>
          <xm:sqref>VSM655365:VSM655388</xm:sqref>
        </x14:dataValidation>
        <x14:dataValidation type="list" allowBlank="1" showInputMessage="1" showErrorMessage="1" xr:uid="{00000000-0002-0000-0300-00009D0E0000}">
          <x14:formula1>
            <xm:f>項目!C17:$WCA$655361</xm:f>
          </x14:formula1>
          <xm:sqref>WCI655365:WCI655388</xm:sqref>
        </x14:dataValidation>
        <x14:dataValidation type="list" allowBlank="1" showInputMessage="1" showErrorMessage="1" xr:uid="{00000000-0002-0000-0300-00009E0E0000}">
          <x14:formula1>
            <xm:f>項目!C17:$WLW$655361</xm:f>
          </x14:formula1>
          <xm:sqref>WME655365:WME655388</xm:sqref>
        </x14:dataValidation>
        <x14:dataValidation type="list" allowBlank="1" showInputMessage="1" showErrorMessage="1" xr:uid="{00000000-0002-0000-0300-00009F0E0000}">
          <x14:formula1>
            <xm:f>項目!C17:$WVS$655361</xm:f>
          </x14:formula1>
          <xm:sqref>WWA655365:WWA655388</xm:sqref>
        </x14:dataValidation>
        <x14:dataValidation type="list" allowBlank="1" showInputMessage="1" showErrorMessage="1" xr:uid="{00000000-0002-0000-0300-0000A00E0000}">
          <x14:formula1>
            <xm:f>項目!C17:$M$720897</xm:f>
          </x14:formula1>
          <xm:sqref>S720901:S720924</xm:sqref>
        </x14:dataValidation>
        <x14:dataValidation type="list" allowBlank="1" showInputMessage="1" showErrorMessage="1" xr:uid="{00000000-0002-0000-0300-0000A10E0000}">
          <x14:formula1>
            <xm:f>項目!C17:$JG$720897</xm:f>
          </x14:formula1>
          <xm:sqref>JO720901:JO720924</xm:sqref>
        </x14:dataValidation>
        <x14:dataValidation type="list" allowBlank="1" showInputMessage="1" showErrorMessage="1" xr:uid="{00000000-0002-0000-0300-0000A20E0000}">
          <x14:formula1>
            <xm:f>項目!C17:$TC$720897</xm:f>
          </x14:formula1>
          <xm:sqref>TK720901:TK720924</xm:sqref>
        </x14:dataValidation>
        <x14:dataValidation type="list" allowBlank="1" showInputMessage="1" showErrorMessage="1" xr:uid="{00000000-0002-0000-0300-0000A30E0000}">
          <x14:formula1>
            <xm:f>項目!C17:$ACY$720897</xm:f>
          </x14:formula1>
          <xm:sqref>ADG720901:ADG720924</xm:sqref>
        </x14:dataValidation>
        <x14:dataValidation type="list" allowBlank="1" showInputMessage="1" showErrorMessage="1" xr:uid="{00000000-0002-0000-0300-0000A40E0000}">
          <x14:formula1>
            <xm:f>項目!C17:$AMU$720897</xm:f>
          </x14:formula1>
          <xm:sqref>ANC720901:ANC720924</xm:sqref>
        </x14:dataValidation>
        <x14:dataValidation type="list" allowBlank="1" showInputMessage="1" showErrorMessage="1" xr:uid="{00000000-0002-0000-0300-0000A50E0000}">
          <x14:formula1>
            <xm:f>項目!C17:$AWQ$720897</xm:f>
          </x14:formula1>
          <xm:sqref>AWY720901:AWY720924</xm:sqref>
        </x14:dataValidation>
        <x14:dataValidation type="list" allowBlank="1" showInputMessage="1" showErrorMessage="1" xr:uid="{00000000-0002-0000-0300-0000A60E0000}">
          <x14:formula1>
            <xm:f>項目!C17:$BGM$720897</xm:f>
          </x14:formula1>
          <xm:sqref>BGU720901:BGU720924</xm:sqref>
        </x14:dataValidation>
        <x14:dataValidation type="list" allowBlank="1" showInputMessage="1" showErrorMessage="1" xr:uid="{00000000-0002-0000-0300-0000A70E0000}">
          <x14:formula1>
            <xm:f>項目!C17:$BQI$720897</xm:f>
          </x14:formula1>
          <xm:sqref>BQQ720901:BQQ720924</xm:sqref>
        </x14:dataValidation>
        <x14:dataValidation type="list" allowBlank="1" showInputMessage="1" showErrorMessage="1" xr:uid="{00000000-0002-0000-0300-0000A80E0000}">
          <x14:formula1>
            <xm:f>項目!C17:$CAE$720897</xm:f>
          </x14:formula1>
          <xm:sqref>CAM720901:CAM720924</xm:sqref>
        </x14:dataValidation>
        <x14:dataValidation type="list" allowBlank="1" showInputMessage="1" showErrorMessage="1" xr:uid="{00000000-0002-0000-0300-0000A90E0000}">
          <x14:formula1>
            <xm:f>項目!C17:$CKA$720897</xm:f>
          </x14:formula1>
          <xm:sqref>CKI720901:CKI720924</xm:sqref>
        </x14:dataValidation>
        <x14:dataValidation type="list" allowBlank="1" showInputMessage="1" showErrorMessage="1" xr:uid="{00000000-0002-0000-0300-0000AA0E0000}">
          <x14:formula1>
            <xm:f>項目!C17:$CTW$720897</xm:f>
          </x14:formula1>
          <xm:sqref>CUE720901:CUE720924</xm:sqref>
        </x14:dataValidation>
        <x14:dataValidation type="list" allowBlank="1" showInputMessage="1" showErrorMessage="1" xr:uid="{00000000-0002-0000-0300-0000AB0E0000}">
          <x14:formula1>
            <xm:f>項目!C17:$DDS$720897</xm:f>
          </x14:formula1>
          <xm:sqref>DEA720901:DEA720924</xm:sqref>
        </x14:dataValidation>
        <x14:dataValidation type="list" allowBlank="1" showInputMessage="1" showErrorMessage="1" xr:uid="{00000000-0002-0000-0300-0000AC0E0000}">
          <x14:formula1>
            <xm:f>項目!C17:$DNO$720897</xm:f>
          </x14:formula1>
          <xm:sqref>DNW720901:DNW720924</xm:sqref>
        </x14:dataValidation>
        <x14:dataValidation type="list" allowBlank="1" showInputMessage="1" showErrorMessage="1" xr:uid="{00000000-0002-0000-0300-0000AD0E0000}">
          <x14:formula1>
            <xm:f>項目!C17:$DXK$720897</xm:f>
          </x14:formula1>
          <xm:sqref>DXS720901:DXS720924</xm:sqref>
        </x14:dataValidation>
        <x14:dataValidation type="list" allowBlank="1" showInputMessage="1" showErrorMessage="1" xr:uid="{00000000-0002-0000-0300-0000AE0E0000}">
          <x14:formula1>
            <xm:f>項目!C17:$EHG$720897</xm:f>
          </x14:formula1>
          <xm:sqref>EHO720901:EHO720924</xm:sqref>
        </x14:dataValidation>
        <x14:dataValidation type="list" allowBlank="1" showInputMessage="1" showErrorMessage="1" xr:uid="{00000000-0002-0000-0300-0000AF0E0000}">
          <x14:formula1>
            <xm:f>項目!C17:$ERC$720897</xm:f>
          </x14:formula1>
          <xm:sqref>ERK720901:ERK720924</xm:sqref>
        </x14:dataValidation>
        <x14:dataValidation type="list" allowBlank="1" showInputMessage="1" showErrorMessage="1" xr:uid="{00000000-0002-0000-0300-0000B00E0000}">
          <x14:formula1>
            <xm:f>項目!C17:$FAY$720897</xm:f>
          </x14:formula1>
          <xm:sqref>FBG720901:FBG720924</xm:sqref>
        </x14:dataValidation>
        <x14:dataValidation type="list" allowBlank="1" showInputMessage="1" showErrorMessage="1" xr:uid="{00000000-0002-0000-0300-0000B10E0000}">
          <x14:formula1>
            <xm:f>項目!C17:$FKU$720897</xm:f>
          </x14:formula1>
          <xm:sqref>FLC720901:FLC720924</xm:sqref>
        </x14:dataValidation>
        <x14:dataValidation type="list" allowBlank="1" showInputMessage="1" showErrorMessage="1" xr:uid="{00000000-0002-0000-0300-0000B20E0000}">
          <x14:formula1>
            <xm:f>項目!C17:$FUQ$720897</xm:f>
          </x14:formula1>
          <xm:sqref>FUY720901:FUY720924</xm:sqref>
        </x14:dataValidation>
        <x14:dataValidation type="list" allowBlank="1" showInputMessage="1" showErrorMessage="1" xr:uid="{00000000-0002-0000-0300-0000B30E0000}">
          <x14:formula1>
            <xm:f>項目!C17:$GEM$720897</xm:f>
          </x14:formula1>
          <xm:sqref>GEU720901:GEU720924</xm:sqref>
        </x14:dataValidation>
        <x14:dataValidation type="list" allowBlank="1" showInputMessage="1" showErrorMessage="1" xr:uid="{00000000-0002-0000-0300-0000B40E0000}">
          <x14:formula1>
            <xm:f>項目!C17:$GOI$720897</xm:f>
          </x14:formula1>
          <xm:sqref>GOQ720901:GOQ720924</xm:sqref>
        </x14:dataValidation>
        <x14:dataValidation type="list" allowBlank="1" showInputMessage="1" showErrorMessage="1" xr:uid="{00000000-0002-0000-0300-0000B50E0000}">
          <x14:formula1>
            <xm:f>項目!C17:$GYE$720897</xm:f>
          </x14:formula1>
          <xm:sqref>GYM720901:GYM720924</xm:sqref>
        </x14:dataValidation>
        <x14:dataValidation type="list" allowBlank="1" showInputMessage="1" showErrorMessage="1" xr:uid="{00000000-0002-0000-0300-0000B60E0000}">
          <x14:formula1>
            <xm:f>項目!C17:$HIA$720897</xm:f>
          </x14:formula1>
          <xm:sqref>HII720901:HII720924</xm:sqref>
        </x14:dataValidation>
        <x14:dataValidation type="list" allowBlank="1" showInputMessage="1" showErrorMessage="1" xr:uid="{00000000-0002-0000-0300-0000B70E0000}">
          <x14:formula1>
            <xm:f>項目!C17:$HRW$720897</xm:f>
          </x14:formula1>
          <xm:sqref>HSE720901:HSE720924</xm:sqref>
        </x14:dataValidation>
        <x14:dataValidation type="list" allowBlank="1" showInputMessage="1" showErrorMessage="1" xr:uid="{00000000-0002-0000-0300-0000B80E0000}">
          <x14:formula1>
            <xm:f>項目!C17:$IBS$720897</xm:f>
          </x14:formula1>
          <xm:sqref>ICA720901:ICA720924</xm:sqref>
        </x14:dataValidation>
        <x14:dataValidation type="list" allowBlank="1" showInputMessage="1" showErrorMessage="1" xr:uid="{00000000-0002-0000-0300-0000B90E0000}">
          <x14:formula1>
            <xm:f>項目!C17:$ILO$720897</xm:f>
          </x14:formula1>
          <xm:sqref>ILW720901:ILW720924</xm:sqref>
        </x14:dataValidation>
        <x14:dataValidation type="list" allowBlank="1" showInputMessage="1" showErrorMessage="1" xr:uid="{00000000-0002-0000-0300-0000BA0E0000}">
          <x14:formula1>
            <xm:f>項目!C17:$IVK$720897</xm:f>
          </x14:formula1>
          <xm:sqref>IVS720901:IVS720924</xm:sqref>
        </x14:dataValidation>
        <x14:dataValidation type="list" allowBlank="1" showInputMessage="1" showErrorMessage="1" xr:uid="{00000000-0002-0000-0300-0000BB0E0000}">
          <x14:formula1>
            <xm:f>項目!C17:$JFG$720897</xm:f>
          </x14:formula1>
          <xm:sqref>JFO720901:JFO720924</xm:sqref>
        </x14:dataValidation>
        <x14:dataValidation type="list" allowBlank="1" showInputMessage="1" showErrorMessage="1" xr:uid="{00000000-0002-0000-0300-0000BC0E0000}">
          <x14:formula1>
            <xm:f>項目!C17:$JPC$720897</xm:f>
          </x14:formula1>
          <xm:sqref>JPK720901:JPK720924</xm:sqref>
        </x14:dataValidation>
        <x14:dataValidation type="list" allowBlank="1" showInputMessage="1" showErrorMessage="1" xr:uid="{00000000-0002-0000-0300-0000BD0E0000}">
          <x14:formula1>
            <xm:f>項目!C17:$JYY$720897</xm:f>
          </x14:formula1>
          <xm:sqref>JZG720901:JZG720924</xm:sqref>
        </x14:dataValidation>
        <x14:dataValidation type="list" allowBlank="1" showInputMessage="1" showErrorMessage="1" xr:uid="{00000000-0002-0000-0300-0000BE0E0000}">
          <x14:formula1>
            <xm:f>項目!C17:$KIU$720897</xm:f>
          </x14:formula1>
          <xm:sqref>KJC720901:KJC720924</xm:sqref>
        </x14:dataValidation>
        <x14:dataValidation type="list" allowBlank="1" showInputMessage="1" showErrorMessage="1" xr:uid="{00000000-0002-0000-0300-0000BF0E0000}">
          <x14:formula1>
            <xm:f>項目!C17:$KSQ$720897</xm:f>
          </x14:formula1>
          <xm:sqref>KSY720901:KSY720924</xm:sqref>
        </x14:dataValidation>
        <x14:dataValidation type="list" allowBlank="1" showInputMessage="1" showErrorMessage="1" xr:uid="{00000000-0002-0000-0300-0000C00E0000}">
          <x14:formula1>
            <xm:f>項目!C17:$LCM$720897</xm:f>
          </x14:formula1>
          <xm:sqref>LCU720901:LCU720924</xm:sqref>
        </x14:dataValidation>
        <x14:dataValidation type="list" allowBlank="1" showInputMessage="1" showErrorMessage="1" xr:uid="{00000000-0002-0000-0300-0000C10E0000}">
          <x14:formula1>
            <xm:f>項目!C17:$LMI$720897</xm:f>
          </x14:formula1>
          <xm:sqref>LMQ720901:LMQ720924</xm:sqref>
        </x14:dataValidation>
        <x14:dataValidation type="list" allowBlank="1" showInputMessage="1" showErrorMessage="1" xr:uid="{00000000-0002-0000-0300-0000C20E0000}">
          <x14:formula1>
            <xm:f>項目!C17:$LWE$720897</xm:f>
          </x14:formula1>
          <xm:sqref>LWM720901:LWM720924</xm:sqref>
        </x14:dataValidation>
        <x14:dataValidation type="list" allowBlank="1" showInputMessage="1" showErrorMessage="1" xr:uid="{00000000-0002-0000-0300-0000C30E0000}">
          <x14:formula1>
            <xm:f>項目!C17:$MGA$720897</xm:f>
          </x14:formula1>
          <xm:sqref>MGI720901:MGI720924</xm:sqref>
        </x14:dataValidation>
        <x14:dataValidation type="list" allowBlank="1" showInputMessage="1" showErrorMessage="1" xr:uid="{00000000-0002-0000-0300-0000C40E0000}">
          <x14:formula1>
            <xm:f>項目!C17:$MPW$720897</xm:f>
          </x14:formula1>
          <xm:sqref>MQE720901:MQE720924</xm:sqref>
        </x14:dataValidation>
        <x14:dataValidation type="list" allowBlank="1" showInputMessage="1" showErrorMessage="1" xr:uid="{00000000-0002-0000-0300-0000C50E0000}">
          <x14:formula1>
            <xm:f>項目!C17:$MZS$720897</xm:f>
          </x14:formula1>
          <xm:sqref>NAA720901:NAA720924</xm:sqref>
        </x14:dataValidation>
        <x14:dataValidation type="list" allowBlank="1" showInputMessage="1" showErrorMessage="1" xr:uid="{00000000-0002-0000-0300-0000C60E0000}">
          <x14:formula1>
            <xm:f>項目!C17:$NJO$720897</xm:f>
          </x14:formula1>
          <xm:sqref>NJW720901:NJW720924</xm:sqref>
        </x14:dataValidation>
        <x14:dataValidation type="list" allowBlank="1" showInputMessage="1" showErrorMessage="1" xr:uid="{00000000-0002-0000-0300-0000C70E0000}">
          <x14:formula1>
            <xm:f>項目!C17:$NTK$720897</xm:f>
          </x14:formula1>
          <xm:sqref>NTS720901:NTS720924</xm:sqref>
        </x14:dataValidation>
        <x14:dataValidation type="list" allowBlank="1" showInputMessage="1" showErrorMessage="1" xr:uid="{00000000-0002-0000-0300-0000C80E0000}">
          <x14:formula1>
            <xm:f>項目!C17:$ODG$720897</xm:f>
          </x14:formula1>
          <xm:sqref>ODO720901:ODO720924</xm:sqref>
        </x14:dataValidation>
        <x14:dataValidation type="list" allowBlank="1" showInputMessage="1" showErrorMessage="1" xr:uid="{00000000-0002-0000-0300-0000C90E0000}">
          <x14:formula1>
            <xm:f>項目!C17:$ONC$720897</xm:f>
          </x14:formula1>
          <xm:sqref>ONK720901:ONK720924</xm:sqref>
        </x14:dataValidation>
        <x14:dataValidation type="list" allowBlank="1" showInputMessage="1" showErrorMessage="1" xr:uid="{00000000-0002-0000-0300-0000CA0E0000}">
          <x14:formula1>
            <xm:f>項目!C17:$OWY$720897</xm:f>
          </x14:formula1>
          <xm:sqref>OXG720901:OXG720924</xm:sqref>
        </x14:dataValidation>
        <x14:dataValidation type="list" allowBlank="1" showInputMessage="1" showErrorMessage="1" xr:uid="{00000000-0002-0000-0300-0000CB0E0000}">
          <x14:formula1>
            <xm:f>項目!C17:$PGU$720897</xm:f>
          </x14:formula1>
          <xm:sqref>PHC720901:PHC720924</xm:sqref>
        </x14:dataValidation>
        <x14:dataValidation type="list" allowBlank="1" showInputMessage="1" showErrorMessage="1" xr:uid="{00000000-0002-0000-0300-0000CC0E0000}">
          <x14:formula1>
            <xm:f>項目!C17:$PQQ$720897</xm:f>
          </x14:formula1>
          <xm:sqref>PQY720901:PQY720924</xm:sqref>
        </x14:dataValidation>
        <x14:dataValidation type="list" allowBlank="1" showInputMessage="1" showErrorMessage="1" xr:uid="{00000000-0002-0000-0300-0000CD0E0000}">
          <x14:formula1>
            <xm:f>項目!C17:$QAM$720897</xm:f>
          </x14:formula1>
          <xm:sqref>QAU720901:QAU720924</xm:sqref>
        </x14:dataValidation>
        <x14:dataValidation type="list" allowBlank="1" showInputMessage="1" showErrorMessage="1" xr:uid="{00000000-0002-0000-0300-0000CE0E0000}">
          <x14:formula1>
            <xm:f>項目!C17:$QKI$720897</xm:f>
          </x14:formula1>
          <xm:sqref>QKQ720901:QKQ720924</xm:sqref>
        </x14:dataValidation>
        <x14:dataValidation type="list" allowBlank="1" showInputMessage="1" showErrorMessage="1" xr:uid="{00000000-0002-0000-0300-0000CF0E0000}">
          <x14:formula1>
            <xm:f>項目!C17:$QUE$720897</xm:f>
          </x14:formula1>
          <xm:sqref>QUM720901:QUM720924</xm:sqref>
        </x14:dataValidation>
        <x14:dataValidation type="list" allowBlank="1" showInputMessage="1" showErrorMessage="1" xr:uid="{00000000-0002-0000-0300-0000D00E0000}">
          <x14:formula1>
            <xm:f>項目!C17:$REA$720897</xm:f>
          </x14:formula1>
          <xm:sqref>REI720901:REI720924</xm:sqref>
        </x14:dataValidation>
        <x14:dataValidation type="list" allowBlank="1" showInputMessage="1" showErrorMessage="1" xr:uid="{00000000-0002-0000-0300-0000D10E0000}">
          <x14:formula1>
            <xm:f>項目!C17:$RNW$720897</xm:f>
          </x14:formula1>
          <xm:sqref>ROE720901:ROE720924</xm:sqref>
        </x14:dataValidation>
        <x14:dataValidation type="list" allowBlank="1" showInputMessage="1" showErrorMessage="1" xr:uid="{00000000-0002-0000-0300-0000D20E0000}">
          <x14:formula1>
            <xm:f>項目!C17:$RXS$720897</xm:f>
          </x14:formula1>
          <xm:sqref>RYA720901:RYA720924</xm:sqref>
        </x14:dataValidation>
        <x14:dataValidation type="list" allowBlank="1" showInputMessage="1" showErrorMessage="1" xr:uid="{00000000-0002-0000-0300-0000D30E0000}">
          <x14:formula1>
            <xm:f>項目!C17:$SHO$720897</xm:f>
          </x14:formula1>
          <xm:sqref>SHW720901:SHW720924</xm:sqref>
        </x14:dataValidation>
        <x14:dataValidation type="list" allowBlank="1" showInputMessage="1" showErrorMessage="1" xr:uid="{00000000-0002-0000-0300-0000D40E0000}">
          <x14:formula1>
            <xm:f>項目!C17:$SRK$720897</xm:f>
          </x14:formula1>
          <xm:sqref>SRS720901:SRS720924</xm:sqref>
        </x14:dataValidation>
        <x14:dataValidation type="list" allowBlank="1" showInputMessage="1" showErrorMessage="1" xr:uid="{00000000-0002-0000-0300-0000D50E0000}">
          <x14:formula1>
            <xm:f>項目!C17:$TBG$720897</xm:f>
          </x14:formula1>
          <xm:sqref>TBO720901:TBO720924</xm:sqref>
        </x14:dataValidation>
        <x14:dataValidation type="list" allowBlank="1" showInputMessage="1" showErrorMessage="1" xr:uid="{00000000-0002-0000-0300-0000D60E0000}">
          <x14:formula1>
            <xm:f>項目!C17:$TLC$720897</xm:f>
          </x14:formula1>
          <xm:sqref>TLK720901:TLK720924</xm:sqref>
        </x14:dataValidation>
        <x14:dataValidation type="list" allowBlank="1" showInputMessage="1" showErrorMessage="1" xr:uid="{00000000-0002-0000-0300-0000D70E0000}">
          <x14:formula1>
            <xm:f>項目!C17:$TUY$720897</xm:f>
          </x14:formula1>
          <xm:sqref>TVG720901:TVG720924</xm:sqref>
        </x14:dataValidation>
        <x14:dataValidation type="list" allowBlank="1" showInputMessage="1" showErrorMessage="1" xr:uid="{00000000-0002-0000-0300-0000D80E0000}">
          <x14:formula1>
            <xm:f>項目!C17:$UEU$720897</xm:f>
          </x14:formula1>
          <xm:sqref>UFC720901:UFC720924</xm:sqref>
        </x14:dataValidation>
        <x14:dataValidation type="list" allowBlank="1" showInputMessage="1" showErrorMessage="1" xr:uid="{00000000-0002-0000-0300-0000D90E0000}">
          <x14:formula1>
            <xm:f>項目!C17:$UOQ$720897</xm:f>
          </x14:formula1>
          <xm:sqref>UOY720901:UOY720924</xm:sqref>
        </x14:dataValidation>
        <x14:dataValidation type="list" allowBlank="1" showInputMessage="1" showErrorMessage="1" xr:uid="{00000000-0002-0000-0300-0000DA0E0000}">
          <x14:formula1>
            <xm:f>項目!C17:$UYM$720897</xm:f>
          </x14:formula1>
          <xm:sqref>UYU720901:UYU720924</xm:sqref>
        </x14:dataValidation>
        <x14:dataValidation type="list" allowBlank="1" showInputMessage="1" showErrorMessage="1" xr:uid="{00000000-0002-0000-0300-0000DB0E0000}">
          <x14:formula1>
            <xm:f>項目!C17:$VII$720897</xm:f>
          </x14:formula1>
          <xm:sqref>VIQ720901:VIQ720924</xm:sqref>
        </x14:dataValidation>
        <x14:dataValidation type="list" allowBlank="1" showInputMessage="1" showErrorMessage="1" xr:uid="{00000000-0002-0000-0300-0000DC0E0000}">
          <x14:formula1>
            <xm:f>項目!C17:$VSE$720897</xm:f>
          </x14:formula1>
          <xm:sqref>VSM720901:VSM720924</xm:sqref>
        </x14:dataValidation>
        <x14:dataValidation type="list" allowBlank="1" showInputMessage="1" showErrorMessage="1" xr:uid="{00000000-0002-0000-0300-0000DD0E0000}">
          <x14:formula1>
            <xm:f>項目!C17:$WCA$720897</xm:f>
          </x14:formula1>
          <xm:sqref>WCI720901:WCI720924</xm:sqref>
        </x14:dataValidation>
        <x14:dataValidation type="list" allowBlank="1" showInputMessage="1" showErrorMessage="1" xr:uid="{00000000-0002-0000-0300-0000DE0E0000}">
          <x14:formula1>
            <xm:f>項目!C17:$WLW$720897</xm:f>
          </x14:formula1>
          <xm:sqref>WME720901:WME720924</xm:sqref>
        </x14:dataValidation>
        <x14:dataValidation type="list" allowBlank="1" showInputMessage="1" showErrorMessage="1" xr:uid="{00000000-0002-0000-0300-0000DF0E0000}">
          <x14:formula1>
            <xm:f>項目!C17:$WVS$720897</xm:f>
          </x14:formula1>
          <xm:sqref>WWA720901:WWA720924</xm:sqref>
        </x14:dataValidation>
        <x14:dataValidation type="list" allowBlank="1" showInputMessage="1" showErrorMessage="1" xr:uid="{00000000-0002-0000-0300-0000E00E0000}">
          <x14:formula1>
            <xm:f>項目!C17:$M$786433</xm:f>
          </x14:formula1>
          <xm:sqref>S786437:S786460</xm:sqref>
        </x14:dataValidation>
        <x14:dataValidation type="list" allowBlank="1" showInputMessage="1" showErrorMessage="1" xr:uid="{00000000-0002-0000-0300-0000E10E0000}">
          <x14:formula1>
            <xm:f>項目!C17:$JG$786433</xm:f>
          </x14:formula1>
          <xm:sqref>JO786437:JO786460</xm:sqref>
        </x14:dataValidation>
        <x14:dataValidation type="list" allowBlank="1" showInputMessage="1" showErrorMessage="1" xr:uid="{00000000-0002-0000-0300-0000E20E0000}">
          <x14:formula1>
            <xm:f>項目!C17:$TC$786433</xm:f>
          </x14:formula1>
          <xm:sqref>TK786437:TK786460</xm:sqref>
        </x14:dataValidation>
        <x14:dataValidation type="list" allowBlank="1" showInputMessage="1" showErrorMessage="1" xr:uid="{00000000-0002-0000-0300-0000E30E0000}">
          <x14:formula1>
            <xm:f>項目!C17:$ACY$786433</xm:f>
          </x14:formula1>
          <xm:sqref>ADG786437:ADG786460</xm:sqref>
        </x14:dataValidation>
        <x14:dataValidation type="list" allowBlank="1" showInputMessage="1" showErrorMessage="1" xr:uid="{00000000-0002-0000-0300-0000E40E0000}">
          <x14:formula1>
            <xm:f>項目!C17:$AMU$786433</xm:f>
          </x14:formula1>
          <xm:sqref>ANC786437:ANC786460</xm:sqref>
        </x14:dataValidation>
        <x14:dataValidation type="list" allowBlank="1" showInputMessage="1" showErrorMessage="1" xr:uid="{00000000-0002-0000-0300-0000E50E0000}">
          <x14:formula1>
            <xm:f>項目!C17:$AWQ$786433</xm:f>
          </x14:formula1>
          <xm:sqref>AWY786437:AWY786460</xm:sqref>
        </x14:dataValidation>
        <x14:dataValidation type="list" allowBlank="1" showInputMessage="1" showErrorMessage="1" xr:uid="{00000000-0002-0000-0300-0000E60E0000}">
          <x14:formula1>
            <xm:f>項目!C17:$BGM$786433</xm:f>
          </x14:formula1>
          <xm:sqref>BGU786437:BGU786460</xm:sqref>
        </x14:dataValidation>
        <x14:dataValidation type="list" allowBlank="1" showInputMessage="1" showErrorMessage="1" xr:uid="{00000000-0002-0000-0300-0000E70E0000}">
          <x14:formula1>
            <xm:f>項目!C17:$BQI$786433</xm:f>
          </x14:formula1>
          <xm:sqref>BQQ786437:BQQ786460</xm:sqref>
        </x14:dataValidation>
        <x14:dataValidation type="list" allowBlank="1" showInputMessage="1" showErrorMessage="1" xr:uid="{00000000-0002-0000-0300-0000E80E0000}">
          <x14:formula1>
            <xm:f>項目!C17:$CAE$786433</xm:f>
          </x14:formula1>
          <xm:sqref>CAM786437:CAM786460</xm:sqref>
        </x14:dataValidation>
        <x14:dataValidation type="list" allowBlank="1" showInputMessage="1" showErrorMessage="1" xr:uid="{00000000-0002-0000-0300-0000E90E0000}">
          <x14:formula1>
            <xm:f>項目!C17:$CKA$786433</xm:f>
          </x14:formula1>
          <xm:sqref>CKI786437:CKI786460</xm:sqref>
        </x14:dataValidation>
        <x14:dataValidation type="list" allowBlank="1" showInputMessage="1" showErrorMessage="1" xr:uid="{00000000-0002-0000-0300-0000EA0E0000}">
          <x14:formula1>
            <xm:f>項目!C17:$CTW$786433</xm:f>
          </x14:formula1>
          <xm:sqref>CUE786437:CUE786460</xm:sqref>
        </x14:dataValidation>
        <x14:dataValidation type="list" allowBlank="1" showInputMessage="1" showErrorMessage="1" xr:uid="{00000000-0002-0000-0300-0000EB0E0000}">
          <x14:formula1>
            <xm:f>項目!C17:$DDS$786433</xm:f>
          </x14:formula1>
          <xm:sqref>DEA786437:DEA786460</xm:sqref>
        </x14:dataValidation>
        <x14:dataValidation type="list" allowBlank="1" showInputMessage="1" showErrorMessage="1" xr:uid="{00000000-0002-0000-0300-0000EC0E0000}">
          <x14:formula1>
            <xm:f>項目!C17:$DNO$786433</xm:f>
          </x14:formula1>
          <xm:sqref>DNW786437:DNW786460</xm:sqref>
        </x14:dataValidation>
        <x14:dataValidation type="list" allowBlank="1" showInputMessage="1" showErrorMessage="1" xr:uid="{00000000-0002-0000-0300-0000ED0E0000}">
          <x14:formula1>
            <xm:f>項目!C17:$DXK$786433</xm:f>
          </x14:formula1>
          <xm:sqref>DXS786437:DXS786460</xm:sqref>
        </x14:dataValidation>
        <x14:dataValidation type="list" allowBlank="1" showInputMessage="1" showErrorMessage="1" xr:uid="{00000000-0002-0000-0300-0000EE0E0000}">
          <x14:formula1>
            <xm:f>項目!C17:$EHG$786433</xm:f>
          </x14:formula1>
          <xm:sqref>EHO786437:EHO786460</xm:sqref>
        </x14:dataValidation>
        <x14:dataValidation type="list" allowBlank="1" showInputMessage="1" showErrorMessage="1" xr:uid="{00000000-0002-0000-0300-0000EF0E0000}">
          <x14:formula1>
            <xm:f>項目!C17:$ERC$786433</xm:f>
          </x14:formula1>
          <xm:sqref>ERK786437:ERK786460</xm:sqref>
        </x14:dataValidation>
        <x14:dataValidation type="list" allowBlank="1" showInputMessage="1" showErrorMessage="1" xr:uid="{00000000-0002-0000-0300-0000F00E0000}">
          <x14:formula1>
            <xm:f>項目!C17:$FAY$786433</xm:f>
          </x14:formula1>
          <xm:sqref>FBG786437:FBG786460</xm:sqref>
        </x14:dataValidation>
        <x14:dataValidation type="list" allowBlank="1" showInputMessage="1" showErrorMessage="1" xr:uid="{00000000-0002-0000-0300-0000F10E0000}">
          <x14:formula1>
            <xm:f>項目!C17:$FKU$786433</xm:f>
          </x14:formula1>
          <xm:sqref>FLC786437:FLC786460</xm:sqref>
        </x14:dataValidation>
        <x14:dataValidation type="list" allowBlank="1" showInputMessage="1" showErrorMessage="1" xr:uid="{00000000-0002-0000-0300-0000F20E0000}">
          <x14:formula1>
            <xm:f>項目!C17:$FUQ$786433</xm:f>
          </x14:formula1>
          <xm:sqref>FUY786437:FUY786460</xm:sqref>
        </x14:dataValidation>
        <x14:dataValidation type="list" allowBlank="1" showInputMessage="1" showErrorMessage="1" xr:uid="{00000000-0002-0000-0300-0000F30E0000}">
          <x14:formula1>
            <xm:f>項目!C17:$GEM$786433</xm:f>
          </x14:formula1>
          <xm:sqref>GEU786437:GEU786460</xm:sqref>
        </x14:dataValidation>
        <x14:dataValidation type="list" allowBlank="1" showInputMessage="1" showErrorMessage="1" xr:uid="{00000000-0002-0000-0300-0000F40E0000}">
          <x14:formula1>
            <xm:f>項目!C17:$GOI$786433</xm:f>
          </x14:formula1>
          <xm:sqref>GOQ786437:GOQ786460</xm:sqref>
        </x14:dataValidation>
        <x14:dataValidation type="list" allowBlank="1" showInputMessage="1" showErrorMessage="1" xr:uid="{00000000-0002-0000-0300-0000F50E0000}">
          <x14:formula1>
            <xm:f>項目!C17:$GYE$786433</xm:f>
          </x14:formula1>
          <xm:sqref>GYM786437:GYM786460</xm:sqref>
        </x14:dataValidation>
        <x14:dataValidation type="list" allowBlank="1" showInputMessage="1" showErrorMessage="1" xr:uid="{00000000-0002-0000-0300-0000F60E0000}">
          <x14:formula1>
            <xm:f>項目!C17:$HIA$786433</xm:f>
          </x14:formula1>
          <xm:sqref>HII786437:HII786460</xm:sqref>
        </x14:dataValidation>
        <x14:dataValidation type="list" allowBlank="1" showInputMessage="1" showErrorMessage="1" xr:uid="{00000000-0002-0000-0300-0000F70E0000}">
          <x14:formula1>
            <xm:f>項目!C17:$HRW$786433</xm:f>
          </x14:formula1>
          <xm:sqref>HSE786437:HSE786460</xm:sqref>
        </x14:dataValidation>
        <x14:dataValidation type="list" allowBlank="1" showInputMessage="1" showErrorMessage="1" xr:uid="{00000000-0002-0000-0300-0000F80E0000}">
          <x14:formula1>
            <xm:f>項目!C17:$IBS$786433</xm:f>
          </x14:formula1>
          <xm:sqref>ICA786437:ICA786460</xm:sqref>
        </x14:dataValidation>
        <x14:dataValidation type="list" allowBlank="1" showInputMessage="1" showErrorMessage="1" xr:uid="{00000000-0002-0000-0300-0000F90E0000}">
          <x14:formula1>
            <xm:f>項目!C17:$ILO$786433</xm:f>
          </x14:formula1>
          <xm:sqref>ILW786437:ILW786460</xm:sqref>
        </x14:dataValidation>
        <x14:dataValidation type="list" allowBlank="1" showInputMessage="1" showErrorMessage="1" xr:uid="{00000000-0002-0000-0300-0000FA0E0000}">
          <x14:formula1>
            <xm:f>項目!C17:$IVK$786433</xm:f>
          </x14:formula1>
          <xm:sqref>IVS786437:IVS786460</xm:sqref>
        </x14:dataValidation>
        <x14:dataValidation type="list" allowBlank="1" showInputMessage="1" showErrorMessage="1" xr:uid="{00000000-0002-0000-0300-0000FB0E0000}">
          <x14:formula1>
            <xm:f>項目!C17:$JFG$786433</xm:f>
          </x14:formula1>
          <xm:sqref>JFO786437:JFO786460</xm:sqref>
        </x14:dataValidation>
        <x14:dataValidation type="list" allowBlank="1" showInputMessage="1" showErrorMessage="1" xr:uid="{00000000-0002-0000-0300-0000FC0E0000}">
          <x14:formula1>
            <xm:f>項目!C17:$JPC$786433</xm:f>
          </x14:formula1>
          <xm:sqref>JPK786437:JPK786460</xm:sqref>
        </x14:dataValidation>
        <x14:dataValidation type="list" allowBlank="1" showInputMessage="1" showErrorMessage="1" xr:uid="{00000000-0002-0000-0300-0000FD0E0000}">
          <x14:formula1>
            <xm:f>項目!C17:$JYY$786433</xm:f>
          </x14:formula1>
          <xm:sqref>JZG786437:JZG786460</xm:sqref>
        </x14:dataValidation>
        <x14:dataValidation type="list" allowBlank="1" showInputMessage="1" showErrorMessage="1" xr:uid="{00000000-0002-0000-0300-0000FE0E0000}">
          <x14:formula1>
            <xm:f>項目!C17:$KIU$786433</xm:f>
          </x14:formula1>
          <xm:sqref>KJC786437:KJC786460</xm:sqref>
        </x14:dataValidation>
        <x14:dataValidation type="list" allowBlank="1" showInputMessage="1" showErrorMessage="1" xr:uid="{00000000-0002-0000-0300-0000FF0E0000}">
          <x14:formula1>
            <xm:f>項目!C17:$KSQ$786433</xm:f>
          </x14:formula1>
          <xm:sqref>KSY786437:KSY786460</xm:sqref>
        </x14:dataValidation>
        <x14:dataValidation type="list" allowBlank="1" showInputMessage="1" showErrorMessage="1" xr:uid="{00000000-0002-0000-0300-0000000F0000}">
          <x14:formula1>
            <xm:f>項目!C17:$LCM$786433</xm:f>
          </x14:formula1>
          <xm:sqref>LCU786437:LCU786460</xm:sqref>
        </x14:dataValidation>
        <x14:dataValidation type="list" allowBlank="1" showInputMessage="1" showErrorMessage="1" xr:uid="{00000000-0002-0000-0300-0000010F0000}">
          <x14:formula1>
            <xm:f>項目!C17:$LMI$786433</xm:f>
          </x14:formula1>
          <xm:sqref>LMQ786437:LMQ786460</xm:sqref>
        </x14:dataValidation>
        <x14:dataValidation type="list" allowBlank="1" showInputMessage="1" showErrorMessage="1" xr:uid="{00000000-0002-0000-0300-0000020F0000}">
          <x14:formula1>
            <xm:f>項目!C17:$LWE$786433</xm:f>
          </x14:formula1>
          <xm:sqref>LWM786437:LWM786460</xm:sqref>
        </x14:dataValidation>
        <x14:dataValidation type="list" allowBlank="1" showInputMessage="1" showErrorMessage="1" xr:uid="{00000000-0002-0000-0300-0000030F0000}">
          <x14:formula1>
            <xm:f>項目!C17:$MGA$786433</xm:f>
          </x14:formula1>
          <xm:sqref>MGI786437:MGI786460</xm:sqref>
        </x14:dataValidation>
        <x14:dataValidation type="list" allowBlank="1" showInputMessage="1" showErrorMessage="1" xr:uid="{00000000-0002-0000-0300-0000040F0000}">
          <x14:formula1>
            <xm:f>項目!C17:$MPW$786433</xm:f>
          </x14:formula1>
          <xm:sqref>MQE786437:MQE786460</xm:sqref>
        </x14:dataValidation>
        <x14:dataValidation type="list" allowBlank="1" showInputMessage="1" showErrorMessage="1" xr:uid="{00000000-0002-0000-0300-0000050F0000}">
          <x14:formula1>
            <xm:f>項目!C17:$MZS$786433</xm:f>
          </x14:formula1>
          <xm:sqref>NAA786437:NAA786460</xm:sqref>
        </x14:dataValidation>
        <x14:dataValidation type="list" allowBlank="1" showInputMessage="1" showErrorMessage="1" xr:uid="{00000000-0002-0000-0300-0000060F0000}">
          <x14:formula1>
            <xm:f>項目!C17:$NJO$786433</xm:f>
          </x14:formula1>
          <xm:sqref>NJW786437:NJW786460</xm:sqref>
        </x14:dataValidation>
        <x14:dataValidation type="list" allowBlank="1" showInputMessage="1" showErrorMessage="1" xr:uid="{00000000-0002-0000-0300-0000070F0000}">
          <x14:formula1>
            <xm:f>項目!C17:$NTK$786433</xm:f>
          </x14:formula1>
          <xm:sqref>NTS786437:NTS786460</xm:sqref>
        </x14:dataValidation>
        <x14:dataValidation type="list" allowBlank="1" showInputMessage="1" showErrorMessage="1" xr:uid="{00000000-0002-0000-0300-0000080F0000}">
          <x14:formula1>
            <xm:f>項目!C17:$ODG$786433</xm:f>
          </x14:formula1>
          <xm:sqref>ODO786437:ODO786460</xm:sqref>
        </x14:dataValidation>
        <x14:dataValidation type="list" allowBlank="1" showInputMessage="1" showErrorMessage="1" xr:uid="{00000000-0002-0000-0300-0000090F0000}">
          <x14:formula1>
            <xm:f>項目!C17:$ONC$786433</xm:f>
          </x14:formula1>
          <xm:sqref>ONK786437:ONK786460</xm:sqref>
        </x14:dataValidation>
        <x14:dataValidation type="list" allowBlank="1" showInputMessage="1" showErrorMessage="1" xr:uid="{00000000-0002-0000-0300-00000A0F0000}">
          <x14:formula1>
            <xm:f>項目!C17:$OWY$786433</xm:f>
          </x14:formula1>
          <xm:sqref>OXG786437:OXG786460</xm:sqref>
        </x14:dataValidation>
        <x14:dataValidation type="list" allowBlank="1" showInputMessage="1" showErrorMessage="1" xr:uid="{00000000-0002-0000-0300-00000B0F0000}">
          <x14:formula1>
            <xm:f>項目!C17:$PGU$786433</xm:f>
          </x14:formula1>
          <xm:sqref>PHC786437:PHC786460</xm:sqref>
        </x14:dataValidation>
        <x14:dataValidation type="list" allowBlank="1" showInputMessage="1" showErrorMessage="1" xr:uid="{00000000-0002-0000-0300-00000C0F0000}">
          <x14:formula1>
            <xm:f>項目!C17:$PQQ$786433</xm:f>
          </x14:formula1>
          <xm:sqref>PQY786437:PQY786460</xm:sqref>
        </x14:dataValidation>
        <x14:dataValidation type="list" allowBlank="1" showInputMessage="1" showErrorMessage="1" xr:uid="{00000000-0002-0000-0300-00000D0F0000}">
          <x14:formula1>
            <xm:f>項目!C17:$QAM$786433</xm:f>
          </x14:formula1>
          <xm:sqref>QAU786437:QAU786460</xm:sqref>
        </x14:dataValidation>
        <x14:dataValidation type="list" allowBlank="1" showInputMessage="1" showErrorMessage="1" xr:uid="{00000000-0002-0000-0300-00000E0F0000}">
          <x14:formula1>
            <xm:f>項目!C17:$QKI$786433</xm:f>
          </x14:formula1>
          <xm:sqref>QKQ786437:QKQ786460</xm:sqref>
        </x14:dataValidation>
        <x14:dataValidation type="list" allowBlank="1" showInputMessage="1" showErrorMessage="1" xr:uid="{00000000-0002-0000-0300-00000F0F0000}">
          <x14:formula1>
            <xm:f>項目!C17:$QUE$786433</xm:f>
          </x14:formula1>
          <xm:sqref>QUM786437:QUM786460</xm:sqref>
        </x14:dataValidation>
        <x14:dataValidation type="list" allowBlank="1" showInputMessage="1" showErrorMessage="1" xr:uid="{00000000-0002-0000-0300-0000100F0000}">
          <x14:formula1>
            <xm:f>項目!C17:$REA$786433</xm:f>
          </x14:formula1>
          <xm:sqref>REI786437:REI786460</xm:sqref>
        </x14:dataValidation>
        <x14:dataValidation type="list" allowBlank="1" showInputMessage="1" showErrorMessage="1" xr:uid="{00000000-0002-0000-0300-0000110F0000}">
          <x14:formula1>
            <xm:f>項目!C17:$RNW$786433</xm:f>
          </x14:formula1>
          <xm:sqref>ROE786437:ROE786460</xm:sqref>
        </x14:dataValidation>
        <x14:dataValidation type="list" allowBlank="1" showInputMessage="1" showErrorMessage="1" xr:uid="{00000000-0002-0000-0300-0000120F0000}">
          <x14:formula1>
            <xm:f>項目!C17:$RXS$786433</xm:f>
          </x14:formula1>
          <xm:sqref>RYA786437:RYA786460</xm:sqref>
        </x14:dataValidation>
        <x14:dataValidation type="list" allowBlank="1" showInputMessage="1" showErrorMessage="1" xr:uid="{00000000-0002-0000-0300-0000130F0000}">
          <x14:formula1>
            <xm:f>項目!C17:$SHO$786433</xm:f>
          </x14:formula1>
          <xm:sqref>SHW786437:SHW786460</xm:sqref>
        </x14:dataValidation>
        <x14:dataValidation type="list" allowBlank="1" showInputMessage="1" showErrorMessage="1" xr:uid="{00000000-0002-0000-0300-0000140F0000}">
          <x14:formula1>
            <xm:f>項目!C17:$SRK$786433</xm:f>
          </x14:formula1>
          <xm:sqref>SRS786437:SRS786460</xm:sqref>
        </x14:dataValidation>
        <x14:dataValidation type="list" allowBlank="1" showInputMessage="1" showErrorMessage="1" xr:uid="{00000000-0002-0000-0300-0000150F0000}">
          <x14:formula1>
            <xm:f>項目!C17:$TBG$786433</xm:f>
          </x14:formula1>
          <xm:sqref>TBO786437:TBO786460</xm:sqref>
        </x14:dataValidation>
        <x14:dataValidation type="list" allowBlank="1" showInputMessage="1" showErrorMessage="1" xr:uid="{00000000-0002-0000-0300-0000160F0000}">
          <x14:formula1>
            <xm:f>項目!C17:$TLC$786433</xm:f>
          </x14:formula1>
          <xm:sqref>TLK786437:TLK786460</xm:sqref>
        </x14:dataValidation>
        <x14:dataValidation type="list" allowBlank="1" showInputMessage="1" showErrorMessage="1" xr:uid="{00000000-0002-0000-0300-0000170F0000}">
          <x14:formula1>
            <xm:f>項目!C17:$TUY$786433</xm:f>
          </x14:formula1>
          <xm:sqref>TVG786437:TVG786460</xm:sqref>
        </x14:dataValidation>
        <x14:dataValidation type="list" allowBlank="1" showInputMessage="1" showErrorMessage="1" xr:uid="{00000000-0002-0000-0300-0000180F0000}">
          <x14:formula1>
            <xm:f>項目!C17:$UEU$786433</xm:f>
          </x14:formula1>
          <xm:sqref>UFC786437:UFC786460</xm:sqref>
        </x14:dataValidation>
        <x14:dataValidation type="list" allowBlank="1" showInputMessage="1" showErrorMessage="1" xr:uid="{00000000-0002-0000-0300-0000190F0000}">
          <x14:formula1>
            <xm:f>項目!C17:$UOQ$786433</xm:f>
          </x14:formula1>
          <xm:sqref>UOY786437:UOY786460</xm:sqref>
        </x14:dataValidation>
        <x14:dataValidation type="list" allowBlank="1" showInputMessage="1" showErrorMessage="1" xr:uid="{00000000-0002-0000-0300-00001A0F0000}">
          <x14:formula1>
            <xm:f>項目!C17:$UYM$786433</xm:f>
          </x14:formula1>
          <xm:sqref>UYU786437:UYU786460</xm:sqref>
        </x14:dataValidation>
        <x14:dataValidation type="list" allowBlank="1" showInputMessage="1" showErrorMessage="1" xr:uid="{00000000-0002-0000-0300-00001B0F0000}">
          <x14:formula1>
            <xm:f>項目!C17:$VII$786433</xm:f>
          </x14:formula1>
          <xm:sqref>VIQ786437:VIQ786460</xm:sqref>
        </x14:dataValidation>
        <x14:dataValidation type="list" allowBlank="1" showInputMessage="1" showErrorMessage="1" xr:uid="{00000000-0002-0000-0300-00001C0F0000}">
          <x14:formula1>
            <xm:f>項目!C17:$VSE$786433</xm:f>
          </x14:formula1>
          <xm:sqref>VSM786437:VSM786460</xm:sqref>
        </x14:dataValidation>
        <x14:dataValidation type="list" allowBlank="1" showInputMessage="1" showErrorMessage="1" xr:uid="{00000000-0002-0000-0300-00001D0F0000}">
          <x14:formula1>
            <xm:f>項目!C17:$WCA$786433</xm:f>
          </x14:formula1>
          <xm:sqref>WCI786437:WCI786460</xm:sqref>
        </x14:dataValidation>
        <x14:dataValidation type="list" allowBlank="1" showInputMessage="1" showErrorMessage="1" xr:uid="{00000000-0002-0000-0300-00001E0F0000}">
          <x14:formula1>
            <xm:f>項目!C17:$WLW$786433</xm:f>
          </x14:formula1>
          <xm:sqref>WME786437:WME786460</xm:sqref>
        </x14:dataValidation>
        <x14:dataValidation type="list" allowBlank="1" showInputMessage="1" showErrorMessage="1" xr:uid="{00000000-0002-0000-0300-00001F0F0000}">
          <x14:formula1>
            <xm:f>項目!C17:$WVS$786433</xm:f>
          </x14:formula1>
          <xm:sqref>WWA786437:WWA786460</xm:sqref>
        </x14:dataValidation>
        <x14:dataValidation type="list" allowBlank="1" showInputMessage="1" showErrorMessage="1" xr:uid="{00000000-0002-0000-0300-0000200F0000}">
          <x14:formula1>
            <xm:f>項目!C17:$M$851969</xm:f>
          </x14:formula1>
          <xm:sqref>S851973:S851996</xm:sqref>
        </x14:dataValidation>
        <x14:dataValidation type="list" allowBlank="1" showInputMessage="1" showErrorMessage="1" xr:uid="{00000000-0002-0000-0300-0000210F0000}">
          <x14:formula1>
            <xm:f>項目!C17:$JG$851969</xm:f>
          </x14:formula1>
          <xm:sqref>JO851973:JO851996</xm:sqref>
        </x14:dataValidation>
        <x14:dataValidation type="list" allowBlank="1" showInputMessage="1" showErrorMessage="1" xr:uid="{00000000-0002-0000-0300-0000220F0000}">
          <x14:formula1>
            <xm:f>項目!C17:$TC$851969</xm:f>
          </x14:formula1>
          <xm:sqref>TK851973:TK851996</xm:sqref>
        </x14:dataValidation>
        <x14:dataValidation type="list" allowBlank="1" showInputMessage="1" showErrorMessage="1" xr:uid="{00000000-0002-0000-0300-0000230F0000}">
          <x14:formula1>
            <xm:f>項目!C17:$ACY$851969</xm:f>
          </x14:formula1>
          <xm:sqref>ADG851973:ADG851996</xm:sqref>
        </x14:dataValidation>
        <x14:dataValidation type="list" allowBlank="1" showInputMessage="1" showErrorMessage="1" xr:uid="{00000000-0002-0000-0300-0000240F0000}">
          <x14:formula1>
            <xm:f>項目!C17:$AMU$851969</xm:f>
          </x14:formula1>
          <xm:sqref>ANC851973:ANC851996</xm:sqref>
        </x14:dataValidation>
        <x14:dataValidation type="list" allowBlank="1" showInputMessage="1" showErrorMessage="1" xr:uid="{00000000-0002-0000-0300-0000250F0000}">
          <x14:formula1>
            <xm:f>項目!C17:$AWQ$851969</xm:f>
          </x14:formula1>
          <xm:sqref>AWY851973:AWY851996</xm:sqref>
        </x14:dataValidation>
        <x14:dataValidation type="list" allowBlank="1" showInputMessage="1" showErrorMessage="1" xr:uid="{00000000-0002-0000-0300-0000260F0000}">
          <x14:formula1>
            <xm:f>項目!C17:$BGM$851969</xm:f>
          </x14:formula1>
          <xm:sqref>BGU851973:BGU851996</xm:sqref>
        </x14:dataValidation>
        <x14:dataValidation type="list" allowBlank="1" showInputMessage="1" showErrorMessage="1" xr:uid="{00000000-0002-0000-0300-0000270F0000}">
          <x14:formula1>
            <xm:f>項目!C17:$BQI$851969</xm:f>
          </x14:formula1>
          <xm:sqref>BQQ851973:BQQ851996</xm:sqref>
        </x14:dataValidation>
        <x14:dataValidation type="list" allowBlank="1" showInputMessage="1" showErrorMessage="1" xr:uid="{00000000-0002-0000-0300-0000280F0000}">
          <x14:formula1>
            <xm:f>項目!C17:$CAE$851969</xm:f>
          </x14:formula1>
          <xm:sqref>CAM851973:CAM851996</xm:sqref>
        </x14:dataValidation>
        <x14:dataValidation type="list" allowBlank="1" showInputMessage="1" showErrorMessage="1" xr:uid="{00000000-0002-0000-0300-0000290F0000}">
          <x14:formula1>
            <xm:f>項目!C17:$CKA$851969</xm:f>
          </x14:formula1>
          <xm:sqref>CKI851973:CKI851996</xm:sqref>
        </x14:dataValidation>
        <x14:dataValidation type="list" allowBlank="1" showInputMessage="1" showErrorMessage="1" xr:uid="{00000000-0002-0000-0300-00002A0F0000}">
          <x14:formula1>
            <xm:f>項目!C17:$CTW$851969</xm:f>
          </x14:formula1>
          <xm:sqref>CUE851973:CUE851996</xm:sqref>
        </x14:dataValidation>
        <x14:dataValidation type="list" allowBlank="1" showInputMessage="1" showErrorMessage="1" xr:uid="{00000000-0002-0000-0300-00002B0F0000}">
          <x14:formula1>
            <xm:f>項目!C17:$DDS$851969</xm:f>
          </x14:formula1>
          <xm:sqref>DEA851973:DEA851996</xm:sqref>
        </x14:dataValidation>
        <x14:dataValidation type="list" allowBlank="1" showInputMessage="1" showErrorMessage="1" xr:uid="{00000000-0002-0000-0300-00002C0F0000}">
          <x14:formula1>
            <xm:f>項目!C17:$DNO$851969</xm:f>
          </x14:formula1>
          <xm:sqref>DNW851973:DNW851996</xm:sqref>
        </x14:dataValidation>
        <x14:dataValidation type="list" allowBlank="1" showInputMessage="1" showErrorMessage="1" xr:uid="{00000000-0002-0000-0300-00002D0F0000}">
          <x14:formula1>
            <xm:f>項目!C17:$DXK$851969</xm:f>
          </x14:formula1>
          <xm:sqref>DXS851973:DXS851996</xm:sqref>
        </x14:dataValidation>
        <x14:dataValidation type="list" allowBlank="1" showInputMessage="1" showErrorMessage="1" xr:uid="{00000000-0002-0000-0300-00002E0F0000}">
          <x14:formula1>
            <xm:f>項目!C17:$EHG$851969</xm:f>
          </x14:formula1>
          <xm:sqref>EHO851973:EHO851996</xm:sqref>
        </x14:dataValidation>
        <x14:dataValidation type="list" allowBlank="1" showInputMessage="1" showErrorMessage="1" xr:uid="{00000000-0002-0000-0300-00002F0F0000}">
          <x14:formula1>
            <xm:f>項目!C17:$ERC$851969</xm:f>
          </x14:formula1>
          <xm:sqref>ERK851973:ERK851996</xm:sqref>
        </x14:dataValidation>
        <x14:dataValidation type="list" allowBlank="1" showInputMessage="1" showErrorMessage="1" xr:uid="{00000000-0002-0000-0300-0000300F0000}">
          <x14:formula1>
            <xm:f>項目!C17:$FAY$851969</xm:f>
          </x14:formula1>
          <xm:sqref>FBG851973:FBG851996</xm:sqref>
        </x14:dataValidation>
        <x14:dataValidation type="list" allowBlank="1" showInputMessage="1" showErrorMessage="1" xr:uid="{00000000-0002-0000-0300-0000310F0000}">
          <x14:formula1>
            <xm:f>項目!C17:$FKU$851969</xm:f>
          </x14:formula1>
          <xm:sqref>FLC851973:FLC851996</xm:sqref>
        </x14:dataValidation>
        <x14:dataValidation type="list" allowBlank="1" showInputMessage="1" showErrorMessage="1" xr:uid="{00000000-0002-0000-0300-0000320F0000}">
          <x14:formula1>
            <xm:f>項目!C17:$FUQ$851969</xm:f>
          </x14:formula1>
          <xm:sqref>FUY851973:FUY851996</xm:sqref>
        </x14:dataValidation>
        <x14:dataValidation type="list" allowBlank="1" showInputMessage="1" showErrorMessage="1" xr:uid="{00000000-0002-0000-0300-0000330F0000}">
          <x14:formula1>
            <xm:f>項目!C17:$GEM$851969</xm:f>
          </x14:formula1>
          <xm:sqref>GEU851973:GEU851996</xm:sqref>
        </x14:dataValidation>
        <x14:dataValidation type="list" allowBlank="1" showInputMessage="1" showErrorMessage="1" xr:uid="{00000000-0002-0000-0300-0000340F0000}">
          <x14:formula1>
            <xm:f>項目!C17:$GOI$851969</xm:f>
          </x14:formula1>
          <xm:sqref>GOQ851973:GOQ851996</xm:sqref>
        </x14:dataValidation>
        <x14:dataValidation type="list" allowBlank="1" showInputMessage="1" showErrorMessage="1" xr:uid="{00000000-0002-0000-0300-0000350F0000}">
          <x14:formula1>
            <xm:f>項目!C17:$GYE$851969</xm:f>
          </x14:formula1>
          <xm:sqref>GYM851973:GYM851996</xm:sqref>
        </x14:dataValidation>
        <x14:dataValidation type="list" allowBlank="1" showInputMessage="1" showErrorMessage="1" xr:uid="{00000000-0002-0000-0300-0000360F0000}">
          <x14:formula1>
            <xm:f>項目!C17:$HIA$851969</xm:f>
          </x14:formula1>
          <xm:sqref>HII851973:HII851996</xm:sqref>
        </x14:dataValidation>
        <x14:dataValidation type="list" allowBlank="1" showInputMessage="1" showErrorMessage="1" xr:uid="{00000000-0002-0000-0300-0000370F0000}">
          <x14:formula1>
            <xm:f>項目!C17:$HRW$851969</xm:f>
          </x14:formula1>
          <xm:sqref>HSE851973:HSE851996</xm:sqref>
        </x14:dataValidation>
        <x14:dataValidation type="list" allowBlank="1" showInputMessage="1" showErrorMessage="1" xr:uid="{00000000-0002-0000-0300-0000380F0000}">
          <x14:formula1>
            <xm:f>項目!C17:$IBS$851969</xm:f>
          </x14:formula1>
          <xm:sqref>ICA851973:ICA851996</xm:sqref>
        </x14:dataValidation>
        <x14:dataValidation type="list" allowBlank="1" showInputMessage="1" showErrorMessage="1" xr:uid="{00000000-0002-0000-0300-0000390F0000}">
          <x14:formula1>
            <xm:f>項目!C17:$ILO$851969</xm:f>
          </x14:formula1>
          <xm:sqref>ILW851973:ILW851996</xm:sqref>
        </x14:dataValidation>
        <x14:dataValidation type="list" allowBlank="1" showInputMessage="1" showErrorMessage="1" xr:uid="{00000000-0002-0000-0300-00003A0F0000}">
          <x14:formula1>
            <xm:f>項目!C17:$IVK$851969</xm:f>
          </x14:formula1>
          <xm:sqref>IVS851973:IVS851996</xm:sqref>
        </x14:dataValidation>
        <x14:dataValidation type="list" allowBlank="1" showInputMessage="1" showErrorMessage="1" xr:uid="{00000000-0002-0000-0300-00003B0F0000}">
          <x14:formula1>
            <xm:f>項目!C17:$JFG$851969</xm:f>
          </x14:formula1>
          <xm:sqref>JFO851973:JFO851996</xm:sqref>
        </x14:dataValidation>
        <x14:dataValidation type="list" allowBlank="1" showInputMessage="1" showErrorMessage="1" xr:uid="{00000000-0002-0000-0300-00003C0F0000}">
          <x14:formula1>
            <xm:f>項目!C17:$JPC$851969</xm:f>
          </x14:formula1>
          <xm:sqref>JPK851973:JPK851996</xm:sqref>
        </x14:dataValidation>
        <x14:dataValidation type="list" allowBlank="1" showInputMessage="1" showErrorMessage="1" xr:uid="{00000000-0002-0000-0300-00003D0F0000}">
          <x14:formula1>
            <xm:f>項目!C17:$JYY$851969</xm:f>
          </x14:formula1>
          <xm:sqref>JZG851973:JZG851996</xm:sqref>
        </x14:dataValidation>
        <x14:dataValidation type="list" allowBlank="1" showInputMessage="1" showErrorMessage="1" xr:uid="{00000000-0002-0000-0300-00003E0F0000}">
          <x14:formula1>
            <xm:f>項目!C17:$KIU$851969</xm:f>
          </x14:formula1>
          <xm:sqref>KJC851973:KJC851996</xm:sqref>
        </x14:dataValidation>
        <x14:dataValidation type="list" allowBlank="1" showInputMessage="1" showErrorMessage="1" xr:uid="{00000000-0002-0000-0300-00003F0F0000}">
          <x14:formula1>
            <xm:f>項目!C17:$KSQ$851969</xm:f>
          </x14:formula1>
          <xm:sqref>KSY851973:KSY851996</xm:sqref>
        </x14:dataValidation>
        <x14:dataValidation type="list" allowBlank="1" showInputMessage="1" showErrorMessage="1" xr:uid="{00000000-0002-0000-0300-0000400F0000}">
          <x14:formula1>
            <xm:f>項目!C17:$LCM$851969</xm:f>
          </x14:formula1>
          <xm:sqref>LCU851973:LCU851996</xm:sqref>
        </x14:dataValidation>
        <x14:dataValidation type="list" allowBlank="1" showInputMessage="1" showErrorMessage="1" xr:uid="{00000000-0002-0000-0300-0000410F0000}">
          <x14:formula1>
            <xm:f>項目!C17:$LMI$851969</xm:f>
          </x14:formula1>
          <xm:sqref>LMQ851973:LMQ851996</xm:sqref>
        </x14:dataValidation>
        <x14:dataValidation type="list" allowBlank="1" showInputMessage="1" showErrorMessage="1" xr:uid="{00000000-0002-0000-0300-0000420F0000}">
          <x14:formula1>
            <xm:f>項目!C17:$LWE$851969</xm:f>
          </x14:formula1>
          <xm:sqref>LWM851973:LWM851996</xm:sqref>
        </x14:dataValidation>
        <x14:dataValidation type="list" allowBlank="1" showInputMessage="1" showErrorMessage="1" xr:uid="{00000000-0002-0000-0300-0000430F0000}">
          <x14:formula1>
            <xm:f>項目!C17:$MGA$851969</xm:f>
          </x14:formula1>
          <xm:sqref>MGI851973:MGI851996</xm:sqref>
        </x14:dataValidation>
        <x14:dataValidation type="list" allowBlank="1" showInputMessage="1" showErrorMessage="1" xr:uid="{00000000-0002-0000-0300-0000440F0000}">
          <x14:formula1>
            <xm:f>項目!C17:$MPW$851969</xm:f>
          </x14:formula1>
          <xm:sqref>MQE851973:MQE851996</xm:sqref>
        </x14:dataValidation>
        <x14:dataValidation type="list" allowBlank="1" showInputMessage="1" showErrorMessage="1" xr:uid="{00000000-0002-0000-0300-0000450F0000}">
          <x14:formula1>
            <xm:f>項目!C17:$MZS$851969</xm:f>
          </x14:formula1>
          <xm:sqref>NAA851973:NAA851996</xm:sqref>
        </x14:dataValidation>
        <x14:dataValidation type="list" allowBlank="1" showInputMessage="1" showErrorMessage="1" xr:uid="{00000000-0002-0000-0300-0000460F0000}">
          <x14:formula1>
            <xm:f>項目!C17:$NJO$851969</xm:f>
          </x14:formula1>
          <xm:sqref>NJW851973:NJW851996</xm:sqref>
        </x14:dataValidation>
        <x14:dataValidation type="list" allowBlank="1" showInputMessage="1" showErrorMessage="1" xr:uid="{00000000-0002-0000-0300-0000470F0000}">
          <x14:formula1>
            <xm:f>項目!C17:$NTK$851969</xm:f>
          </x14:formula1>
          <xm:sqref>NTS851973:NTS851996</xm:sqref>
        </x14:dataValidation>
        <x14:dataValidation type="list" allowBlank="1" showInputMessage="1" showErrorMessage="1" xr:uid="{00000000-0002-0000-0300-0000480F0000}">
          <x14:formula1>
            <xm:f>項目!C17:$ODG$851969</xm:f>
          </x14:formula1>
          <xm:sqref>ODO851973:ODO851996</xm:sqref>
        </x14:dataValidation>
        <x14:dataValidation type="list" allowBlank="1" showInputMessage="1" showErrorMessage="1" xr:uid="{00000000-0002-0000-0300-0000490F0000}">
          <x14:formula1>
            <xm:f>項目!C17:$ONC$851969</xm:f>
          </x14:formula1>
          <xm:sqref>ONK851973:ONK851996</xm:sqref>
        </x14:dataValidation>
        <x14:dataValidation type="list" allowBlank="1" showInputMessage="1" showErrorMessage="1" xr:uid="{00000000-0002-0000-0300-00004A0F0000}">
          <x14:formula1>
            <xm:f>項目!C17:$OWY$851969</xm:f>
          </x14:formula1>
          <xm:sqref>OXG851973:OXG851996</xm:sqref>
        </x14:dataValidation>
        <x14:dataValidation type="list" allowBlank="1" showInputMessage="1" showErrorMessage="1" xr:uid="{00000000-0002-0000-0300-00004B0F0000}">
          <x14:formula1>
            <xm:f>項目!C17:$PGU$851969</xm:f>
          </x14:formula1>
          <xm:sqref>PHC851973:PHC851996</xm:sqref>
        </x14:dataValidation>
        <x14:dataValidation type="list" allowBlank="1" showInputMessage="1" showErrorMessage="1" xr:uid="{00000000-0002-0000-0300-00004C0F0000}">
          <x14:formula1>
            <xm:f>項目!C17:$PQQ$851969</xm:f>
          </x14:formula1>
          <xm:sqref>PQY851973:PQY851996</xm:sqref>
        </x14:dataValidation>
        <x14:dataValidation type="list" allowBlank="1" showInputMessage="1" showErrorMessage="1" xr:uid="{00000000-0002-0000-0300-00004D0F0000}">
          <x14:formula1>
            <xm:f>項目!C17:$QAM$851969</xm:f>
          </x14:formula1>
          <xm:sqref>QAU851973:QAU851996</xm:sqref>
        </x14:dataValidation>
        <x14:dataValidation type="list" allowBlank="1" showInputMessage="1" showErrorMessage="1" xr:uid="{00000000-0002-0000-0300-00004E0F0000}">
          <x14:formula1>
            <xm:f>項目!C17:$QKI$851969</xm:f>
          </x14:formula1>
          <xm:sqref>QKQ851973:QKQ851996</xm:sqref>
        </x14:dataValidation>
        <x14:dataValidation type="list" allowBlank="1" showInputMessage="1" showErrorMessage="1" xr:uid="{00000000-0002-0000-0300-00004F0F0000}">
          <x14:formula1>
            <xm:f>項目!C17:$QUE$851969</xm:f>
          </x14:formula1>
          <xm:sqref>QUM851973:QUM851996</xm:sqref>
        </x14:dataValidation>
        <x14:dataValidation type="list" allowBlank="1" showInputMessage="1" showErrorMessage="1" xr:uid="{00000000-0002-0000-0300-0000500F0000}">
          <x14:formula1>
            <xm:f>項目!C17:$REA$851969</xm:f>
          </x14:formula1>
          <xm:sqref>REI851973:REI851996</xm:sqref>
        </x14:dataValidation>
        <x14:dataValidation type="list" allowBlank="1" showInputMessage="1" showErrorMessage="1" xr:uid="{00000000-0002-0000-0300-0000510F0000}">
          <x14:formula1>
            <xm:f>項目!C17:$RNW$851969</xm:f>
          </x14:formula1>
          <xm:sqref>ROE851973:ROE851996</xm:sqref>
        </x14:dataValidation>
        <x14:dataValidation type="list" allowBlank="1" showInputMessage="1" showErrorMessage="1" xr:uid="{00000000-0002-0000-0300-0000520F0000}">
          <x14:formula1>
            <xm:f>項目!C17:$RXS$851969</xm:f>
          </x14:formula1>
          <xm:sqref>RYA851973:RYA851996</xm:sqref>
        </x14:dataValidation>
        <x14:dataValidation type="list" allowBlank="1" showInputMessage="1" showErrorMessage="1" xr:uid="{00000000-0002-0000-0300-0000530F0000}">
          <x14:formula1>
            <xm:f>項目!C17:$SHO$851969</xm:f>
          </x14:formula1>
          <xm:sqref>SHW851973:SHW851996</xm:sqref>
        </x14:dataValidation>
        <x14:dataValidation type="list" allowBlank="1" showInputMessage="1" showErrorMessage="1" xr:uid="{00000000-0002-0000-0300-0000540F0000}">
          <x14:formula1>
            <xm:f>項目!C17:$SRK$851969</xm:f>
          </x14:formula1>
          <xm:sqref>SRS851973:SRS851996</xm:sqref>
        </x14:dataValidation>
        <x14:dataValidation type="list" allowBlank="1" showInputMessage="1" showErrorMessage="1" xr:uid="{00000000-0002-0000-0300-0000550F0000}">
          <x14:formula1>
            <xm:f>項目!C17:$TBG$851969</xm:f>
          </x14:formula1>
          <xm:sqref>TBO851973:TBO851996</xm:sqref>
        </x14:dataValidation>
        <x14:dataValidation type="list" allowBlank="1" showInputMessage="1" showErrorMessage="1" xr:uid="{00000000-0002-0000-0300-0000560F0000}">
          <x14:formula1>
            <xm:f>項目!C17:$TLC$851969</xm:f>
          </x14:formula1>
          <xm:sqref>TLK851973:TLK851996</xm:sqref>
        </x14:dataValidation>
        <x14:dataValidation type="list" allowBlank="1" showInputMessage="1" showErrorMessage="1" xr:uid="{00000000-0002-0000-0300-0000570F0000}">
          <x14:formula1>
            <xm:f>項目!C17:$TUY$851969</xm:f>
          </x14:formula1>
          <xm:sqref>TVG851973:TVG851996</xm:sqref>
        </x14:dataValidation>
        <x14:dataValidation type="list" allowBlank="1" showInputMessage="1" showErrorMessage="1" xr:uid="{00000000-0002-0000-0300-0000580F0000}">
          <x14:formula1>
            <xm:f>項目!C17:$UEU$851969</xm:f>
          </x14:formula1>
          <xm:sqref>UFC851973:UFC851996</xm:sqref>
        </x14:dataValidation>
        <x14:dataValidation type="list" allowBlank="1" showInputMessage="1" showErrorMessage="1" xr:uid="{00000000-0002-0000-0300-0000590F0000}">
          <x14:formula1>
            <xm:f>項目!C17:$UOQ$851969</xm:f>
          </x14:formula1>
          <xm:sqref>UOY851973:UOY851996</xm:sqref>
        </x14:dataValidation>
        <x14:dataValidation type="list" allowBlank="1" showInputMessage="1" showErrorMessage="1" xr:uid="{00000000-0002-0000-0300-00005A0F0000}">
          <x14:formula1>
            <xm:f>項目!C17:$UYM$851969</xm:f>
          </x14:formula1>
          <xm:sqref>UYU851973:UYU851996</xm:sqref>
        </x14:dataValidation>
        <x14:dataValidation type="list" allowBlank="1" showInputMessage="1" showErrorMessage="1" xr:uid="{00000000-0002-0000-0300-00005B0F0000}">
          <x14:formula1>
            <xm:f>項目!C17:$VII$851969</xm:f>
          </x14:formula1>
          <xm:sqref>VIQ851973:VIQ851996</xm:sqref>
        </x14:dataValidation>
        <x14:dataValidation type="list" allowBlank="1" showInputMessage="1" showErrorMessage="1" xr:uid="{00000000-0002-0000-0300-00005C0F0000}">
          <x14:formula1>
            <xm:f>項目!C17:$VSE$851969</xm:f>
          </x14:formula1>
          <xm:sqref>VSM851973:VSM851996</xm:sqref>
        </x14:dataValidation>
        <x14:dataValidation type="list" allowBlank="1" showInputMessage="1" showErrorMessage="1" xr:uid="{00000000-0002-0000-0300-00005D0F0000}">
          <x14:formula1>
            <xm:f>項目!C17:$WCA$851969</xm:f>
          </x14:formula1>
          <xm:sqref>WCI851973:WCI851996</xm:sqref>
        </x14:dataValidation>
        <x14:dataValidation type="list" allowBlank="1" showInputMessage="1" showErrorMessage="1" xr:uid="{00000000-0002-0000-0300-00005E0F0000}">
          <x14:formula1>
            <xm:f>項目!C17:$WLW$851969</xm:f>
          </x14:formula1>
          <xm:sqref>WME851973:WME851996</xm:sqref>
        </x14:dataValidation>
        <x14:dataValidation type="list" allowBlank="1" showInputMessage="1" showErrorMessage="1" xr:uid="{00000000-0002-0000-0300-00005F0F0000}">
          <x14:formula1>
            <xm:f>項目!C17:$WVS$851969</xm:f>
          </x14:formula1>
          <xm:sqref>WWA851973:WWA851996</xm:sqref>
        </x14:dataValidation>
        <x14:dataValidation type="list" allowBlank="1" showInputMessage="1" showErrorMessage="1" xr:uid="{00000000-0002-0000-0300-0000600F0000}">
          <x14:formula1>
            <xm:f>項目!C17:$M$917505</xm:f>
          </x14:formula1>
          <xm:sqref>S917509:S917532</xm:sqref>
        </x14:dataValidation>
        <x14:dataValidation type="list" allowBlank="1" showInputMessage="1" showErrorMessage="1" xr:uid="{00000000-0002-0000-0300-0000610F0000}">
          <x14:formula1>
            <xm:f>項目!C17:$JG$917505</xm:f>
          </x14:formula1>
          <xm:sqref>JO917509:JO917532</xm:sqref>
        </x14:dataValidation>
        <x14:dataValidation type="list" allowBlank="1" showInputMessage="1" showErrorMessage="1" xr:uid="{00000000-0002-0000-0300-0000620F0000}">
          <x14:formula1>
            <xm:f>項目!C17:$TC$917505</xm:f>
          </x14:formula1>
          <xm:sqref>TK917509:TK917532</xm:sqref>
        </x14:dataValidation>
        <x14:dataValidation type="list" allowBlank="1" showInputMessage="1" showErrorMessage="1" xr:uid="{00000000-0002-0000-0300-0000630F0000}">
          <x14:formula1>
            <xm:f>項目!C17:$ACY$917505</xm:f>
          </x14:formula1>
          <xm:sqref>ADG917509:ADG917532</xm:sqref>
        </x14:dataValidation>
        <x14:dataValidation type="list" allowBlank="1" showInputMessage="1" showErrorMessage="1" xr:uid="{00000000-0002-0000-0300-0000640F0000}">
          <x14:formula1>
            <xm:f>項目!C17:$AMU$917505</xm:f>
          </x14:formula1>
          <xm:sqref>ANC917509:ANC917532</xm:sqref>
        </x14:dataValidation>
        <x14:dataValidation type="list" allowBlank="1" showInputMessage="1" showErrorMessage="1" xr:uid="{00000000-0002-0000-0300-0000650F0000}">
          <x14:formula1>
            <xm:f>項目!C17:$AWQ$917505</xm:f>
          </x14:formula1>
          <xm:sqref>AWY917509:AWY917532</xm:sqref>
        </x14:dataValidation>
        <x14:dataValidation type="list" allowBlank="1" showInputMessage="1" showErrorMessage="1" xr:uid="{00000000-0002-0000-0300-0000660F0000}">
          <x14:formula1>
            <xm:f>項目!C17:$BGM$917505</xm:f>
          </x14:formula1>
          <xm:sqref>BGU917509:BGU917532</xm:sqref>
        </x14:dataValidation>
        <x14:dataValidation type="list" allowBlank="1" showInputMessage="1" showErrorMessage="1" xr:uid="{00000000-0002-0000-0300-0000670F0000}">
          <x14:formula1>
            <xm:f>項目!C17:$BQI$917505</xm:f>
          </x14:formula1>
          <xm:sqref>BQQ917509:BQQ917532</xm:sqref>
        </x14:dataValidation>
        <x14:dataValidation type="list" allowBlank="1" showInputMessage="1" showErrorMessage="1" xr:uid="{00000000-0002-0000-0300-0000680F0000}">
          <x14:formula1>
            <xm:f>項目!C17:$CAE$917505</xm:f>
          </x14:formula1>
          <xm:sqref>CAM917509:CAM917532</xm:sqref>
        </x14:dataValidation>
        <x14:dataValidation type="list" allowBlank="1" showInputMessage="1" showErrorMessage="1" xr:uid="{00000000-0002-0000-0300-0000690F0000}">
          <x14:formula1>
            <xm:f>項目!C17:$CKA$917505</xm:f>
          </x14:formula1>
          <xm:sqref>CKI917509:CKI917532</xm:sqref>
        </x14:dataValidation>
        <x14:dataValidation type="list" allowBlank="1" showInputMessage="1" showErrorMessage="1" xr:uid="{00000000-0002-0000-0300-00006A0F0000}">
          <x14:formula1>
            <xm:f>項目!C17:$CTW$917505</xm:f>
          </x14:formula1>
          <xm:sqref>CUE917509:CUE917532</xm:sqref>
        </x14:dataValidation>
        <x14:dataValidation type="list" allowBlank="1" showInputMessage="1" showErrorMessage="1" xr:uid="{00000000-0002-0000-0300-00006B0F0000}">
          <x14:formula1>
            <xm:f>項目!C17:$DDS$917505</xm:f>
          </x14:formula1>
          <xm:sqref>DEA917509:DEA917532</xm:sqref>
        </x14:dataValidation>
        <x14:dataValidation type="list" allowBlank="1" showInputMessage="1" showErrorMessage="1" xr:uid="{00000000-0002-0000-0300-00006C0F0000}">
          <x14:formula1>
            <xm:f>項目!C17:$DNO$917505</xm:f>
          </x14:formula1>
          <xm:sqref>DNW917509:DNW917532</xm:sqref>
        </x14:dataValidation>
        <x14:dataValidation type="list" allowBlank="1" showInputMessage="1" showErrorMessage="1" xr:uid="{00000000-0002-0000-0300-00006D0F0000}">
          <x14:formula1>
            <xm:f>項目!C17:$DXK$917505</xm:f>
          </x14:formula1>
          <xm:sqref>DXS917509:DXS917532</xm:sqref>
        </x14:dataValidation>
        <x14:dataValidation type="list" allowBlank="1" showInputMessage="1" showErrorMessage="1" xr:uid="{00000000-0002-0000-0300-00006E0F0000}">
          <x14:formula1>
            <xm:f>項目!C17:$EHG$917505</xm:f>
          </x14:formula1>
          <xm:sqref>EHO917509:EHO917532</xm:sqref>
        </x14:dataValidation>
        <x14:dataValidation type="list" allowBlank="1" showInputMessage="1" showErrorMessage="1" xr:uid="{00000000-0002-0000-0300-00006F0F0000}">
          <x14:formula1>
            <xm:f>項目!C17:$ERC$917505</xm:f>
          </x14:formula1>
          <xm:sqref>ERK917509:ERK917532</xm:sqref>
        </x14:dataValidation>
        <x14:dataValidation type="list" allowBlank="1" showInputMessage="1" showErrorMessage="1" xr:uid="{00000000-0002-0000-0300-0000700F0000}">
          <x14:formula1>
            <xm:f>項目!C17:$FAY$917505</xm:f>
          </x14:formula1>
          <xm:sqref>FBG917509:FBG917532</xm:sqref>
        </x14:dataValidation>
        <x14:dataValidation type="list" allowBlank="1" showInputMessage="1" showErrorMessage="1" xr:uid="{00000000-0002-0000-0300-0000710F0000}">
          <x14:formula1>
            <xm:f>項目!C17:$FKU$917505</xm:f>
          </x14:formula1>
          <xm:sqref>FLC917509:FLC917532</xm:sqref>
        </x14:dataValidation>
        <x14:dataValidation type="list" allowBlank="1" showInputMessage="1" showErrorMessage="1" xr:uid="{00000000-0002-0000-0300-0000720F0000}">
          <x14:formula1>
            <xm:f>項目!C17:$FUQ$917505</xm:f>
          </x14:formula1>
          <xm:sqref>FUY917509:FUY917532</xm:sqref>
        </x14:dataValidation>
        <x14:dataValidation type="list" allowBlank="1" showInputMessage="1" showErrorMessage="1" xr:uid="{00000000-0002-0000-0300-0000730F0000}">
          <x14:formula1>
            <xm:f>項目!C17:$GEM$917505</xm:f>
          </x14:formula1>
          <xm:sqref>GEU917509:GEU917532</xm:sqref>
        </x14:dataValidation>
        <x14:dataValidation type="list" allowBlank="1" showInputMessage="1" showErrorMessage="1" xr:uid="{00000000-0002-0000-0300-0000740F0000}">
          <x14:formula1>
            <xm:f>項目!C17:$GOI$917505</xm:f>
          </x14:formula1>
          <xm:sqref>GOQ917509:GOQ917532</xm:sqref>
        </x14:dataValidation>
        <x14:dataValidation type="list" allowBlank="1" showInputMessage="1" showErrorMessage="1" xr:uid="{00000000-0002-0000-0300-0000750F0000}">
          <x14:formula1>
            <xm:f>項目!C17:$GYE$917505</xm:f>
          </x14:formula1>
          <xm:sqref>GYM917509:GYM917532</xm:sqref>
        </x14:dataValidation>
        <x14:dataValidation type="list" allowBlank="1" showInputMessage="1" showErrorMessage="1" xr:uid="{00000000-0002-0000-0300-0000760F0000}">
          <x14:formula1>
            <xm:f>項目!C17:$HIA$917505</xm:f>
          </x14:formula1>
          <xm:sqref>HII917509:HII917532</xm:sqref>
        </x14:dataValidation>
        <x14:dataValidation type="list" allowBlank="1" showInputMessage="1" showErrorMessage="1" xr:uid="{00000000-0002-0000-0300-0000770F0000}">
          <x14:formula1>
            <xm:f>項目!C17:$HRW$917505</xm:f>
          </x14:formula1>
          <xm:sqref>HSE917509:HSE917532</xm:sqref>
        </x14:dataValidation>
        <x14:dataValidation type="list" allowBlank="1" showInputMessage="1" showErrorMessage="1" xr:uid="{00000000-0002-0000-0300-0000780F0000}">
          <x14:formula1>
            <xm:f>項目!C17:$IBS$917505</xm:f>
          </x14:formula1>
          <xm:sqref>ICA917509:ICA917532</xm:sqref>
        </x14:dataValidation>
        <x14:dataValidation type="list" allowBlank="1" showInputMessage="1" showErrorMessage="1" xr:uid="{00000000-0002-0000-0300-0000790F0000}">
          <x14:formula1>
            <xm:f>項目!C17:$ILO$917505</xm:f>
          </x14:formula1>
          <xm:sqref>ILW917509:ILW917532</xm:sqref>
        </x14:dataValidation>
        <x14:dataValidation type="list" allowBlank="1" showInputMessage="1" showErrorMessage="1" xr:uid="{00000000-0002-0000-0300-00007A0F0000}">
          <x14:formula1>
            <xm:f>項目!C17:$IVK$917505</xm:f>
          </x14:formula1>
          <xm:sqref>IVS917509:IVS917532</xm:sqref>
        </x14:dataValidation>
        <x14:dataValidation type="list" allowBlank="1" showInputMessage="1" showErrorMessage="1" xr:uid="{00000000-0002-0000-0300-00007B0F0000}">
          <x14:formula1>
            <xm:f>項目!C17:$JFG$917505</xm:f>
          </x14:formula1>
          <xm:sqref>JFO917509:JFO917532</xm:sqref>
        </x14:dataValidation>
        <x14:dataValidation type="list" allowBlank="1" showInputMessage="1" showErrorMessage="1" xr:uid="{00000000-0002-0000-0300-00007C0F0000}">
          <x14:formula1>
            <xm:f>項目!C17:$JPC$917505</xm:f>
          </x14:formula1>
          <xm:sqref>JPK917509:JPK917532</xm:sqref>
        </x14:dataValidation>
        <x14:dataValidation type="list" allowBlank="1" showInputMessage="1" showErrorMessage="1" xr:uid="{00000000-0002-0000-0300-00007D0F0000}">
          <x14:formula1>
            <xm:f>項目!C17:$JYY$917505</xm:f>
          </x14:formula1>
          <xm:sqref>JZG917509:JZG917532</xm:sqref>
        </x14:dataValidation>
        <x14:dataValidation type="list" allowBlank="1" showInputMessage="1" showErrorMessage="1" xr:uid="{00000000-0002-0000-0300-00007E0F0000}">
          <x14:formula1>
            <xm:f>項目!C17:$KIU$917505</xm:f>
          </x14:formula1>
          <xm:sqref>KJC917509:KJC917532</xm:sqref>
        </x14:dataValidation>
        <x14:dataValidation type="list" allowBlank="1" showInputMessage="1" showErrorMessage="1" xr:uid="{00000000-0002-0000-0300-00007F0F0000}">
          <x14:formula1>
            <xm:f>項目!C17:$KSQ$917505</xm:f>
          </x14:formula1>
          <xm:sqref>KSY917509:KSY917532</xm:sqref>
        </x14:dataValidation>
        <x14:dataValidation type="list" allowBlank="1" showInputMessage="1" showErrorMessage="1" xr:uid="{00000000-0002-0000-0300-0000800F0000}">
          <x14:formula1>
            <xm:f>項目!C17:$LCM$917505</xm:f>
          </x14:formula1>
          <xm:sqref>LCU917509:LCU917532</xm:sqref>
        </x14:dataValidation>
        <x14:dataValidation type="list" allowBlank="1" showInputMessage="1" showErrorMessage="1" xr:uid="{00000000-0002-0000-0300-0000810F0000}">
          <x14:formula1>
            <xm:f>項目!C17:$LMI$917505</xm:f>
          </x14:formula1>
          <xm:sqref>LMQ917509:LMQ917532</xm:sqref>
        </x14:dataValidation>
        <x14:dataValidation type="list" allowBlank="1" showInputMessage="1" showErrorMessage="1" xr:uid="{00000000-0002-0000-0300-0000820F0000}">
          <x14:formula1>
            <xm:f>項目!C17:$LWE$917505</xm:f>
          </x14:formula1>
          <xm:sqref>LWM917509:LWM917532</xm:sqref>
        </x14:dataValidation>
        <x14:dataValidation type="list" allowBlank="1" showInputMessage="1" showErrorMessage="1" xr:uid="{00000000-0002-0000-0300-0000830F0000}">
          <x14:formula1>
            <xm:f>項目!C17:$MGA$917505</xm:f>
          </x14:formula1>
          <xm:sqref>MGI917509:MGI917532</xm:sqref>
        </x14:dataValidation>
        <x14:dataValidation type="list" allowBlank="1" showInputMessage="1" showErrorMessage="1" xr:uid="{00000000-0002-0000-0300-0000840F0000}">
          <x14:formula1>
            <xm:f>項目!C17:$MPW$917505</xm:f>
          </x14:formula1>
          <xm:sqref>MQE917509:MQE917532</xm:sqref>
        </x14:dataValidation>
        <x14:dataValidation type="list" allowBlank="1" showInputMessage="1" showErrorMessage="1" xr:uid="{00000000-0002-0000-0300-0000850F0000}">
          <x14:formula1>
            <xm:f>項目!C17:$MZS$917505</xm:f>
          </x14:formula1>
          <xm:sqref>NAA917509:NAA917532</xm:sqref>
        </x14:dataValidation>
        <x14:dataValidation type="list" allowBlank="1" showInputMessage="1" showErrorMessage="1" xr:uid="{00000000-0002-0000-0300-0000860F0000}">
          <x14:formula1>
            <xm:f>項目!C17:$NJO$917505</xm:f>
          </x14:formula1>
          <xm:sqref>NJW917509:NJW917532</xm:sqref>
        </x14:dataValidation>
        <x14:dataValidation type="list" allowBlank="1" showInputMessage="1" showErrorMessage="1" xr:uid="{00000000-0002-0000-0300-0000870F0000}">
          <x14:formula1>
            <xm:f>項目!C17:$NTK$917505</xm:f>
          </x14:formula1>
          <xm:sqref>NTS917509:NTS917532</xm:sqref>
        </x14:dataValidation>
        <x14:dataValidation type="list" allowBlank="1" showInputMessage="1" showErrorMessage="1" xr:uid="{00000000-0002-0000-0300-0000880F0000}">
          <x14:formula1>
            <xm:f>項目!C17:$ODG$917505</xm:f>
          </x14:formula1>
          <xm:sqref>ODO917509:ODO917532</xm:sqref>
        </x14:dataValidation>
        <x14:dataValidation type="list" allowBlank="1" showInputMessage="1" showErrorMessage="1" xr:uid="{00000000-0002-0000-0300-0000890F0000}">
          <x14:formula1>
            <xm:f>項目!C17:$ONC$917505</xm:f>
          </x14:formula1>
          <xm:sqref>ONK917509:ONK917532</xm:sqref>
        </x14:dataValidation>
        <x14:dataValidation type="list" allowBlank="1" showInputMessage="1" showErrorMessage="1" xr:uid="{00000000-0002-0000-0300-00008A0F0000}">
          <x14:formula1>
            <xm:f>項目!C17:$OWY$917505</xm:f>
          </x14:formula1>
          <xm:sqref>OXG917509:OXG917532</xm:sqref>
        </x14:dataValidation>
        <x14:dataValidation type="list" allowBlank="1" showInputMessage="1" showErrorMessage="1" xr:uid="{00000000-0002-0000-0300-00008B0F0000}">
          <x14:formula1>
            <xm:f>項目!C17:$PGU$917505</xm:f>
          </x14:formula1>
          <xm:sqref>PHC917509:PHC917532</xm:sqref>
        </x14:dataValidation>
        <x14:dataValidation type="list" allowBlank="1" showInputMessage="1" showErrorMessage="1" xr:uid="{00000000-0002-0000-0300-00008C0F0000}">
          <x14:formula1>
            <xm:f>項目!C17:$PQQ$917505</xm:f>
          </x14:formula1>
          <xm:sqref>PQY917509:PQY917532</xm:sqref>
        </x14:dataValidation>
        <x14:dataValidation type="list" allowBlank="1" showInputMessage="1" showErrorMessage="1" xr:uid="{00000000-0002-0000-0300-00008D0F0000}">
          <x14:formula1>
            <xm:f>項目!C17:$QAM$917505</xm:f>
          </x14:formula1>
          <xm:sqref>QAU917509:QAU917532</xm:sqref>
        </x14:dataValidation>
        <x14:dataValidation type="list" allowBlank="1" showInputMessage="1" showErrorMessage="1" xr:uid="{00000000-0002-0000-0300-00008E0F0000}">
          <x14:formula1>
            <xm:f>項目!C17:$QKI$917505</xm:f>
          </x14:formula1>
          <xm:sqref>QKQ917509:QKQ917532</xm:sqref>
        </x14:dataValidation>
        <x14:dataValidation type="list" allowBlank="1" showInputMessage="1" showErrorMessage="1" xr:uid="{00000000-0002-0000-0300-00008F0F0000}">
          <x14:formula1>
            <xm:f>項目!C17:$QUE$917505</xm:f>
          </x14:formula1>
          <xm:sqref>QUM917509:QUM917532</xm:sqref>
        </x14:dataValidation>
        <x14:dataValidation type="list" allowBlank="1" showInputMessage="1" showErrorMessage="1" xr:uid="{00000000-0002-0000-0300-0000900F0000}">
          <x14:formula1>
            <xm:f>項目!C17:$REA$917505</xm:f>
          </x14:formula1>
          <xm:sqref>REI917509:REI917532</xm:sqref>
        </x14:dataValidation>
        <x14:dataValidation type="list" allowBlank="1" showInputMessage="1" showErrorMessage="1" xr:uid="{00000000-0002-0000-0300-0000910F0000}">
          <x14:formula1>
            <xm:f>項目!C17:$RNW$917505</xm:f>
          </x14:formula1>
          <xm:sqref>ROE917509:ROE917532</xm:sqref>
        </x14:dataValidation>
        <x14:dataValidation type="list" allowBlank="1" showInputMessage="1" showErrorMessage="1" xr:uid="{00000000-0002-0000-0300-0000920F0000}">
          <x14:formula1>
            <xm:f>項目!C17:$RXS$917505</xm:f>
          </x14:formula1>
          <xm:sqref>RYA917509:RYA917532</xm:sqref>
        </x14:dataValidation>
        <x14:dataValidation type="list" allowBlank="1" showInputMessage="1" showErrorMessage="1" xr:uid="{00000000-0002-0000-0300-0000930F0000}">
          <x14:formula1>
            <xm:f>項目!C17:$SHO$917505</xm:f>
          </x14:formula1>
          <xm:sqref>SHW917509:SHW917532</xm:sqref>
        </x14:dataValidation>
        <x14:dataValidation type="list" allowBlank="1" showInputMessage="1" showErrorMessage="1" xr:uid="{00000000-0002-0000-0300-0000940F0000}">
          <x14:formula1>
            <xm:f>項目!C17:$SRK$917505</xm:f>
          </x14:formula1>
          <xm:sqref>SRS917509:SRS917532</xm:sqref>
        </x14:dataValidation>
        <x14:dataValidation type="list" allowBlank="1" showInputMessage="1" showErrorMessage="1" xr:uid="{00000000-0002-0000-0300-0000950F0000}">
          <x14:formula1>
            <xm:f>項目!C17:$TBG$917505</xm:f>
          </x14:formula1>
          <xm:sqref>TBO917509:TBO917532</xm:sqref>
        </x14:dataValidation>
        <x14:dataValidation type="list" allowBlank="1" showInputMessage="1" showErrorMessage="1" xr:uid="{00000000-0002-0000-0300-0000960F0000}">
          <x14:formula1>
            <xm:f>項目!C17:$TLC$917505</xm:f>
          </x14:formula1>
          <xm:sqref>TLK917509:TLK917532</xm:sqref>
        </x14:dataValidation>
        <x14:dataValidation type="list" allowBlank="1" showInputMessage="1" showErrorMessage="1" xr:uid="{00000000-0002-0000-0300-0000970F0000}">
          <x14:formula1>
            <xm:f>項目!C17:$TUY$917505</xm:f>
          </x14:formula1>
          <xm:sqref>TVG917509:TVG917532</xm:sqref>
        </x14:dataValidation>
        <x14:dataValidation type="list" allowBlank="1" showInputMessage="1" showErrorMessage="1" xr:uid="{00000000-0002-0000-0300-0000980F0000}">
          <x14:formula1>
            <xm:f>項目!C17:$UEU$917505</xm:f>
          </x14:formula1>
          <xm:sqref>UFC917509:UFC917532</xm:sqref>
        </x14:dataValidation>
        <x14:dataValidation type="list" allowBlank="1" showInputMessage="1" showErrorMessage="1" xr:uid="{00000000-0002-0000-0300-0000990F0000}">
          <x14:formula1>
            <xm:f>項目!C17:$UOQ$917505</xm:f>
          </x14:formula1>
          <xm:sqref>UOY917509:UOY917532</xm:sqref>
        </x14:dataValidation>
        <x14:dataValidation type="list" allowBlank="1" showInputMessage="1" showErrorMessage="1" xr:uid="{00000000-0002-0000-0300-00009A0F0000}">
          <x14:formula1>
            <xm:f>項目!C17:$UYM$917505</xm:f>
          </x14:formula1>
          <xm:sqref>UYU917509:UYU917532</xm:sqref>
        </x14:dataValidation>
        <x14:dataValidation type="list" allowBlank="1" showInputMessage="1" showErrorMessage="1" xr:uid="{00000000-0002-0000-0300-00009B0F0000}">
          <x14:formula1>
            <xm:f>項目!C17:$VII$917505</xm:f>
          </x14:formula1>
          <xm:sqref>VIQ917509:VIQ917532</xm:sqref>
        </x14:dataValidation>
        <x14:dataValidation type="list" allowBlank="1" showInputMessage="1" showErrorMessage="1" xr:uid="{00000000-0002-0000-0300-00009C0F0000}">
          <x14:formula1>
            <xm:f>項目!C17:$VSE$917505</xm:f>
          </x14:formula1>
          <xm:sqref>VSM917509:VSM917532</xm:sqref>
        </x14:dataValidation>
        <x14:dataValidation type="list" allowBlank="1" showInputMessage="1" showErrorMessage="1" xr:uid="{00000000-0002-0000-0300-00009D0F0000}">
          <x14:formula1>
            <xm:f>項目!C17:$WCA$917505</xm:f>
          </x14:formula1>
          <xm:sqref>WCI917509:WCI917532</xm:sqref>
        </x14:dataValidation>
        <x14:dataValidation type="list" allowBlank="1" showInputMessage="1" showErrorMessage="1" xr:uid="{00000000-0002-0000-0300-00009E0F0000}">
          <x14:formula1>
            <xm:f>項目!C17:$WLW$917505</xm:f>
          </x14:formula1>
          <xm:sqref>WME917509:WME917532</xm:sqref>
        </x14:dataValidation>
        <x14:dataValidation type="list" allowBlank="1" showInputMessage="1" showErrorMessage="1" xr:uid="{00000000-0002-0000-0300-00009F0F0000}">
          <x14:formula1>
            <xm:f>項目!C17:$WVS$917505</xm:f>
          </x14:formula1>
          <xm:sqref>WWA917509:WWA917532</xm:sqref>
        </x14:dataValidation>
        <x14:dataValidation type="list" allowBlank="1" showInputMessage="1" showErrorMessage="1" xr:uid="{00000000-0002-0000-0300-0000A00F0000}">
          <x14:formula1>
            <xm:f>項目!C17:$M$983041</xm:f>
          </x14:formula1>
          <xm:sqref>S983045:S983068</xm:sqref>
        </x14:dataValidation>
        <x14:dataValidation type="list" allowBlank="1" showInputMessage="1" showErrorMessage="1" xr:uid="{00000000-0002-0000-0300-0000A10F0000}">
          <x14:formula1>
            <xm:f>項目!C17:$JG$983041</xm:f>
          </x14:formula1>
          <xm:sqref>JO983045:JO983068</xm:sqref>
        </x14:dataValidation>
        <x14:dataValidation type="list" allowBlank="1" showInputMessage="1" showErrorMessage="1" xr:uid="{00000000-0002-0000-0300-0000A20F0000}">
          <x14:formula1>
            <xm:f>項目!C17:$TC$983041</xm:f>
          </x14:formula1>
          <xm:sqref>TK983045:TK983068</xm:sqref>
        </x14:dataValidation>
        <x14:dataValidation type="list" allowBlank="1" showInputMessage="1" showErrorMessage="1" xr:uid="{00000000-0002-0000-0300-0000A30F0000}">
          <x14:formula1>
            <xm:f>項目!C17:$ACY$983041</xm:f>
          </x14:formula1>
          <xm:sqref>ADG983045:ADG983068</xm:sqref>
        </x14:dataValidation>
        <x14:dataValidation type="list" allowBlank="1" showInputMessage="1" showErrorMessage="1" xr:uid="{00000000-0002-0000-0300-0000A40F0000}">
          <x14:formula1>
            <xm:f>項目!C17:$AMU$983041</xm:f>
          </x14:formula1>
          <xm:sqref>ANC983045:ANC983068</xm:sqref>
        </x14:dataValidation>
        <x14:dataValidation type="list" allowBlank="1" showInputMessage="1" showErrorMessage="1" xr:uid="{00000000-0002-0000-0300-0000A50F0000}">
          <x14:formula1>
            <xm:f>項目!C17:$AWQ$983041</xm:f>
          </x14:formula1>
          <xm:sqref>AWY983045:AWY983068</xm:sqref>
        </x14:dataValidation>
        <x14:dataValidation type="list" allowBlank="1" showInputMessage="1" showErrorMessage="1" xr:uid="{00000000-0002-0000-0300-0000A60F0000}">
          <x14:formula1>
            <xm:f>項目!C17:$BGM$983041</xm:f>
          </x14:formula1>
          <xm:sqref>BGU983045:BGU983068</xm:sqref>
        </x14:dataValidation>
        <x14:dataValidation type="list" allowBlank="1" showInputMessage="1" showErrorMessage="1" xr:uid="{00000000-0002-0000-0300-0000A70F0000}">
          <x14:formula1>
            <xm:f>項目!C17:$BQI$983041</xm:f>
          </x14:formula1>
          <xm:sqref>BQQ983045:BQQ983068</xm:sqref>
        </x14:dataValidation>
        <x14:dataValidation type="list" allowBlank="1" showInputMessage="1" showErrorMessage="1" xr:uid="{00000000-0002-0000-0300-0000A80F0000}">
          <x14:formula1>
            <xm:f>項目!C17:$CAE$983041</xm:f>
          </x14:formula1>
          <xm:sqref>CAM983045:CAM983068</xm:sqref>
        </x14:dataValidation>
        <x14:dataValidation type="list" allowBlank="1" showInputMessage="1" showErrorMessage="1" xr:uid="{00000000-0002-0000-0300-0000A90F0000}">
          <x14:formula1>
            <xm:f>項目!C17:$CKA$983041</xm:f>
          </x14:formula1>
          <xm:sqref>CKI983045:CKI983068</xm:sqref>
        </x14:dataValidation>
        <x14:dataValidation type="list" allowBlank="1" showInputMessage="1" showErrorMessage="1" xr:uid="{00000000-0002-0000-0300-0000AA0F0000}">
          <x14:formula1>
            <xm:f>項目!C17:$CTW$983041</xm:f>
          </x14:formula1>
          <xm:sqref>CUE983045:CUE983068</xm:sqref>
        </x14:dataValidation>
        <x14:dataValidation type="list" allowBlank="1" showInputMessage="1" showErrorMessage="1" xr:uid="{00000000-0002-0000-0300-0000AB0F0000}">
          <x14:formula1>
            <xm:f>項目!C17:$DDS$983041</xm:f>
          </x14:formula1>
          <xm:sqref>DEA983045:DEA983068</xm:sqref>
        </x14:dataValidation>
        <x14:dataValidation type="list" allowBlank="1" showInputMessage="1" showErrorMessage="1" xr:uid="{00000000-0002-0000-0300-0000AC0F0000}">
          <x14:formula1>
            <xm:f>項目!C17:$DNO$983041</xm:f>
          </x14:formula1>
          <xm:sqref>DNW983045:DNW983068</xm:sqref>
        </x14:dataValidation>
        <x14:dataValidation type="list" allowBlank="1" showInputMessage="1" showErrorMessage="1" xr:uid="{00000000-0002-0000-0300-0000AD0F0000}">
          <x14:formula1>
            <xm:f>項目!C17:$DXK$983041</xm:f>
          </x14:formula1>
          <xm:sqref>DXS983045:DXS983068</xm:sqref>
        </x14:dataValidation>
        <x14:dataValidation type="list" allowBlank="1" showInputMessage="1" showErrorMessage="1" xr:uid="{00000000-0002-0000-0300-0000AE0F0000}">
          <x14:formula1>
            <xm:f>項目!C17:$EHG$983041</xm:f>
          </x14:formula1>
          <xm:sqref>EHO983045:EHO983068</xm:sqref>
        </x14:dataValidation>
        <x14:dataValidation type="list" allowBlank="1" showInputMessage="1" showErrorMessage="1" xr:uid="{00000000-0002-0000-0300-0000AF0F0000}">
          <x14:formula1>
            <xm:f>項目!C17:$ERC$983041</xm:f>
          </x14:formula1>
          <xm:sqref>ERK983045:ERK983068</xm:sqref>
        </x14:dataValidation>
        <x14:dataValidation type="list" allowBlank="1" showInputMessage="1" showErrorMessage="1" xr:uid="{00000000-0002-0000-0300-0000B00F0000}">
          <x14:formula1>
            <xm:f>項目!C17:$FAY$983041</xm:f>
          </x14:formula1>
          <xm:sqref>FBG983045:FBG983068</xm:sqref>
        </x14:dataValidation>
        <x14:dataValidation type="list" allowBlank="1" showInputMessage="1" showErrorMessage="1" xr:uid="{00000000-0002-0000-0300-0000B10F0000}">
          <x14:formula1>
            <xm:f>項目!C17:$FKU$983041</xm:f>
          </x14:formula1>
          <xm:sqref>FLC983045:FLC983068</xm:sqref>
        </x14:dataValidation>
        <x14:dataValidation type="list" allowBlank="1" showInputMessage="1" showErrorMessage="1" xr:uid="{00000000-0002-0000-0300-0000B20F0000}">
          <x14:formula1>
            <xm:f>項目!C17:$FUQ$983041</xm:f>
          </x14:formula1>
          <xm:sqref>FUY983045:FUY983068</xm:sqref>
        </x14:dataValidation>
        <x14:dataValidation type="list" allowBlank="1" showInputMessage="1" showErrorMessage="1" xr:uid="{00000000-0002-0000-0300-0000B30F0000}">
          <x14:formula1>
            <xm:f>項目!C17:$GEM$983041</xm:f>
          </x14:formula1>
          <xm:sqref>GEU983045:GEU983068</xm:sqref>
        </x14:dataValidation>
        <x14:dataValidation type="list" allowBlank="1" showInputMessage="1" showErrorMessage="1" xr:uid="{00000000-0002-0000-0300-0000B40F0000}">
          <x14:formula1>
            <xm:f>項目!C17:$GOI$983041</xm:f>
          </x14:formula1>
          <xm:sqref>GOQ983045:GOQ983068</xm:sqref>
        </x14:dataValidation>
        <x14:dataValidation type="list" allowBlank="1" showInputMessage="1" showErrorMessage="1" xr:uid="{00000000-0002-0000-0300-0000B50F0000}">
          <x14:formula1>
            <xm:f>項目!C17:$GYE$983041</xm:f>
          </x14:formula1>
          <xm:sqref>GYM983045:GYM983068</xm:sqref>
        </x14:dataValidation>
        <x14:dataValidation type="list" allowBlank="1" showInputMessage="1" showErrorMessage="1" xr:uid="{00000000-0002-0000-0300-0000B60F0000}">
          <x14:formula1>
            <xm:f>項目!C17:$HIA$983041</xm:f>
          </x14:formula1>
          <xm:sqref>HII983045:HII983068</xm:sqref>
        </x14:dataValidation>
        <x14:dataValidation type="list" allowBlank="1" showInputMessage="1" showErrorMessage="1" xr:uid="{00000000-0002-0000-0300-0000B70F0000}">
          <x14:formula1>
            <xm:f>項目!C17:$HRW$983041</xm:f>
          </x14:formula1>
          <xm:sqref>HSE983045:HSE983068</xm:sqref>
        </x14:dataValidation>
        <x14:dataValidation type="list" allowBlank="1" showInputMessage="1" showErrorMessage="1" xr:uid="{00000000-0002-0000-0300-0000B80F0000}">
          <x14:formula1>
            <xm:f>項目!C17:$IBS$983041</xm:f>
          </x14:formula1>
          <xm:sqref>ICA983045:ICA983068</xm:sqref>
        </x14:dataValidation>
        <x14:dataValidation type="list" allowBlank="1" showInputMessage="1" showErrorMessage="1" xr:uid="{00000000-0002-0000-0300-0000B90F0000}">
          <x14:formula1>
            <xm:f>項目!C17:$ILO$983041</xm:f>
          </x14:formula1>
          <xm:sqref>ILW983045:ILW983068</xm:sqref>
        </x14:dataValidation>
        <x14:dataValidation type="list" allowBlank="1" showInputMessage="1" showErrorMessage="1" xr:uid="{00000000-0002-0000-0300-0000BA0F0000}">
          <x14:formula1>
            <xm:f>項目!C17:$IVK$983041</xm:f>
          </x14:formula1>
          <xm:sqref>IVS983045:IVS983068</xm:sqref>
        </x14:dataValidation>
        <x14:dataValidation type="list" allowBlank="1" showInputMessage="1" showErrorMessage="1" xr:uid="{00000000-0002-0000-0300-0000BB0F0000}">
          <x14:formula1>
            <xm:f>項目!C17:$JFG$983041</xm:f>
          </x14:formula1>
          <xm:sqref>JFO983045:JFO983068</xm:sqref>
        </x14:dataValidation>
        <x14:dataValidation type="list" allowBlank="1" showInputMessage="1" showErrorMessage="1" xr:uid="{00000000-0002-0000-0300-0000BC0F0000}">
          <x14:formula1>
            <xm:f>項目!C17:$JPC$983041</xm:f>
          </x14:formula1>
          <xm:sqref>JPK983045:JPK983068</xm:sqref>
        </x14:dataValidation>
        <x14:dataValidation type="list" allowBlank="1" showInputMessage="1" showErrorMessage="1" xr:uid="{00000000-0002-0000-0300-0000BD0F0000}">
          <x14:formula1>
            <xm:f>項目!C17:$JYY$983041</xm:f>
          </x14:formula1>
          <xm:sqref>JZG983045:JZG983068</xm:sqref>
        </x14:dataValidation>
        <x14:dataValidation type="list" allowBlank="1" showInputMessage="1" showErrorMessage="1" xr:uid="{00000000-0002-0000-0300-0000BE0F0000}">
          <x14:formula1>
            <xm:f>項目!C17:$KIU$983041</xm:f>
          </x14:formula1>
          <xm:sqref>KJC983045:KJC983068</xm:sqref>
        </x14:dataValidation>
        <x14:dataValidation type="list" allowBlank="1" showInputMessage="1" showErrorMessage="1" xr:uid="{00000000-0002-0000-0300-0000BF0F0000}">
          <x14:formula1>
            <xm:f>項目!C17:$KSQ$983041</xm:f>
          </x14:formula1>
          <xm:sqref>KSY983045:KSY983068</xm:sqref>
        </x14:dataValidation>
        <x14:dataValidation type="list" allowBlank="1" showInputMessage="1" showErrorMessage="1" xr:uid="{00000000-0002-0000-0300-0000C00F0000}">
          <x14:formula1>
            <xm:f>項目!C17:$LCM$983041</xm:f>
          </x14:formula1>
          <xm:sqref>LCU983045:LCU983068</xm:sqref>
        </x14:dataValidation>
        <x14:dataValidation type="list" allowBlank="1" showInputMessage="1" showErrorMessage="1" xr:uid="{00000000-0002-0000-0300-0000C10F0000}">
          <x14:formula1>
            <xm:f>項目!C17:$LMI$983041</xm:f>
          </x14:formula1>
          <xm:sqref>LMQ983045:LMQ983068</xm:sqref>
        </x14:dataValidation>
        <x14:dataValidation type="list" allowBlank="1" showInputMessage="1" showErrorMessage="1" xr:uid="{00000000-0002-0000-0300-0000C20F0000}">
          <x14:formula1>
            <xm:f>項目!C17:$LWE$983041</xm:f>
          </x14:formula1>
          <xm:sqref>LWM983045:LWM983068</xm:sqref>
        </x14:dataValidation>
        <x14:dataValidation type="list" allowBlank="1" showInputMessage="1" showErrorMessage="1" xr:uid="{00000000-0002-0000-0300-0000C30F0000}">
          <x14:formula1>
            <xm:f>項目!C17:$MGA$983041</xm:f>
          </x14:formula1>
          <xm:sqref>MGI983045:MGI983068</xm:sqref>
        </x14:dataValidation>
        <x14:dataValidation type="list" allowBlank="1" showInputMessage="1" showErrorMessage="1" xr:uid="{00000000-0002-0000-0300-0000C40F0000}">
          <x14:formula1>
            <xm:f>項目!C17:$MPW$983041</xm:f>
          </x14:formula1>
          <xm:sqref>MQE983045:MQE983068</xm:sqref>
        </x14:dataValidation>
        <x14:dataValidation type="list" allowBlank="1" showInputMessage="1" showErrorMessage="1" xr:uid="{00000000-0002-0000-0300-0000C50F0000}">
          <x14:formula1>
            <xm:f>項目!C17:$MZS$983041</xm:f>
          </x14:formula1>
          <xm:sqref>NAA983045:NAA983068</xm:sqref>
        </x14:dataValidation>
        <x14:dataValidation type="list" allowBlank="1" showInputMessage="1" showErrorMessage="1" xr:uid="{00000000-0002-0000-0300-0000C60F0000}">
          <x14:formula1>
            <xm:f>項目!C17:$NJO$983041</xm:f>
          </x14:formula1>
          <xm:sqref>NJW983045:NJW983068</xm:sqref>
        </x14:dataValidation>
        <x14:dataValidation type="list" allowBlank="1" showInputMessage="1" showErrorMessage="1" xr:uid="{00000000-0002-0000-0300-0000C70F0000}">
          <x14:formula1>
            <xm:f>項目!C17:$NTK$983041</xm:f>
          </x14:formula1>
          <xm:sqref>NTS983045:NTS983068</xm:sqref>
        </x14:dataValidation>
        <x14:dataValidation type="list" allowBlank="1" showInputMessage="1" showErrorMessage="1" xr:uid="{00000000-0002-0000-0300-0000C80F0000}">
          <x14:formula1>
            <xm:f>項目!C17:$ODG$983041</xm:f>
          </x14:formula1>
          <xm:sqref>ODO983045:ODO983068</xm:sqref>
        </x14:dataValidation>
        <x14:dataValidation type="list" allowBlank="1" showInputMessage="1" showErrorMessage="1" xr:uid="{00000000-0002-0000-0300-0000C90F0000}">
          <x14:formula1>
            <xm:f>項目!C17:$ONC$983041</xm:f>
          </x14:formula1>
          <xm:sqref>ONK983045:ONK983068</xm:sqref>
        </x14:dataValidation>
        <x14:dataValidation type="list" allowBlank="1" showInputMessage="1" showErrorMessage="1" xr:uid="{00000000-0002-0000-0300-0000CA0F0000}">
          <x14:formula1>
            <xm:f>項目!C17:$OWY$983041</xm:f>
          </x14:formula1>
          <xm:sqref>OXG983045:OXG983068</xm:sqref>
        </x14:dataValidation>
        <x14:dataValidation type="list" allowBlank="1" showInputMessage="1" showErrorMessage="1" xr:uid="{00000000-0002-0000-0300-0000CB0F0000}">
          <x14:formula1>
            <xm:f>項目!C17:$PGU$983041</xm:f>
          </x14:formula1>
          <xm:sqref>PHC983045:PHC983068</xm:sqref>
        </x14:dataValidation>
        <x14:dataValidation type="list" allowBlank="1" showInputMessage="1" showErrorMessage="1" xr:uid="{00000000-0002-0000-0300-0000CC0F0000}">
          <x14:formula1>
            <xm:f>項目!C17:$PQQ$983041</xm:f>
          </x14:formula1>
          <xm:sqref>PQY983045:PQY983068</xm:sqref>
        </x14:dataValidation>
        <x14:dataValidation type="list" allowBlank="1" showInputMessage="1" showErrorMessage="1" xr:uid="{00000000-0002-0000-0300-0000CD0F0000}">
          <x14:formula1>
            <xm:f>項目!C17:$QAM$983041</xm:f>
          </x14:formula1>
          <xm:sqref>QAU983045:QAU983068</xm:sqref>
        </x14:dataValidation>
        <x14:dataValidation type="list" allowBlank="1" showInputMessage="1" showErrorMessage="1" xr:uid="{00000000-0002-0000-0300-0000CE0F0000}">
          <x14:formula1>
            <xm:f>項目!C17:$QKI$983041</xm:f>
          </x14:formula1>
          <xm:sqref>QKQ983045:QKQ983068</xm:sqref>
        </x14:dataValidation>
        <x14:dataValidation type="list" allowBlank="1" showInputMessage="1" showErrorMessage="1" xr:uid="{00000000-0002-0000-0300-0000CF0F0000}">
          <x14:formula1>
            <xm:f>項目!C17:$QUE$983041</xm:f>
          </x14:formula1>
          <xm:sqref>QUM983045:QUM983068</xm:sqref>
        </x14:dataValidation>
        <x14:dataValidation type="list" allowBlank="1" showInputMessage="1" showErrorMessage="1" xr:uid="{00000000-0002-0000-0300-0000D00F0000}">
          <x14:formula1>
            <xm:f>項目!C17:$REA$983041</xm:f>
          </x14:formula1>
          <xm:sqref>REI983045:REI983068</xm:sqref>
        </x14:dataValidation>
        <x14:dataValidation type="list" allowBlank="1" showInputMessage="1" showErrorMessage="1" xr:uid="{00000000-0002-0000-0300-0000D10F0000}">
          <x14:formula1>
            <xm:f>項目!C17:$RNW$983041</xm:f>
          </x14:formula1>
          <xm:sqref>ROE983045:ROE983068</xm:sqref>
        </x14:dataValidation>
        <x14:dataValidation type="list" allowBlank="1" showInputMessage="1" showErrorMessage="1" xr:uid="{00000000-0002-0000-0300-0000D20F0000}">
          <x14:formula1>
            <xm:f>項目!C17:$RXS$983041</xm:f>
          </x14:formula1>
          <xm:sqref>RYA983045:RYA983068</xm:sqref>
        </x14:dataValidation>
        <x14:dataValidation type="list" allowBlank="1" showInputMessage="1" showErrorMessage="1" xr:uid="{00000000-0002-0000-0300-0000D30F0000}">
          <x14:formula1>
            <xm:f>項目!C17:$SHO$983041</xm:f>
          </x14:formula1>
          <xm:sqref>SHW983045:SHW983068</xm:sqref>
        </x14:dataValidation>
        <x14:dataValidation type="list" allowBlank="1" showInputMessage="1" showErrorMessage="1" xr:uid="{00000000-0002-0000-0300-0000D40F0000}">
          <x14:formula1>
            <xm:f>項目!C17:$SRK$983041</xm:f>
          </x14:formula1>
          <xm:sqref>SRS983045:SRS983068</xm:sqref>
        </x14:dataValidation>
        <x14:dataValidation type="list" allowBlank="1" showInputMessage="1" showErrorMessage="1" xr:uid="{00000000-0002-0000-0300-0000D50F0000}">
          <x14:formula1>
            <xm:f>項目!C17:$TBG$983041</xm:f>
          </x14:formula1>
          <xm:sqref>TBO983045:TBO983068</xm:sqref>
        </x14:dataValidation>
        <x14:dataValidation type="list" allowBlank="1" showInputMessage="1" showErrorMessage="1" xr:uid="{00000000-0002-0000-0300-0000D60F0000}">
          <x14:formula1>
            <xm:f>項目!C17:$TLC$983041</xm:f>
          </x14:formula1>
          <xm:sqref>TLK983045:TLK983068</xm:sqref>
        </x14:dataValidation>
        <x14:dataValidation type="list" allowBlank="1" showInputMessage="1" showErrorMessage="1" xr:uid="{00000000-0002-0000-0300-0000D70F0000}">
          <x14:formula1>
            <xm:f>項目!C17:$TUY$983041</xm:f>
          </x14:formula1>
          <xm:sqref>TVG983045:TVG983068</xm:sqref>
        </x14:dataValidation>
        <x14:dataValidation type="list" allowBlank="1" showInputMessage="1" showErrorMessage="1" xr:uid="{00000000-0002-0000-0300-0000D80F0000}">
          <x14:formula1>
            <xm:f>項目!C17:$UEU$983041</xm:f>
          </x14:formula1>
          <xm:sqref>UFC983045:UFC983068</xm:sqref>
        </x14:dataValidation>
        <x14:dataValidation type="list" allowBlank="1" showInputMessage="1" showErrorMessage="1" xr:uid="{00000000-0002-0000-0300-0000D90F0000}">
          <x14:formula1>
            <xm:f>項目!C17:$UOQ$983041</xm:f>
          </x14:formula1>
          <xm:sqref>UOY983045:UOY983068</xm:sqref>
        </x14:dataValidation>
        <x14:dataValidation type="list" allowBlank="1" showInputMessage="1" showErrorMessage="1" xr:uid="{00000000-0002-0000-0300-0000DA0F0000}">
          <x14:formula1>
            <xm:f>項目!C17:$UYM$983041</xm:f>
          </x14:formula1>
          <xm:sqref>UYU983045:UYU983068</xm:sqref>
        </x14:dataValidation>
        <x14:dataValidation type="list" allowBlank="1" showInputMessage="1" showErrorMessage="1" xr:uid="{00000000-0002-0000-0300-0000DB0F0000}">
          <x14:formula1>
            <xm:f>項目!C17:$VII$983041</xm:f>
          </x14:formula1>
          <xm:sqref>VIQ983045:VIQ983068</xm:sqref>
        </x14:dataValidation>
        <x14:dataValidation type="list" allowBlank="1" showInputMessage="1" showErrorMessage="1" xr:uid="{00000000-0002-0000-0300-0000DC0F0000}">
          <x14:formula1>
            <xm:f>項目!C17:$VSE$983041</xm:f>
          </x14:formula1>
          <xm:sqref>VSM983045:VSM983068</xm:sqref>
        </x14:dataValidation>
        <x14:dataValidation type="list" allowBlank="1" showInputMessage="1" showErrorMessage="1" xr:uid="{00000000-0002-0000-0300-0000DD0F0000}">
          <x14:formula1>
            <xm:f>項目!C17:$WCA$983041</xm:f>
          </x14:formula1>
          <xm:sqref>WCI983045:WCI983068</xm:sqref>
        </x14:dataValidation>
        <x14:dataValidation type="list" allowBlank="1" showInputMessage="1" showErrorMessage="1" xr:uid="{00000000-0002-0000-0300-0000DE0F0000}">
          <x14:formula1>
            <xm:f>項目!C17:$WLW$983041</xm:f>
          </x14:formula1>
          <xm:sqref>WME983045:WME983068</xm:sqref>
        </x14:dataValidation>
        <x14:dataValidation type="list" allowBlank="1" showInputMessage="1" showErrorMessage="1" xr:uid="{00000000-0002-0000-0300-0000DF0F0000}">
          <x14:formula1>
            <xm:f>項目!C17:$WVS$983041</xm:f>
          </x14:formula1>
          <xm:sqref>WWA983045:WWA983068</xm:sqref>
        </x14:dataValidation>
        <x14:dataValidation type="list" allowBlank="1" showInputMessage="1" showErrorMessage="1" xr:uid="{00000000-0002-0000-0300-0000E00F0000}">
          <x14:formula1>
            <xm:f>項目!C1:$ACM$17</xm:f>
          </x14:formula1>
          <xm:sqref>ACU5:ACU28</xm:sqref>
        </x14:dataValidation>
        <x14:dataValidation type="list" allowBlank="1" showInputMessage="1" showErrorMessage="1" xr:uid="{00000000-0002-0000-0300-0000E10F0000}">
          <x14:formula1>
            <xm:f>項目!C1:$JK$17</xm:f>
          </x14:formula1>
          <xm:sqref>JS5:JS28</xm:sqref>
        </x14:dataValidation>
        <x14:dataValidation type="list" allowBlank="1" showInputMessage="1" showErrorMessage="1" xr:uid="{00000000-0002-0000-0300-0000E20F0000}">
          <x14:formula1>
            <xm:f>項目!C1:$TG$17</xm:f>
          </x14:formula1>
          <xm:sqref>TO5:TO28</xm:sqref>
        </x14:dataValidation>
        <x14:dataValidation type="list" allowBlank="1" showInputMessage="1" showErrorMessage="1" xr:uid="{00000000-0002-0000-0300-0000E30F0000}">
          <x14:formula1>
            <xm:f>項目!C1:$ADC$17</xm:f>
          </x14:formula1>
          <xm:sqref>ADK5:ADK28</xm:sqref>
        </x14:dataValidation>
        <x14:dataValidation type="list" allowBlank="1" showInputMessage="1" showErrorMessage="1" xr:uid="{00000000-0002-0000-0300-0000E40F0000}">
          <x14:formula1>
            <xm:f>項目!C1:$AMY$17</xm:f>
          </x14:formula1>
          <xm:sqref>ANG5:ANG28</xm:sqref>
        </x14:dataValidation>
        <x14:dataValidation type="list" allowBlank="1" showInputMessage="1" showErrorMessage="1" xr:uid="{00000000-0002-0000-0300-0000E50F0000}">
          <x14:formula1>
            <xm:f>項目!C1:$AWU$17</xm:f>
          </x14:formula1>
          <xm:sqref>AXC5:AXC28</xm:sqref>
        </x14:dataValidation>
        <x14:dataValidation type="list" allowBlank="1" showInputMessage="1" showErrorMessage="1" xr:uid="{00000000-0002-0000-0300-0000E60F0000}">
          <x14:formula1>
            <xm:f>項目!C1:$BGQ$17</xm:f>
          </x14:formula1>
          <xm:sqref>BGY5:BGY28</xm:sqref>
        </x14:dataValidation>
        <x14:dataValidation type="list" allowBlank="1" showInputMessage="1" showErrorMessage="1" xr:uid="{00000000-0002-0000-0300-0000E70F0000}">
          <x14:formula1>
            <xm:f>項目!C1:$BQM$17</xm:f>
          </x14:formula1>
          <xm:sqref>BQU5:BQU28</xm:sqref>
        </x14:dataValidation>
        <x14:dataValidation type="list" allowBlank="1" showInputMessage="1" showErrorMessage="1" xr:uid="{00000000-0002-0000-0300-0000E80F0000}">
          <x14:formula1>
            <xm:f>項目!C1:$CAI$17</xm:f>
          </x14:formula1>
          <xm:sqref>CAQ5:CAQ28</xm:sqref>
        </x14:dataValidation>
        <x14:dataValidation type="list" allowBlank="1" showInputMessage="1" showErrorMessage="1" xr:uid="{00000000-0002-0000-0300-0000E90F0000}">
          <x14:formula1>
            <xm:f>項目!C1:$CKE$17</xm:f>
          </x14:formula1>
          <xm:sqref>CKM5:CKM28</xm:sqref>
        </x14:dataValidation>
        <x14:dataValidation type="list" allowBlank="1" showInputMessage="1" showErrorMessage="1" xr:uid="{00000000-0002-0000-0300-0000EA0F0000}">
          <x14:formula1>
            <xm:f>項目!C1:$CUA$17</xm:f>
          </x14:formula1>
          <xm:sqref>CUI5:CUI28</xm:sqref>
        </x14:dataValidation>
        <x14:dataValidation type="list" allowBlank="1" showInputMessage="1" showErrorMessage="1" xr:uid="{00000000-0002-0000-0300-0000EB0F0000}">
          <x14:formula1>
            <xm:f>項目!C1:$DDW$17</xm:f>
          </x14:formula1>
          <xm:sqref>DEE5:DEE28</xm:sqref>
        </x14:dataValidation>
        <x14:dataValidation type="list" allowBlank="1" showInputMessage="1" showErrorMessage="1" xr:uid="{00000000-0002-0000-0300-0000EC0F0000}">
          <x14:formula1>
            <xm:f>項目!C1:$DNS$17</xm:f>
          </x14:formula1>
          <xm:sqref>DOA5:DOA28</xm:sqref>
        </x14:dataValidation>
        <x14:dataValidation type="list" allowBlank="1" showInputMessage="1" showErrorMessage="1" xr:uid="{00000000-0002-0000-0300-0000ED0F0000}">
          <x14:formula1>
            <xm:f>項目!C1:$DXO$17</xm:f>
          </x14:formula1>
          <xm:sqref>DXW5:DXW28</xm:sqref>
        </x14:dataValidation>
        <x14:dataValidation type="list" allowBlank="1" showInputMessage="1" showErrorMessage="1" xr:uid="{00000000-0002-0000-0300-0000EE0F0000}">
          <x14:formula1>
            <xm:f>項目!C1:$EHK$17</xm:f>
          </x14:formula1>
          <xm:sqref>EHS5:EHS28</xm:sqref>
        </x14:dataValidation>
        <x14:dataValidation type="list" allowBlank="1" showInputMessage="1" showErrorMessage="1" xr:uid="{00000000-0002-0000-0300-0000EF0F0000}">
          <x14:formula1>
            <xm:f>項目!C1:$ERG$17</xm:f>
          </x14:formula1>
          <xm:sqref>ERO5:ERO28</xm:sqref>
        </x14:dataValidation>
        <x14:dataValidation type="list" allowBlank="1" showInputMessage="1" showErrorMessage="1" xr:uid="{00000000-0002-0000-0300-0000F00F0000}">
          <x14:formula1>
            <xm:f>項目!C1:$FBC$17</xm:f>
          </x14:formula1>
          <xm:sqref>FBK5:FBK28</xm:sqref>
        </x14:dataValidation>
        <x14:dataValidation type="list" allowBlank="1" showInputMessage="1" showErrorMessage="1" xr:uid="{00000000-0002-0000-0300-0000F10F0000}">
          <x14:formula1>
            <xm:f>項目!C1:$FKY$17</xm:f>
          </x14:formula1>
          <xm:sqref>FLG5:FLG28</xm:sqref>
        </x14:dataValidation>
        <x14:dataValidation type="list" allowBlank="1" showInputMessage="1" showErrorMessage="1" xr:uid="{00000000-0002-0000-0300-0000F20F0000}">
          <x14:formula1>
            <xm:f>項目!C1:$FUU$17</xm:f>
          </x14:formula1>
          <xm:sqref>FVC5:FVC28</xm:sqref>
        </x14:dataValidation>
        <x14:dataValidation type="list" allowBlank="1" showInputMessage="1" showErrorMessage="1" xr:uid="{00000000-0002-0000-0300-0000F30F0000}">
          <x14:formula1>
            <xm:f>項目!C1:$GEQ$17</xm:f>
          </x14:formula1>
          <xm:sqref>GEY5:GEY28</xm:sqref>
        </x14:dataValidation>
        <x14:dataValidation type="list" allowBlank="1" showInputMessage="1" showErrorMessage="1" xr:uid="{00000000-0002-0000-0300-0000F40F0000}">
          <x14:formula1>
            <xm:f>項目!C1:$GOM$17</xm:f>
          </x14:formula1>
          <xm:sqref>GOU5:GOU28</xm:sqref>
        </x14:dataValidation>
        <x14:dataValidation type="list" allowBlank="1" showInputMessage="1" showErrorMessage="1" xr:uid="{00000000-0002-0000-0300-0000F50F0000}">
          <x14:formula1>
            <xm:f>項目!C1:$GYI$17</xm:f>
          </x14:formula1>
          <xm:sqref>GYQ5:GYQ28</xm:sqref>
        </x14:dataValidation>
        <x14:dataValidation type="list" allowBlank="1" showInputMessage="1" showErrorMessage="1" xr:uid="{00000000-0002-0000-0300-0000F60F0000}">
          <x14:formula1>
            <xm:f>項目!C1:$HIE$17</xm:f>
          </x14:formula1>
          <xm:sqref>HIM5:HIM28</xm:sqref>
        </x14:dataValidation>
        <x14:dataValidation type="list" allowBlank="1" showInputMessage="1" showErrorMessage="1" xr:uid="{00000000-0002-0000-0300-0000F70F0000}">
          <x14:formula1>
            <xm:f>項目!C1:$HSA$17</xm:f>
          </x14:formula1>
          <xm:sqref>HSI5:HSI28</xm:sqref>
        </x14:dataValidation>
        <x14:dataValidation type="list" allowBlank="1" showInputMessage="1" showErrorMessage="1" xr:uid="{00000000-0002-0000-0300-0000F80F0000}">
          <x14:formula1>
            <xm:f>項目!C1:$IBW$17</xm:f>
          </x14:formula1>
          <xm:sqref>ICE5:ICE28</xm:sqref>
        </x14:dataValidation>
        <x14:dataValidation type="list" allowBlank="1" showInputMessage="1" showErrorMessage="1" xr:uid="{00000000-0002-0000-0300-0000F90F0000}">
          <x14:formula1>
            <xm:f>項目!C1:$ILS$17</xm:f>
          </x14:formula1>
          <xm:sqref>IMA5:IMA28</xm:sqref>
        </x14:dataValidation>
        <x14:dataValidation type="list" allowBlank="1" showInputMessage="1" showErrorMessage="1" xr:uid="{00000000-0002-0000-0300-0000FA0F0000}">
          <x14:formula1>
            <xm:f>項目!C1:$IVO$17</xm:f>
          </x14:formula1>
          <xm:sqref>IVW5:IVW28</xm:sqref>
        </x14:dataValidation>
        <x14:dataValidation type="list" allowBlank="1" showInputMessage="1" showErrorMessage="1" xr:uid="{00000000-0002-0000-0300-0000FB0F0000}">
          <x14:formula1>
            <xm:f>項目!C1:$JFK$17</xm:f>
          </x14:formula1>
          <xm:sqref>JFS5:JFS28</xm:sqref>
        </x14:dataValidation>
        <x14:dataValidation type="list" allowBlank="1" showInputMessage="1" showErrorMessage="1" xr:uid="{00000000-0002-0000-0300-0000FC0F0000}">
          <x14:formula1>
            <xm:f>項目!C1:$JPG$17</xm:f>
          </x14:formula1>
          <xm:sqref>JPO5:JPO28</xm:sqref>
        </x14:dataValidation>
        <x14:dataValidation type="list" allowBlank="1" showInputMessage="1" showErrorMessage="1" xr:uid="{00000000-0002-0000-0300-0000FD0F0000}">
          <x14:formula1>
            <xm:f>項目!C1:$JZC$17</xm:f>
          </x14:formula1>
          <xm:sqref>JZK5:JZK28</xm:sqref>
        </x14:dataValidation>
        <x14:dataValidation type="list" allowBlank="1" showInputMessage="1" showErrorMessage="1" xr:uid="{00000000-0002-0000-0300-0000FE0F0000}">
          <x14:formula1>
            <xm:f>項目!C1:$KIY$17</xm:f>
          </x14:formula1>
          <xm:sqref>KJG5:KJG28</xm:sqref>
        </x14:dataValidation>
        <x14:dataValidation type="list" allowBlank="1" showInputMessage="1" showErrorMessage="1" xr:uid="{00000000-0002-0000-0300-0000FF0F0000}">
          <x14:formula1>
            <xm:f>項目!C1:$KSU$17</xm:f>
          </x14:formula1>
          <xm:sqref>KTC5:KTC28</xm:sqref>
        </x14:dataValidation>
        <x14:dataValidation type="list" allowBlank="1" showInputMessage="1" showErrorMessage="1" xr:uid="{00000000-0002-0000-0300-000000100000}">
          <x14:formula1>
            <xm:f>項目!C1:$LCQ$17</xm:f>
          </x14:formula1>
          <xm:sqref>LCY5:LCY28</xm:sqref>
        </x14:dataValidation>
        <x14:dataValidation type="list" allowBlank="1" showInputMessage="1" showErrorMessage="1" xr:uid="{00000000-0002-0000-0300-000001100000}">
          <x14:formula1>
            <xm:f>項目!C1:$LMM$17</xm:f>
          </x14:formula1>
          <xm:sqref>LMU5:LMU28</xm:sqref>
        </x14:dataValidation>
        <x14:dataValidation type="list" allowBlank="1" showInputMessage="1" showErrorMessage="1" xr:uid="{00000000-0002-0000-0300-000002100000}">
          <x14:formula1>
            <xm:f>項目!C1:$LWI$17</xm:f>
          </x14:formula1>
          <xm:sqref>LWQ5:LWQ28</xm:sqref>
        </x14:dataValidation>
        <x14:dataValidation type="list" allowBlank="1" showInputMessage="1" showErrorMessage="1" xr:uid="{00000000-0002-0000-0300-000003100000}">
          <x14:formula1>
            <xm:f>項目!C1:$MGE$17</xm:f>
          </x14:formula1>
          <xm:sqref>MGM5:MGM28</xm:sqref>
        </x14:dataValidation>
        <x14:dataValidation type="list" allowBlank="1" showInputMessage="1" showErrorMessage="1" xr:uid="{00000000-0002-0000-0300-000004100000}">
          <x14:formula1>
            <xm:f>項目!C1:$MQA$17</xm:f>
          </x14:formula1>
          <xm:sqref>MQI5:MQI28</xm:sqref>
        </x14:dataValidation>
        <x14:dataValidation type="list" allowBlank="1" showInputMessage="1" showErrorMessage="1" xr:uid="{00000000-0002-0000-0300-000005100000}">
          <x14:formula1>
            <xm:f>項目!C1:$MZW$17</xm:f>
          </x14:formula1>
          <xm:sqref>NAE5:NAE28</xm:sqref>
        </x14:dataValidation>
        <x14:dataValidation type="list" allowBlank="1" showInputMessage="1" showErrorMessage="1" xr:uid="{00000000-0002-0000-0300-000006100000}">
          <x14:formula1>
            <xm:f>項目!C1:$NJS$17</xm:f>
          </x14:formula1>
          <xm:sqref>NKA5:NKA28</xm:sqref>
        </x14:dataValidation>
        <x14:dataValidation type="list" allowBlank="1" showInputMessage="1" showErrorMessage="1" xr:uid="{00000000-0002-0000-0300-000007100000}">
          <x14:formula1>
            <xm:f>項目!C1:$NTO$17</xm:f>
          </x14:formula1>
          <xm:sqref>NTW5:NTW28</xm:sqref>
        </x14:dataValidation>
        <x14:dataValidation type="list" allowBlank="1" showInputMessage="1" showErrorMessage="1" xr:uid="{00000000-0002-0000-0300-000008100000}">
          <x14:formula1>
            <xm:f>項目!C1:$ODK$17</xm:f>
          </x14:formula1>
          <xm:sqref>ODS5:ODS28</xm:sqref>
        </x14:dataValidation>
        <x14:dataValidation type="list" allowBlank="1" showInputMessage="1" showErrorMessage="1" xr:uid="{00000000-0002-0000-0300-000009100000}">
          <x14:formula1>
            <xm:f>項目!C1:$ONG$17</xm:f>
          </x14:formula1>
          <xm:sqref>ONO5:ONO28</xm:sqref>
        </x14:dataValidation>
        <x14:dataValidation type="list" allowBlank="1" showInputMessage="1" showErrorMessage="1" xr:uid="{00000000-0002-0000-0300-00000A100000}">
          <x14:formula1>
            <xm:f>項目!C1:$OXC$17</xm:f>
          </x14:formula1>
          <xm:sqref>OXK5:OXK28</xm:sqref>
        </x14:dataValidation>
        <x14:dataValidation type="list" allowBlank="1" showInputMessage="1" showErrorMessage="1" xr:uid="{00000000-0002-0000-0300-00000B100000}">
          <x14:formula1>
            <xm:f>項目!C1:$PGY$17</xm:f>
          </x14:formula1>
          <xm:sqref>PHG5:PHG28</xm:sqref>
        </x14:dataValidation>
        <x14:dataValidation type="list" allowBlank="1" showInputMessage="1" showErrorMessage="1" xr:uid="{00000000-0002-0000-0300-00000C100000}">
          <x14:formula1>
            <xm:f>項目!C1:$PQU$17</xm:f>
          </x14:formula1>
          <xm:sqref>PRC5:PRC28</xm:sqref>
        </x14:dataValidation>
        <x14:dataValidation type="list" allowBlank="1" showInputMessage="1" showErrorMessage="1" xr:uid="{00000000-0002-0000-0300-00000D100000}">
          <x14:formula1>
            <xm:f>項目!C1:$QAQ$17</xm:f>
          </x14:formula1>
          <xm:sqref>QAY5:QAY28</xm:sqref>
        </x14:dataValidation>
        <x14:dataValidation type="list" allowBlank="1" showInputMessage="1" showErrorMessage="1" xr:uid="{00000000-0002-0000-0300-00000E100000}">
          <x14:formula1>
            <xm:f>項目!C1:$QKM$17</xm:f>
          </x14:formula1>
          <xm:sqref>QKU5:QKU28</xm:sqref>
        </x14:dataValidation>
        <x14:dataValidation type="list" allowBlank="1" showInputMessage="1" showErrorMessage="1" xr:uid="{00000000-0002-0000-0300-00000F100000}">
          <x14:formula1>
            <xm:f>項目!C1:$QUI$17</xm:f>
          </x14:formula1>
          <xm:sqref>QUQ5:QUQ28</xm:sqref>
        </x14:dataValidation>
        <x14:dataValidation type="list" allowBlank="1" showInputMessage="1" showErrorMessage="1" xr:uid="{00000000-0002-0000-0300-000010100000}">
          <x14:formula1>
            <xm:f>項目!C1:$REE$17</xm:f>
          </x14:formula1>
          <xm:sqref>REM5:REM28</xm:sqref>
        </x14:dataValidation>
        <x14:dataValidation type="list" allowBlank="1" showInputMessage="1" showErrorMessage="1" xr:uid="{00000000-0002-0000-0300-000011100000}">
          <x14:formula1>
            <xm:f>項目!C1:$ROA$17</xm:f>
          </x14:formula1>
          <xm:sqref>ROI5:ROI28</xm:sqref>
        </x14:dataValidation>
        <x14:dataValidation type="list" allowBlank="1" showInputMessage="1" showErrorMessage="1" xr:uid="{00000000-0002-0000-0300-000012100000}">
          <x14:formula1>
            <xm:f>項目!C1:$RXW$17</xm:f>
          </x14:formula1>
          <xm:sqref>RYE5:RYE28</xm:sqref>
        </x14:dataValidation>
        <x14:dataValidation type="list" allowBlank="1" showInputMessage="1" showErrorMessage="1" xr:uid="{00000000-0002-0000-0300-000013100000}">
          <x14:formula1>
            <xm:f>項目!C1:$SHS$17</xm:f>
          </x14:formula1>
          <xm:sqref>SIA5:SIA28</xm:sqref>
        </x14:dataValidation>
        <x14:dataValidation type="list" allowBlank="1" showInputMessage="1" showErrorMessage="1" xr:uid="{00000000-0002-0000-0300-000014100000}">
          <x14:formula1>
            <xm:f>項目!C1:$SRO$17</xm:f>
          </x14:formula1>
          <xm:sqref>SRW5:SRW28</xm:sqref>
        </x14:dataValidation>
        <x14:dataValidation type="list" allowBlank="1" showInputMessage="1" showErrorMessage="1" xr:uid="{00000000-0002-0000-0300-000015100000}">
          <x14:formula1>
            <xm:f>項目!C1:$TBK$17</xm:f>
          </x14:formula1>
          <xm:sqref>TBS5:TBS28</xm:sqref>
        </x14:dataValidation>
        <x14:dataValidation type="list" allowBlank="1" showInputMessage="1" showErrorMessage="1" xr:uid="{00000000-0002-0000-0300-000016100000}">
          <x14:formula1>
            <xm:f>項目!C1:$TLG$17</xm:f>
          </x14:formula1>
          <xm:sqref>TLO5:TLO28</xm:sqref>
        </x14:dataValidation>
        <x14:dataValidation type="list" allowBlank="1" showInputMessage="1" showErrorMessage="1" xr:uid="{00000000-0002-0000-0300-000017100000}">
          <x14:formula1>
            <xm:f>項目!C1:$TVC$17</xm:f>
          </x14:formula1>
          <xm:sqref>TVK5:TVK28</xm:sqref>
        </x14:dataValidation>
        <x14:dataValidation type="list" allowBlank="1" showInputMessage="1" showErrorMessage="1" xr:uid="{00000000-0002-0000-0300-000018100000}">
          <x14:formula1>
            <xm:f>項目!C1:$UEY$17</xm:f>
          </x14:formula1>
          <xm:sqref>UFG5:UFG28</xm:sqref>
        </x14:dataValidation>
        <x14:dataValidation type="list" allowBlank="1" showInputMessage="1" showErrorMessage="1" xr:uid="{00000000-0002-0000-0300-000019100000}">
          <x14:formula1>
            <xm:f>項目!C1:$UOU$17</xm:f>
          </x14:formula1>
          <xm:sqref>UPC5:UPC28</xm:sqref>
        </x14:dataValidation>
        <x14:dataValidation type="list" allowBlank="1" showInputMessage="1" showErrorMessage="1" xr:uid="{00000000-0002-0000-0300-00001A100000}">
          <x14:formula1>
            <xm:f>項目!C1:$UYQ$17</xm:f>
          </x14:formula1>
          <xm:sqref>UYY5:UYY28</xm:sqref>
        </x14:dataValidation>
        <x14:dataValidation type="list" allowBlank="1" showInputMessage="1" showErrorMessage="1" xr:uid="{00000000-0002-0000-0300-00001B100000}">
          <x14:formula1>
            <xm:f>項目!C1:$VIM$17</xm:f>
          </x14:formula1>
          <xm:sqref>VIU5:VIU28</xm:sqref>
        </x14:dataValidation>
        <x14:dataValidation type="list" allowBlank="1" showInputMessage="1" showErrorMessage="1" xr:uid="{00000000-0002-0000-0300-00001C100000}">
          <x14:formula1>
            <xm:f>項目!C1:$VSI$17</xm:f>
          </x14:formula1>
          <xm:sqref>VSQ5:VSQ28</xm:sqref>
        </x14:dataValidation>
        <x14:dataValidation type="list" allowBlank="1" showInputMessage="1" showErrorMessage="1" xr:uid="{00000000-0002-0000-0300-00001D100000}">
          <x14:formula1>
            <xm:f>項目!C1:$WCE$17</xm:f>
          </x14:formula1>
          <xm:sqref>WCM5:WCM28</xm:sqref>
        </x14:dataValidation>
        <x14:dataValidation type="list" allowBlank="1" showInputMessage="1" showErrorMessage="1" xr:uid="{00000000-0002-0000-0300-00001E100000}">
          <x14:formula1>
            <xm:f>項目!C1:$WMA$17</xm:f>
          </x14:formula1>
          <xm:sqref>WMI5:WMI28</xm:sqref>
        </x14:dataValidation>
        <x14:dataValidation type="list" allowBlank="1" showInputMessage="1" showErrorMessage="1" xr:uid="{00000000-0002-0000-0300-00001F100000}">
          <x14:formula1>
            <xm:f>項目!C1:$WVW$17</xm:f>
          </x14:formula1>
          <xm:sqref>WWE5:WWE28</xm:sqref>
        </x14:dataValidation>
        <x14:dataValidation type="list" allowBlank="1" showInputMessage="1" showErrorMessage="1" xr:uid="{00000000-0002-0000-0300-000020100000}">
          <x14:formula1>
            <xm:f>項目!C17:$P$65537</xm:f>
          </x14:formula1>
          <xm:sqref>W65541:W65564</xm:sqref>
        </x14:dataValidation>
        <x14:dataValidation type="list" allowBlank="1" showInputMessage="1" showErrorMessage="1" xr:uid="{00000000-0002-0000-0300-000021100000}">
          <x14:formula1>
            <xm:f>項目!C17:$JK$65537</xm:f>
          </x14:formula1>
          <xm:sqref>JS65541:JS65564</xm:sqref>
        </x14:dataValidation>
        <x14:dataValidation type="list" allowBlank="1" showInputMessage="1" showErrorMessage="1" xr:uid="{00000000-0002-0000-0300-000022100000}">
          <x14:formula1>
            <xm:f>項目!C17:$TG$65537</xm:f>
          </x14:formula1>
          <xm:sqref>TO65541:TO65564</xm:sqref>
        </x14:dataValidation>
        <x14:dataValidation type="list" allowBlank="1" showInputMessage="1" showErrorMessage="1" xr:uid="{00000000-0002-0000-0300-000023100000}">
          <x14:formula1>
            <xm:f>項目!C17:$ADC$65537</xm:f>
          </x14:formula1>
          <xm:sqref>ADK65541:ADK65564</xm:sqref>
        </x14:dataValidation>
        <x14:dataValidation type="list" allowBlank="1" showInputMessage="1" showErrorMessage="1" xr:uid="{00000000-0002-0000-0300-000024100000}">
          <x14:formula1>
            <xm:f>項目!C17:$AMY$65537</xm:f>
          </x14:formula1>
          <xm:sqref>ANG65541:ANG65564</xm:sqref>
        </x14:dataValidation>
        <x14:dataValidation type="list" allowBlank="1" showInputMessage="1" showErrorMessage="1" xr:uid="{00000000-0002-0000-0300-000025100000}">
          <x14:formula1>
            <xm:f>項目!C17:$AWU$65537</xm:f>
          </x14:formula1>
          <xm:sqref>AXC65541:AXC65564</xm:sqref>
        </x14:dataValidation>
        <x14:dataValidation type="list" allowBlank="1" showInputMessage="1" showErrorMessage="1" xr:uid="{00000000-0002-0000-0300-000026100000}">
          <x14:formula1>
            <xm:f>項目!C17:$BGQ$65537</xm:f>
          </x14:formula1>
          <xm:sqref>BGY65541:BGY65564</xm:sqref>
        </x14:dataValidation>
        <x14:dataValidation type="list" allowBlank="1" showInputMessage="1" showErrorMessage="1" xr:uid="{00000000-0002-0000-0300-000027100000}">
          <x14:formula1>
            <xm:f>項目!C17:$BQM$65537</xm:f>
          </x14:formula1>
          <xm:sqref>BQU65541:BQU65564</xm:sqref>
        </x14:dataValidation>
        <x14:dataValidation type="list" allowBlank="1" showInputMessage="1" showErrorMessage="1" xr:uid="{00000000-0002-0000-0300-000028100000}">
          <x14:formula1>
            <xm:f>項目!C17:$CAI$65537</xm:f>
          </x14:formula1>
          <xm:sqref>CAQ65541:CAQ65564</xm:sqref>
        </x14:dataValidation>
        <x14:dataValidation type="list" allowBlank="1" showInputMessage="1" showErrorMessage="1" xr:uid="{00000000-0002-0000-0300-000029100000}">
          <x14:formula1>
            <xm:f>項目!C17:$CKE$65537</xm:f>
          </x14:formula1>
          <xm:sqref>CKM65541:CKM65564</xm:sqref>
        </x14:dataValidation>
        <x14:dataValidation type="list" allowBlank="1" showInputMessage="1" showErrorMessage="1" xr:uid="{00000000-0002-0000-0300-00002A100000}">
          <x14:formula1>
            <xm:f>項目!C17:$CUA$65537</xm:f>
          </x14:formula1>
          <xm:sqref>CUI65541:CUI65564</xm:sqref>
        </x14:dataValidation>
        <x14:dataValidation type="list" allowBlank="1" showInputMessage="1" showErrorMessage="1" xr:uid="{00000000-0002-0000-0300-00002B100000}">
          <x14:formula1>
            <xm:f>項目!C17:$DDW$65537</xm:f>
          </x14:formula1>
          <xm:sqref>DEE65541:DEE65564</xm:sqref>
        </x14:dataValidation>
        <x14:dataValidation type="list" allowBlank="1" showInputMessage="1" showErrorMessage="1" xr:uid="{00000000-0002-0000-0300-00002C100000}">
          <x14:formula1>
            <xm:f>項目!C17:$DNS$65537</xm:f>
          </x14:formula1>
          <xm:sqref>DOA65541:DOA65564</xm:sqref>
        </x14:dataValidation>
        <x14:dataValidation type="list" allowBlank="1" showInputMessage="1" showErrorMessage="1" xr:uid="{00000000-0002-0000-0300-00002D100000}">
          <x14:formula1>
            <xm:f>項目!C17:$DXO$65537</xm:f>
          </x14:formula1>
          <xm:sqref>DXW65541:DXW65564</xm:sqref>
        </x14:dataValidation>
        <x14:dataValidation type="list" allowBlank="1" showInputMessage="1" showErrorMessage="1" xr:uid="{00000000-0002-0000-0300-00002E100000}">
          <x14:formula1>
            <xm:f>項目!C17:$EHK$65537</xm:f>
          </x14:formula1>
          <xm:sqref>EHS65541:EHS65564</xm:sqref>
        </x14:dataValidation>
        <x14:dataValidation type="list" allowBlank="1" showInputMessage="1" showErrorMessage="1" xr:uid="{00000000-0002-0000-0300-00002F100000}">
          <x14:formula1>
            <xm:f>項目!C17:$ERG$65537</xm:f>
          </x14:formula1>
          <xm:sqref>ERO65541:ERO65564</xm:sqref>
        </x14:dataValidation>
        <x14:dataValidation type="list" allowBlank="1" showInputMessage="1" showErrorMessage="1" xr:uid="{00000000-0002-0000-0300-000030100000}">
          <x14:formula1>
            <xm:f>項目!C17:$FBC$65537</xm:f>
          </x14:formula1>
          <xm:sqref>FBK65541:FBK65564</xm:sqref>
        </x14:dataValidation>
        <x14:dataValidation type="list" allowBlank="1" showInputMessage="1" showErrorMessage="1" xr:uid="{00000000-0002-0000-0300-000031100000}">
          <x14:formula1>
            <xm:f>項目!C17:$FKY$65537</xm:f>
          </x14:formula1>
          <xm:sqref>FLG65541:FLG65564</xm:sqref>
        </x14:dataValidation>
        <x14:dataValidation type="list" allowBlank="1" showInputMessage="1" showErrorMessage="1" xr:uid="{00000000-0002-0000-0300-000032100000}">
          <x14:formula1>
            <xm:f>項目!C17:$FUU$65537</xm:f>
          </x14:formula1>
          <xm:sqref>FVC65541:FVC65564</xm:sqref>
        </x14:dataValidation>
        <x14:dataValidation type="list" allowBlank="1" showInputMessage="1" showErrorMessage="1" xr:uid="{00000000-0002-0000-0300-000033100000}">
          <x14:formula1>
            <xm:f>項目!C17:$GEQ$65537</xm:f>
          </x14:formula1>
          <xm:sqref>GEY65541:GEY65564</xm:sqref>
        </x14:dataValidation>
        <x14:dataValidation type="list" allowBlank="1" showInputMessage="1" showErrorMessage="1" xr:uid="{00000000-0002-0000-0300-000034100000}">
          <x14:formula1>
            <xm:f>項目!C17:$GOM$65537</xm:f>
          </x14:formula1>
          <xm:sqref>GOU65541:GOU65564</xm:sqref>
        </x14:dataValidation>
        <x14:dataValidation type="list" allowBlank="1" showInputMessage="1" showErrorMessage="1" xr:uid="{00000000-0002-0000-0300-000035100000}">
          <x14:formula1>
            <xm:f>項目!C17:$GYI$65537</xm:f>
          </x14:formula1>
          <xm:sqref>GYQ65541:GYQ65564</xm:sqref>
        </x14:dataValidation>
        <x14:dataValidation type="list" allowBlank="1" showInputMessage="1" showErrorMessage="1" xr:uid="{00000000-0002-0000-0300-000036100000}">
          <x14:formula1>
            <xm:f>項目!C17:$HIE$65537</xm:f>
          </x14:formula1>
          <xm:sqref>HIM65541:HIM65564</xm:sqref>
        </x14:dataValidation>
        <x14:dataValidation type="list" allowBlank="1" showInputMessage="1" showErrorMessage="1" xr:uid="{00000000-0002-0000-0300-000037100000}">
          <x14:formula1>
            <xm:f>項目!C17:$HSA$65537</xm:f>
          </x14:formula1>
          <xm:sqref>HSI65541:HSI65564</xm:sqref>
        </x14:dataValidation>
        <x14:dataValidation type="list" allowBlank="1" showInputMessage="1" showErrorMessage="1" xr:uid="{00000000-0002-0000-0300-000038100000}">
          <x14:formula1>
            <xm:f>項目!C17:$IBW$65537</xm:f>
          </x14:formula1>
          <xm:sqref>ICE65541:ICE65564</xm:sqref>
        </x14:dataValidation>
        <x14:dataValidation type="list" allowBlank="1" showInputMessage="1" showErrorMessage="1" xr:uid="{00000000-0002-0000-0300-000039100000}">
          <x14:formula1>
            <xm:f>項目!C17:$ILS$65537</xm:f>
          </x14:formula1>
          <xm:sqref>IMA65541:IMA65564</xm:sqref>
        </x14:dataValidation>
        <x14:dataValidation type="list" allowBlank="1" showInputMessage="1" showErrorMessage="1" xr:uid="{00000000-0002-0000-0300-00003A100000}">
          <x14:formula1>
            <xm:f>項目!C17:$IVO$65537</xm:f>
          </x14:formula1>
          <xm:sqref>IVW65541:IVW65564</xm:sqref>
        </x14:dataValidation>
        <x14:dataValidation type="list" allowBlank="1" showInputMessage="1" showErrorMessage="1" xr:uid="{00000000-0002-0000-0300-00003B100000}">
          <x14:formula1>
            <xm:f>項目!C17:$JFK$65537</xm:f>
          </x14:formula1>
          <xm:sqref>JFS65541:JFS65564</xm:sqref>
        </x14:dataValidation>
        <x14:dataValidation type="list" allowBlank="1" showInputMessage="1" showErrorMessage="1" xr:uid="{00000000-0002-0000-0300-00003C100000}">
          <x14:formula1>
            <xm:f>項目!C17:$JPG$65537</xm:f>
          </x14:formula1>
          <xm:sqref>JPO65541:JPO65564</xm:sqref>
        </x14:dataValidation>
        <x14:dataValidation type="list" allowBlank="1" showInputMessage="1" showErrorMessage="1" xr:uid="{00000000-0002-0000-0300-00003D100000}">
          <x14:formula1>
            <xm:f>項目!C17:$JZC$65537</xm:f>
          </x14:formula1>
          <xm:sqref>JZK65541:JZK65564</xm:sqref>
        </x14:dataValidation>
        <x14:dataValidation type="list" allowBlank="1" showInputMessage="1" showErrorMessage="1" xr:uid="{00000000-0002-0000-0300-00003E100000}">
          <x14:formula1>
            <xm:f>項目!C17:$KIY$65537</xm:f>
          </x14:formula1>
          <xm:sqref>KJG65541:KJG65564</xm:sqref>
        </x14:dataValidation>
        <x14:dataValidation type="list" allowBlank="1" showInputMessage="1" showErrorMessage="1" xr:uid="{00000000-0002-0000-0300-00003F100000}">
          <x14:formula1>
            <xm:f>項目!C17:$KSU$65537</xm:f>
          </x14:formula1>
          <xm:sqref>KTC65541:KTC65564</xm:sqref>
        </x14:dataValidation>
        <x14:dataValidation type="list" allowBlank="1" showInputMessage="1" showErrorMessage="1" xr:uid="{00000000-0002-0000-0300-000040100000}">
          <x14:formula1>
            <xm:f>項目!C17:$LCQ$65537</xm:f>
          </x14:formula1>
          <xm:sqref>LCY65541:LCY65564</xm:sqref>
        </x14:dataValidation>
        <x14:dataValidation type="list" allowBlank="1" showInputMessage="1" showErrorMessage="1" xr:uid="{00000000-0002-0000-0300-000041100000}">
          <x14:formula1>
            <xm:f>項目!C17:$LMM$65537</xm:f>
          </x14:formula1>
          <xm:sqref>LMU65541:LMU65564</xm:sqref>
        </x14:dataValidation>
        <x14:dataValidation type="list" allowBlank="1" showInputMessage="1" showErrorMessage="1" xr:uid="{00000000-0002-0000-0300-000042100000}">
          <x14:formula1>
            <xm:f>項目!C17:$LWI$65537</xm:f>
          </x14:formula1>
          <xm:sqref>LWQ65541:LWQ65564</xm:sqref>
        </x14:dataValidation>
        <x14:dataValidation type="list" allowBlank="1" showInputMessage="1" showErrorMessage="1" xr:uid="{00000000-0002-0000-0300-000043100000}">
          <x14:formula1>
            <xm:f>項目!C17:$MGE$65537</xm:f>
          </x14:formula1>
          <xm:sqref>MGM65541:MGM65564</xm:sqref>
        </x14:dataValidation>
        <x14:dataValidation type="list" allowBlank="1" showInputMessage="1" showErrorMessage="1" xr:uid="{00000000-0002-0000-0300-000044100000}">
          <x14:formula1>
            <xm:f>項目!C17:$MQA$65537</xm:f>
          </x14:formula1>
          <xm:sqref>MQI65541:MQI65564</xm:sqref>
        </x14:dataValidation>
        <x14:dataValidation type="list" allowBlank="1" showInputMessage="1" showErrorMessage="1" xr:uid="{00000000-0002-0000-0300-000045100000}">
          <x14:formula1>
            <xm:f>項目!C17:$MZW$65537</xm:f>
          </x14:formula1>
          <xm:sqref>NAE65541:NAE65564</xm:sqref>
        </x14:dataValidation>
        <x14:dataValidation type="list" allowBlank="1" showInputMessage="1" showErrorMessage="1" xr:uid="{00000000-0002-0000-0300-000046100000}">
          <x14:formula1>
            <xm:f>項目!C17:$NJS$65537</xm:f>
          </x14:formula1>
          <xm:sqref>NKA65541:NKA65564</xm:sqref>
        </x14:dataValidation>
        <x14:dataValidation type="list" allowBlank="1" showInputMessage="1" showErrorMessage="1" xr:uid="{00000000-0002-0000-0300-000047100000}">
          <x14:formula1>
            <xm:f>項目!C17:$NTO$65537</xm:f>
          </x14:formula1>
          <xm:sqref>NTW65541:NTW65564</xm:sqref>
        </x14:dataValidation>
        <x14:dataValidation type="list" allowBlank="1" showInputMessage="1" showErrorMessage="1" xr:uid="{00000000-0002-0000-0300-000048100000}">
          <x14:formula1>
            <xm:f>項目!C17:$ODK$65537</xm:f>
          </x14:formula1>
          <xm:sqref>ODS65541:ODS65564</xm:sqref>
        </x14:dataValidation>
        <x14:dataValidation type="list" allowBlank="1" showInputMessage="1" showErrorMessage="1" xr:uid="{00000000-0002-0000-0300-000049100000}">
          <x14:formula1>
            <xm:f>項目!C17:$ONG$65537</xm:f>
          </x14:formula1>
          <xm:sqref>ONO65541:ONO65564</xm:sqref>
        </x14:dataValidation>
        <x14:dataValidation type="list" allowBlank="1" showInputMessage="1" showErrorMessage="1" xr:uid="{00000000-0002-0000-0300-00004A100000}">
          <x14:formula1>
            <xm:f>項目!C17:$OXC$65537</xm:f>
          </x14:formula1>
          <xm:sqref>OXK65541:OXK65564</xm:sqref>
        </x14:dataValidation>
        <x14:dataValidation type="list" allowBlank="1" showInputMessage="1" showErrorMessage="1" xr:uid="{00000000-0002-0000-0300-00004B100000}">
          <x14:formula1>
            <xm:f>項目!C17:$PGY$65537</xm:f>
          </x14:formula1>
          <xm:sqref>PHG65541:PHG65564</xm:sqref>
        </x14:dataValidation>
        <x14:dataValidation type="list" allowBlank="1" showInputMessage="1" showErrorMessage="1" xr:uid="{00000000-0002-0000-0300-00004C100000}">
          <x14:formula1>
            <xm:f>項目!C17:$PQU$65537</xm:f>
          </x14:formula1>
          <xm:sqref>PRC65541:PRC65564</xm:sqref>
        </x14:dataValidation>
        <x14:dataValidation type="list" allowBlank="1" showInputMessage="1" showErrorMessage="1" xr:uid="{00000000-0002-0000-0300-00004D100000}">
          <x14:formula1>
            <xm:f>項目!C17:$QAQ$65537</xm:f>
          </x14:formula1>
          <xm:sqref>QAY65541:QAY65564</xm:sqref>
        </x14:dataValidation>
        <x14:dataValidation type="list" allowBlank="1" showInputMessage="1" showErrorMessage="1" xr:uid="{00000000-0002-0000-0300-00004E100000}">
          <x14:formula1>
            <xm:f>項目!C17:$QKM$65537</xm:f>
          </x14:formula1>
          <xm:sqref>QKU65541:QKU65564</xm:sqref>
        </x14:dataValidation>
        <x14:dataValidation type="list" allowBlank="1" showInputMessage="1" showErrorMessage="1" xr:uid="{00000000-0002-0000-0300-00004F100000}">
          <x14:formula1>
            <xm:f>項目!C17:$QUI$65537</xm:f>
          </x14:formula1>
          <xm:sqref>QUQ65541:QUQ65564</xm:sqref>
        </x14:dataValidation>
        <x14:dataValidation type="list" allowBlank="1" showInputMessage="1" showErrorMessage="1" xr:uid="{00000000-0002-0000-0300-000050100000}">
          <x14:formula1>
            <xm:f>項目!C17:$REE$65537</xm:f>
          </x14:formula1>
          <xm:sqref>REM65541:REM65564</xm:sqref>
        </x14:dataValidation>
        <x14:dataValidation type="list" allowBlank="1" showInputMessage="1" showErrorMessage="1" xr:uid="{00000000-0002-0000-0300-000051100000}">
          <x14:formula1>
            <xm:f>項目!C17:$ROA$65537</xm:f>
          </x14:formula1>
          <xm:sqref>ROI65541:ROI65564</xm:sqref>
        </x14:dataValidation>
        <x14:dataValidation type="list" allowBlank="1" showInputMessage="1" showErrorMessage="1" xr:uid="{00000000-0002-0000-0300-000052100000}">
          <x14:formula1>
            <xm:f>項目!C17:$RXW$65537</xm:f>
          </x14:formula1>
          <xm:sqref>RYE65541:RYE65564</xm:sqref>
        </x14:dataValidation>
        <x14:dataValidation type="list" allowBlank="1" showInputMessage="1" showErrorMessage="1" xr:uid="{00000000-0002-0000-0300-000053100000}">
          <x14:formula1>
            <xm:f>項目!C17:$SHS$65537</xm:f>
          </x14:formula1>
          <xm:sqref>SIA65541:SIA65564</xm:sqref>
        </x14:dataValidation>
        <x14:dataValidation type="list" allowBlank="1" showInputMessage="1" showErrorMessage="1" xr:uid="{00000000-0002-0000-0300-000054100000}">
          <x14:formula1>
            <xm:f>項目!C17:$SRO$65537</xm:f>
          </x14:formula1>
          <xm:sqref>SRW65541:SRW65564</xm:sqref>
        </x14:dataValidation>
        <x14:dataValidation type="list" allowBlank="1" showInputMessage="1" showErrorMessage="1" xr:uid="{00000000-0002-0000-0300-000055100000}">
          <x14:formula1>
            <xm:f>項目!C17:$TBK$65537</xm:f>
          </x14:formula1>
          <xm:sqref>TBS65541:TBS65564</xm:sqref>
        </x14:dataValidation>
        <x14:dataValidation type="list" allowBlank="1" showInputMessage="1" showErrorMessage="1" xr:uid="{00000000-0002-0000-0300-000056100000}">
          <x14:formula1>
            <xm:f>項目!C17:$TLG$65537</xm:f>
          </x14:formula1>
          <xm:sqref>TLO65541:TLO65564</xm:sqref>
        </x14:dataValidation>
        <x14:dataValidation type="list" allowBlank="1" showInputMessage="1" showErrorMessage="1" xr:uid="{00000000-0002-0000-0300-000057100000}">
          <x14:formula1>
            <xm:f>項目!C17:$TVC$65537</xm:f>
          </x14:formula1>
          <xm:sqref>TVK65541:TVK65564</xm:sqref>
        </x14:dataValidation>
        <x14:dataValidation type="list" allowBlank="1" showInputMessage="1" showErrorMessage="1" xr:uid="{00000000-0002-0000-0300-000058100000}">
          <x14:formula1>
            <xm:f>項目!C17:$UEY$65537</xm:f>
          </x14:formula1>
          <xm:sqref>UFG65541:UFG65564</xm:sqref>
        </x14:dataValidation>
        <x14:dataValidation type="list" allowBlank="1" showInputMessage="1" showErrorMessage="1" xr:uid="{00000000-0002-0000-0300-000059100000}">
          <x14:formula1>
            <xm:f>項目!C17:$UOU$65537</xm:f>
          </x14:formula1>
          <xm:sqref>UPC65541:UPC65564</xm:sqref>
        </x14:dataValidation>
        <x14:dataValidation type="list" allowBlank="1" showInputMessage="1" showErrorMessage="1" xr:uid="{00000000-0002-0000-0300-00005A100000}">
          <x14:formula1>
            <xm:f>項目!C17:$UYQ$65537</xm:f>
          </x14:formula1>
          <xm:sqref>UYY65541:UYY65564</xm:sqref>
        </x14:dataValidation>
        <x14:dataValidation type="list" allowBlank="1" showInputMessage="1" showErrorMessage="1" xr:uid="{00000000-0002-0000-0300-00005B100000}">
          <x14:formula1>
            <xm:f>項目!C17:$VIM$65537</xm:f>
          </x14:formula1>
          <xm:sqref>VIU65541:VIU65564</xm:sqref>
        </x14:dataValidation>
        <x14:dataValidation type="list" allowBlank="1" showInputMessage="1" showErrorMessage="1" xr:uid="{00000000-0002-0000-0300-00005C100000}">
          <x14:formula1>
            <xm:f>項目!C17:$VSI$65537</xm:f>
          </x14:formula1>
          <xm:sqref>VSQ65541:VSQ65564</xm:sqref>
        </x14:dataValidation>
        <x14:dataValidation type="list" allowBlank="1" showInputMessage="1" showErrorMessage="1" xr:uid="{00000000-0002-0000-0300-00005D100000}">
          <x14:formula1>
            <xm:f>項目!C17:$WCE$65537</xm:f>
          </x14:formula1>
          <xm:sqref>WCM65541:WCM65564</xm:sqref>
        </x14:dataValidation>
        <x14:dataValidation type="list" allowBlank="1" showInputMessage="1" showErrorMessage="1" xr:uid="{00000000-0002-0000-0300-00005E100000}">
          <x14:formula1>
            <xm:f>項目!C17:$WMA$65537</xm:f>
          </x14:formula1>
          <xm:sqref>WMI65541:WMI65564</xm:sqref>
        </x14:dataValidation>
        <x14:dataValidation type="list" allowBlank="1" showInputMessage="1" showErrorMessage="1" xr:uid="{00000000-0002-0000-0300-00005F100000}">
          <x14:formula1>
            <xm:f>項目!C17:$WVW$65537</xm:f>
          </x14:formula1>
          <xm:sqref>WWE65541:WWE65564</xm:sqref>
        </x14:dataValidation>
        <x14:dataValidation type="list" allowBlank="1" showInputMessage="1" showErrorMessage="1" xr:uid="{00000000-0002-0000-0300-000060100000}">
          <x14:formula1>
            <xm:f>項目!C17:$P$131073</xm:f>
          </x14:formula1>
          <xm:sqref>W131077:W131100</xm:sqref>
        </x14:dataValidation>
        <x14:dataValidation type="list" allowBlank="1" showInputMessage="1" showErrorMessage="1" xr:uid="{00000000-0002-0000-0300-000061100000}">
          <x14:formula1>
            <xm:f>項目!C17:$JK$131073</xm:f>
          </x14:formula1>
          <xm:sqref>JS131077:JS131100</xm:sqref>
        </x14:dataValidation>
        <x14:dataValidation type="list" allowBlank="1" showInputMessage="1" showErrorMessage="1" xr:uid="{00000000-0002-0000-0300-000062100000}">
          <x14:formula1>
            <xm:f>項目!C17:$TG$131073</xm:f>
          </x14:formula1>
          <xm:sqref>TO131077:TO131100</xm:sqref>
        </x14:dataValidation>
        <x14:dataValidation type="list" allowBlank="1" showInputMessage="1" showErrorMessage="1" xr:uid="{00000000-0002-0000-0300-000063100000}">
          <x14:formula1>
            <xm:f>項目!C17:$ADC$131073</xm:f>
          </x14:formula1>
          <xm:sqref>ADK131077:ADK131100</xm:sqref>
        </x14:dataValidation>
        <x14:dataValidation type="list" allowBlank="1" showInputMessage="1" showErrorMessage="1" xr:uid="{00000000-0002-0000-0300-000064100000}">
          <x14:formula1>
            <xm:f>項目!C17:$AMY$131073</xm:f>
          </x14:formula1>
          <xm:sqref>ANG131077:ANG131100</xm:sqref>
        </x14:dataValidation>
        <x14:dataValidation type="list" allowBlank="1" showInputMessage="1" showErrorMessage="1" xr:uid="{00000000-0002-0000-0300-000065100000}">
          <x14:formula1>
            <xm:f>項目!C17:$AWU$131073</xm:f>
          </x14:formula1>
          <xm:sqref>AXC131077:AXC131100</xm:sqref>
        </x14:dataValidation>
        <x14:dataValidation type="list" allowBlank="1" showInputMessage="1" showErrorMessage="1" xr:uid="{00000000-0002-0000-0300-000066100000}">
          <x14:formula1>
            <xm:f>項目!C17:$BGQ$131073</xm:f>
          </x14:formula1>
          <xm:sqref>BGY131077:BGY131100</xm:sqref>
        </x14:dataValidation>
        <x14:dataValidation type="list" allowBlank="1" showInputMessage="1" showErrorMessage="1" xr:uid="{00000000-0002-0000-0300-000067100000}">
          <x14:formula1>
            <xm:f>項目!C17:$BQM$131073</xm:f>
          </x14:formula1>
          <xm:sqref>BQU131077:BQU131100</xm:sqref>
        </x14:dataValidation>
        <x14:dataValidation type="list" allowBlank="1" showInputMessage="1" showErrorMessage="1" xr:uid="{00000000-0002-0000-0300-000068100000}">
          <x14:formula1>
            <xm:f>項目!C17:$CAI$131073</xm:f>
          </x14:formula1>
          <xm:sqref>CAQ131077:CAQ131100</xm:sqref>
        </x14:dataValidation>
        <x14:dataValidation type="list" allowBlank="1" showInputMessage="1" showErrorMessage="1" xr:uid="{00000000-0002-0000-0300-000069100000}">
          <x14:formula1>
            <xm:f>項目!C17:$CKE$131073</xm:f>
          </x14:formula1>
          <xm:sqref>CKM131077:CKM131100</xm:sqref>
        </x14:dataValidation>
        <x14:dataValidation type="list" allowBlank="1" showInputMessage="1" showErrorMessage="1" xr:uid="{00000000-0002-0000-0300-00006A100000}">
          <x14:formula1>
            <xm:f>項目!C17:$CUA$131073</xm:f>
          </x14:formula1>
          <xm:sqref>CUI131077:CUI131100</xm:sqref>
        </x14:dataValidation>
        <x14:dataValidation type="list" allowBlank="1" showInputMessage="1" showErrorMessage="1" xr:uid="{00000000-0002-0000-0300-00006B100000}">
          <x14:formula1>
            <xm:f>項目!C17:$DDW$131073</xm:f>
          </x14:formula1>
          <xm:sqref>DEE131077:DEE131100</xm:sqref>
        </x14:dataValidation>
        <x14:dataValidation type="list" allowBlank="1" showInputMessage="1" showErrorMessage="1" xr:uid="{00000000-0002-0000-0300-00006C100000}">
          <x14:formula1>
            <xm:f>項目!C17:$DNS$131073</xm:f>
          </x14:formula1>
          <xm:sqref>DOA131077:DOA131100</xm:sqref>
        </x14:dataValidation>
        <x14:dataValidation type="list" allowBlank="1" showInputMessage="1" showErrorMessage="1" xr:uid="{00000000-0002-0000-0300-00006D100000}">
          <x14:formula1>
            <xm:f>項目!C17:$DXO$131073</xm:f>
          </x14:formula1>
          <xm:sqref>DXW131077:DXW131100</xm:sqref>
        </x14:dataValidation>
        <x14:dataValidation type="list" allowBlank="1" showInputMessage="1" showErrorMessage="1" xr:uid="{00000000-0002-0000-0300-00006E100000}">
          <x14:formula1>
            <xm:f>項目!C17:$EHK$131073</xm:f>
          </x14:formula1>
          <xm:sqref>EHS131077:EHS131100</xm:sqref>
        </x14:dataValidation>
        <x14:dataValidation type="list" allowBlank="1" showInputMessage="1" showErrorMessage="1" xr:uid="{00000000-0002-0000-0300-00006F100000}">
          <x14:formula1>
            <xm:f>項目!C17:$ERG$131073</xm:f>
          </x14:formula1>
          <xm:sqref>ERO131077:ERO131100</xm:sqref>
        </x14:dataValidation>
        <x14:dataValidation type="list" allowBlank="1" showInputMessage="1" showErrorMessage="1" xr:uid="{00000000-0002-0000-0300-000070100000}">
          <x14:formula1>
            <xm:f>項目!C17:$FBC$131073</xm:f>
          </x14:formula1>
          <xm:sqref>FBK131077:FBK131100</xm:sqref>
        </x14:dataValidation>
        <x14:dataValidation type="list" allowBlank="1" showInputMessage="1" showErrorMessage="1" xr:uid="{00000000-0002-0000-0300-000071100000}">
          <x14:formula1>
            <xm:f>項目!C17:$FKY$131073</xm:f>
          </x14:formula1>
          <xm:sqref>FLG131077:FLG131100</xm:sqref>
        </x14:dataValidation>
        <x14:dataValidation type="list" allowBlank="1" showInputMessage="1" showErrorMessage="1" xr:uid="{00000000-0002-0000-0300-000072100000}">
          <x14:formula1>
            <xm:f>項目!C17:$FUU$131073</xm:f>
          </x14:formula1>
          <xm:sqref>FVC131077:FVC131100</xm:sqref>
        </x14:dataValidation>
        <x14:dataValidation type="list" allowBlank="1" showInputMessage="1" showErrorMessage="1" xr:uid="{00000000-0002-0000-0300-000073100000}">
          <x14:formula1>
            <xm:f>項目!C17:$GEQ$131073</xm:f>
          </x14:formula1>
          <xm:sqref>GEY131077:GEY131100</xm:sqref>
        </x14:dataValidation>
        <x14:dataValidation type="list" allowBlank="1" showInputMessage="1" showErrorMessage="1" xr:uid="{00000000-0002-0000-0300-000074100000}">
          <x14:formula1>
            <xm:f>項目!C17:$GOM$131073</xm:f>
          </x14:formula1>
          <xm:sqref>GOU131077:GOU131100</xm:sqref>
        </x14:dataValidation>
        <x14:dataValidation type="list" allowBlank="1" showInputMessage="1" showErrorMessage="1" xr:uid="{00000000-0002-0000-0300-000075100000}">
          <x14:formula1>
            <xm:f>項目!C17:$GYI$131073</xm:f>
          </x14:formula1>
          <xm:sqref>GYQ131077:GYQ131100</xm:sqref>
        </x14:dataValidation>
        <x14:dataValidation type="list" allowBlank="1" showInputMessage="1" showErrorMessage="1" xr:uid="{00000000-0002-0000-0300-000076100000}">
          <x14:formula1>
            <xm:f>項目!C17:$HIE$131073</xm:f>
          </x14:formula1>
          <xm:sqref>HIM131077:HIM131100</xm:sqref>
        </x14:dataValidation>
        <x14:dataValidation type="list" allowBlank="1" showInputMessage="1" showErrorMessage="1" xr:uid="{00000000-0002-0000-0300-000077100000}">
          <x14:formula1>
            <xm:f>項目!C17:$HSA$131073</xm:f>
          </x14:formula1>
          <xm:sqref>HSI131077:HSI131100</xm:sqref>
        </x14:dataValidation>
        <x14:dataValidation type="list" allowBlank="1" showInputMessage="1" showErrorMessage="1" xr:uid="{00000000-0002-0000-0300-000078100000}">
          <x14:formula1>
            <xm:f>項目!C17:$IBW$131073</xm:f>
          </x14:formula1>
          <xm:sqref>ICE131077:ICE131100</xm:sqref>
        </x14:dataValidation>
        <x14:dataValidation type="list" allowBlank="1" showInputMessage="1" showErrorMessage="1" xr:uid="{00000000-0002-0000-0300-000079100000}">
          <x14:formula1>
            <xm:f>項目!C17:$ILS$131073</xm:f>
          </x14:formula1>
          <xm:sqref>IMA131077:IMA131100</xm:sqref>
        </x14:dataValidation>
        <x14:dataValidation type="list" allowBlank="1" showInputMessage="1" showErrorMessage="1" xr:uid="{00000000-0002-0000-0300-00007A100000}">
          <x14:formula1>
            <xm:f>項目!C17:$IVO$131073</xm:f>
          </x14:formula1>
          <xm:sqref>IVW131077:IVW131100</xm:sqref>
        </x14:dataValidation>
        <x14:dataValidation type="list" allowBlank="1" showInputMessage="1" showErrorMessage="1" xr:uid="{00000000-0002-0000-0300-00007B100000}">
          <x14:formula1>
            <xm:f>項目!C17:$JFK$131073</xm:f>
          </x14:formula1>
          <xm:sqref>JFS131077:JFS131100</xm:sqref>
        </x14:dataValidation>
        <x14:dataValidation type="list" allowBlank="1" showInputMessage="1" showErrorMessage="1" xr:uid="{00000000-0002-0000-0300-00007C100000}">
          <x14:formula1>
            <xm:f>項目!C17:$JPG$131073</xm:f>
          </x14:formula1>
          <xm:sqref>JPO131077:JPO131100</xm:sqref>
        </x14:dataValidation>
        <x14:dataValidation type="list" allowBlank="1" showInputMessage="1" showErrorMessage="1" xr:uid="{00000000-0002-0000-0300-00007D100000}">
          <x14:formula1>
            <xm:f>項目!C17:$JZC$131073</xm:f>
          </x14:formula1>
          <xm:sqref>JZK131077:JZK131100</xm:sqref>
        </x14:dataValidation>
        <x14:dataValidation type="list" allowBlank="1" showInputMessage="1" showErrorMessage="1" xr:uid="{00000000-0002-0000-0300-00007E100000}">
          <x14:formula1>
            <xm:f>項目!C17:$KIY$131073</xm:f>
          </x14:formula1>
          <xm:sqref>KJG131077:KJG131100</xm:sqref>
        </x14:dataValidation>
        <x14:dataValidation type="list" allowBlank="1" showInputMessage="1" showErrorMessage="1" xr:uid="{00000000-0002-0000-0300-00007F100000}">
          <x14:formula1>
            <xm:f>項目!C17:$KSU$131073</xm:f>
          </x14:formula1>
          <xm:sqref>KTC131077:KTC131100</xm:sqref>
        </x14:dataValidation>
        <x14:dataValidation type="list" allowBlank="1" showInputMessage="1" showErrorMessage="1" xr:uid="{00000000-0002-0000-0300-000080100000}">
          <x14:formula1>
            <xm:f>項目!C17:$LCQ$131073</xm:f>
          </x14:formula1>
          <xm:sqref>LCY131077:LCY131100</xm:sqref>
        </x14:dataValidation>
        <x14:dataValidation type="list" allowBlank="1" showInputMessage="1" showErrorMessage="1" xr:uid="{00000000-0002-0000-0300-000081100000}">
          <x14:formula1>
            <xm:f>項目!C17:$LMM$131073</xm:f>
          </x14:formula1>
          <xm:sqref>LMU131077:LMU131100</xm:sqref>
        </x14:dataValidation>
        <x14:dataValidation type="list" allowBlank="1" showInputMessage="1" showErrorMessage="1" xr:uid="{00000000-0002-0000-0300-000082100000}">
          <x14:formula1>
            <xm:f>項目!C17:$LWI$131073</xm:f>
          </x14:formula1>
          <xm:sqref>LWQ131077:LWQ131100</xm:sqref>
        </x14:dataValidation>
        <x14:dataValidation type="list" allowBlank="1" showInputMessage="1" showErrorMessage="1" xr:uid="{00000000-0002-0000-0300-000083100000}">
          <x14:formula1>
            <xm:f>項目!C17:$MGE$131073</xm:f>
          </x14:formula1>
          <xm:sqref>MGM131077:MGM131100</xm:sqref>
        </x14:dataValidation>
        <x14:dataValidation type="list" allowBlank="1" showInputMessage="1" showErrorMessage="1" xr:uid="{00000000-0002-0000-0300-000084100000}">
          <x14:formula1>
            <xm:f>項目!C17:$MQA$131073</xm:f>
          </x14:formula1>
          <xm:sqref>MQI131077:MQI131100</xm:sqref>
        </x14:dataValidation>
        <x14:dataValidation type="list" allowBlank="1" showInputMessage="1" showErrorMessage="1" xr:uid="{00000000-0002-0000-0300-000085100000}">
          <x14:formula1>
            <xm:f>項目!C17:$MZW$131073</xm:f>
          </x14:formula1>
          <xm:sqref>NAE131077:NAE131100</xm:sqref>
        </x14:dataValidation>
        <x14:dataValidation type="list" allowBlank="1" showInputMessage="1" showErrorMessage="1" xr:uid="{00000000-0002-0000-0300-000086100000}">
          <x14:formula1>
            <xm:f>項目!C17:$NJS$131073</xm:f>
          </x14:formula1>
          <xm:sqref>NKA131077:NKA131100</xm:sqref>
        </x14:dataValidation>
        <x14:dataValidation type="list" allowBlank="1" showInputMessage="1" showErrorMessage="1" xr:uid="{00000000-0002-0000-0300-000087100000}">
          <x14:formula1>
            <xm:f>項目!C17:$NTO$131073</xm:f>
          </x14:formula1>
          <xm:sqref>NTW131077:NTW131100</xm:sqref>
        </x14:dataValidation>
        <x14:dataValidation type="list" allowBlank="1" showInputMessage="1" showErrorMessage="1" xr:uid="{00000000-0002-0000-0300-000088100000}">
          <x14:formula1>
            <xm:f>項目!C17:$ODK$131073</xm:f>
          </x14:formula1>
          <xm:sqref>ODS131077:ODS131100</xm:sqref>
        </x14:dataValidation>
        <x14:dataValidation type="list" allowBlank="1" showInputMessage="1" showErrorMessage="1" xr:uid="{00000000-0002-0000-0300-000089100000}">
          <x14:formula1>
            <xm:f>項目!C17:$ONG$131073</xm:f>
          </x14:formula1>
          <xm:sqref>ONO131077:ONO131100</xm:sqref>
        </x14:dataValidation>
        <x14:dataValidation type="list" allowBlank="1" showInputMessage="1" showErrorMessage="1" xr:uid="{00000000-0002-0000-0300-00008A100000}">
          <x14:formula1>
            <xm:f>項目!C17:$OXC$131073</xm:f>
          </x14:formula1>
          <xm:sqref>OXK131077:OXK131100</xm:sqref>
        </x14:dataValidation>
        <x14:dataValidation type="list" allowBlank="1" showInputMessage="1" showErrorMessage="1" xr:uid="{00000000-0002-0000-0300-00008B100000}">
          <x14:formula1>
            <xm:f>項目!C17:$PGY$131073</xm:f>
          </x14:formula1>
          <xm:sqref>PHG131077:PHG131100</xm:sqref>
        </x14:dataValidation>
        <x14:dataValidation type="list" allowBlank="1" showInputMessage="1" showErrorMessage="1" xr:uid="{00000000-0002-0000-0300-00008C100000}">
          <x14:formula1>
            <xm:f>項目!C17:$PQU$131073</xm:f>
          </x14:formula1>
          <xm:sqref>PRC131077:PRC131100</xm:sqref>
        </x14:dataValidation>
        <x14:dataValidation type="list" allowBlank="1" showInputMessage="1" showErrorMessage="1" xr:uid="{00000000-0002-0000-0300-00008D100000}">
          <x14:formula1>
            <xm:f>項目!C17:$QAQ$131073</xm:f>
          </x14:formula1>
          <xm:sqref>QAY131077:QAY131100</xm:sqref>
        </x14:dataValidation>
        <x14:dataValidation type="list" allowBlank="1" showInputMessage="1" showErrorMessage="1" xr:uid="{00000000-0002-0000-0300-00008E100000}">
          <x14:formula1>
            <xm:f>項目!C17:$QKM$131073</xm:f>
          </x14:formula1>
          <xm:sqref>QKU131077:QKU131100</xm:sqref>
        </x14:dataValidation>
        <x14:dataValidation type="list" allowBlank="1" showInputMessage="1" showErrorMessage="1" xr:uid="{00000000-0002-0000-0300-00008F100000}">
          <x14:formula1>
            <xm:f>項目!C17:$QUI$131073</xm:f>
          </x14:formula1>
          <xm:sqref>QUQ131077:QUQ131100</xm:sqref>
        </x14:dataValidation>
        <x14:dataValidation type="list" allowBlank="1" showInputMessage="1" showErrorMessage="1" xr:uid="{00000000-0002-0000-0300-000090100000}">
          <x14:formula1>
            <xm:f>項目!C17:$REE$131073</xm:f>
          </x14:formula1>
          <xm:sqref>REM131077:REM131100</xm:sqref>
        </x14:dataValidation>
        <x14:dataValidation type="list" allowBlank="1" showInputMessage="1" showErrorMessage="1" xr:uid="{00000000-0002-0000-0300-000091100000}">
          <x14:formula1>
            <xm:f>項目!C17:$ROA$131073</xm:f>
          </x14:formula1>
          <xm:sqref>ROI131077:ROI131100</xm:sqref>
        </x14:dataValidation>
        <x14:dataValidation type="list" allowBlank="1" showInputMessage="1" showErrorMessage="1" xr:uid="{00000000-0002-0000-0300-000092100000}">
          <x14:formula1>
            <xm:f>項目!C17:$RXW$131073</xm:f>
          </x14:formula1>
          <xm:sqref>RYE131077:RYE131100</xm:sqref>
        </x14:dataValidation>
        <x14:dataValidation type="list" allowBlank="1" showInputMessage="1" showErrorMessage="1" xr:uid="{00000000-0002-0000-0300-000093100000}">
          <x14:formula1>
            <xm:f>項目!C17:$SHS$131073</xm:f>
          </x14:formula1>
          <xm:sqref>SIA131077:SIA131100</xm:sqref>
        </x14:dataValidation>
        <x14:dataValidation type="list" allowBlank="1" showInputMessage="1" showErrorMessage="1" xr:uid="{00000000-0002-0000-0300-000094100000}">
          <x14:formula1>
            <xm:f>項目!C17:$SRO$131073</xm:f>
          </x14:formula1>
          <xm:sqref>SRW131077:SRW131100</xm:sqref>
        </x14:dataValidation>
        <x14:dataValidation type="list" allowBlank="1" showInputMessage="1" showErrorMessage="1" xr:uid="{00000000-0002-0000-0300-000095100000}">
          <x14:formula1>
            <xm:f>項目!C17:$TBK$131073</xm:f>
          </x14:formula1>
          <xm:sqref>TBS131077:TBS131100</xm:sqref>
        </x14:dataValidation>
        <x14:dataValidation type="list" allowBlank="1" showInputMessage="1" showErrorMessage="1" xr:uid="{00000000-0002-0000-0300-000096100000}">
          <x14:formula1>
            <xm:f>項目!C17:$TLG$131073</xm:f>
          </x14:formula1>
          <xm:sqref>TLO131077:TLO131100</xm:sqref>
        </x14:dataValidation>
        <x14:dataValidation type="list" allowBlank="1" showInputMessage="1" showErrorMessage="1" xr:uid="{00000000-0002-0000-0300-000097100000}">
          <x14:formula1>
            <xm:f>項目!C17:$TVC$131073</xm:f>
          </x14:formula1>
          <xm:sqref>TVK131077:TVK131100</xm:sqref>
        </x14:dataValidation>
        <x14:dataValidation type="list" allowBlank="1" showInputMessage="1" showErrorMessage="1" xr:uid="{00000000-0002-0000-0300-000098100000}">
          <x14:formula1>
            <xm:f>項目!C17:$UEY$131073</xm:f>
          </x14:formula1>
          <xm:sqref>UFG131077:UFG131100</xm:sqref>
        </x14:dataValidation>
        <x14:dataValidation type="list" allowBlank="1" showInputMessage="1" showErrorMessage="1" xr:uid="{00000000-0002-0000-0300-000099100000}">
          <x14:formula1>
            <xm:f>項目!C17:$UOU$131073</xm:f>
          </x14:formula1>
          <xm:sqref>UPC131077:UPC131100</xm:sqref>
        </x14:dataValidation>
        <x14:dataValidation type="list" allowBlank="1" showInputMessage="1" showErrorMessage="1" xr:uid="{00000000-0002-0000-0300-00009A100000}">
          <x14:formula1>
            <xm:f>項目!C17:$UYQ$131073</xm:f>
          </x14:formula1>
          <xm:sqref>UYY131077:UYY131100</xm:sqref>
        </x14:dataValidation>
        <x14:dataValidation type="list" allowBlank="1" showInputMessage="1" showErrorMessage="1" xr:uid="{00000000-0002-0000-0300-00009B100000}">
          <x14:formula1>
            <xm:f>項目!C17:$VIM$131073</xm:f>
          </x14:formula1>
          <xm:sqref>VIU131077:VIU131100</xm:sqref>
        </x14:dataValidation>
        <x14:dataValidation type="list" allowBlank="1" showInputMessage="1" showErrorMessage="1" xr:uid="{00000000-0002-0000-0300-00009C100000}">
          <x14:formula1>
            <xm:f>項目!C17:$VSI$131073</xm:f>
          </x14:formula1>
          <xm:sqref>VSQ131077:VSQ131100</xm:sqref>
        </x14:dataValidation>
        <x14:dataValidation type="list" allowBlank="1" showInputMessage="1" showErrorMessage="1" xr:uid="{00000000-0002-0000-0300-00009D100000}">
          <x14:formula1>
            <xm:f>項目!C17:$WCE$131073</xm:f>
          </x14:formula1>
          <xm:sqref>WCM131077:WCM131100</xm:sqref>
        </x14:dataValidation>
        <x14:dataValidation type="list" allowBlank="1" showInputMessage="1" showErrorMessage="1" xr:uid="{00000000-0002-0000-0300-00009E100000}">
          <x14:formula1>
            <xm:f>項目!C17:$WMA$131073</xm:f>
          </x14:formula1>
          <xm:sqref>WMI131077:WMI131100</xm:sqref>
        </x14:dataValidation>
        <x14:dataValidation type="list" allowBlank="1" showInputMessage="1" showErrorMessage="1" xr:uid="{00000000-0002-0000-0300-00009F100000}">
          <x14:formula1>
            <xm:f>項目!C17:$WVW$131073</xm:f>
          </x14:formula1>
          <xm:sqref>WWE131077:WWE131100</xm:sqref>
        </x14:dataValidation>
        <x14:dataValidation type="list" allowBlank="1" showInputMessage="1" showErrorMessage="1" xr:uid="{00000000-0002-0000-0300-0000A0100000}">
          <x14:formula1>
            <xm:f>項目!C17:$P$196609</xm:f>
          </x14:formula1>
          <xm:sqref>W196613:W196636</xm:sqref>
        </x14:dataValidation>
        <x14:dataValidation type="list" allowBlank="1" showInputMessage="1" showErrorMessage="1" xr:uid="{00000000-0002-0000-0300-0000A1100000}">
          <x14:formula1>
            <xm:f>項目!C17:$JK$196609</xm:f>
          </x14:formula1>
          <xm:sqref>JS196613:JS196636</xm:sqref>
        </x14:dataValidation>
        <x14:dataValidation type="list" allowBlank="1" showInputMessage="1" showErrorMessage="1" xr:uid="{00000000-0002-0000-0300-0000A2100000}">
          <x14:formula1>
            <xm:f>項目!C17:$TG$196609</xm:f>
          </x14:formula1>
          <xm:sqref>TO196613:TO196636</xm:sqref>
        </x14:dataValidation>
        <x14:dataValidation type="list" allowBlank="1" showInputMessage="1" showErrorMessage="1" xr:uid="{00000000-0002-0000-0300-0000A3100000}">
          <x14:formula1>
            <xm:f>項目!C17:$ADC$196609</xm:f>
          </x14:formula1>
          <xm:sqref>ADK196613:ADK196636</xm:sqref>
        </x14:dataValidation>
        <x14:dataValidation type="list" allowBlank="1" showInputMessage="1" showErrorMessage="1" xr:uid="{00000000-0002-0000-0300-0000A4100000}">
          <x14:formula1>
            <xm:f>項目!C17:$AMY$196609</xm:f>
          </x14:formula1>
          <xm:sqref>ANG196613:ANG196636</xm:sqref>
        </x14:dataValidation>
        <x14:dataValidation type="list" allowBlank="1" showInputMessage="1" showErrorMessage="1" xr:uid="{00000000-0002-0000-0300-0000A5100000}">
          <x14:formula1>
            <xm:f>項目!C17:$AWU$196609</xm:f>
          </x14:formula1>
          <xm:sqref>AXC196613:AXC196636</xm:sqref>
        </x14:dataValidation>
        <x14:dataValidation type="list" allowBlank="1" showInputMessage="1" showErrorMessage="1" xr:uid="{00000000-0002-0000-0300-0000A6100000}">
          <x14:formula1>
            <xm:f>項目!C17:$BGQ$196609</xm:f>
          </x14:formula1>
          <xm:sqref>BGY196613:BGY196636</xm:sqref>
        </x14:dataValidation>
        <x14:dataValidation type="list" allowBlank="1" showInputMessage="1" showErrorMessage="1" xr:uid="{00000000-0002-0000-0300-0000A7100000}">
          <x14:formula1>
            <xm:f>項目!C17:$BQM$196609</xm:f>
          </x14:formula1>
          <xm:sqref>BQU196613:BQU196636</xm:sqref>
        </x14:dataValidation>
        <x14:dataValidation type="list" allowBlank="1" showInputMessage="1" showErrorMessage="1" xr:uid="{00000000-0002-0000-0300-0000A8100000}">
          <x14:formula1>
            <xm:f>項目!C17:$CAI$196609</xm:f>
          </x14:formula1>
          <xm:sqref>CAQ196613:CAQ196636</xm:sqref>
        </x14:dataValidation>
        <x14:dataValidation type="list" allowBlank="1" showInputMessage="1" showErrorMessage="1" xr:uid="{00000000-0002-0000-0300-0000A9100000}">
          <x14:formula1>
            <xm:f>項目!C17:$CKE$196609</xm:f>
          </x14:formula1>
          <xm:sqref>CKM196613:CKM196636</xm:sqref>
        </x14:dataValidation>
        <x14:dataValidation type="list" allowBlank="1" showInputMessage="1" showErrorMessage="1" xr:uid="{00000000-0002-0000-0300-0000AA100000}">
          <x14:formula1>
            <xm:f>項目!C17:$CUA$196609</xm:f>
          </x14:formula1>
          <xm:sqref>CUI196613:CUI196636</xm:sqref>
        </x14:dataValidation>
        <x14:dataValidation type="list" allowBlank="1" showInputMessage="1" showErrorMessage="1" xr:uid="{00000000-0002-0000-0300-0000AB100000}">
          <x14:formula1>
            <xm:f>項目!C17:$DDW$196609</xm:f>
          </x14:formula1>
          <xm:sqref>DEE196613:DEE196636</xm:sqref>
        </x14:dataValidation>
        <x14:dataValidation type="list" allowBlank="1" showInputMessage="1" showErrorMessage="1" xr:uid="{00000000-0002-0000-0300-0000AC100000}">
          <x14:formula1>
            <xm:f>項目!C17:$DNS$196609</xm:f>
          </x14:formula1>
          <xm:sqref>DOA196613:DOA196636</xm:sqref>
        </x14:dataValidation>
        <x14:dataValidation type="list" allowBlank="1" showInputMessage="1" showErrorMessage="1" xr:uid="{00000000-0002-0000-0300-0000AD100000}">
          <x14:formula1>
            <xm:f>項目!C17:$DXO$196609</xm:f>
          </x14:formula1>
          <xm:sqref>DXW196613:DXW196636</xm:sqref>
        </x14:dataValidation>
        <x14:dataValidation type="list" allowBlank="1" showInputMessage="1" showErrorMessage="1" xr:uid="{00000000-0002-0000-0300-0000AE100000}">
          <x14:formula1>
            <xm:f>項目!C17:$EHK$196609</xm:f>
          </x14:formula1>
          <xm:sqref>EHS196613:EHS196636</xm:sqref>
        </x14:dataValidation>
        <x14:dataValidation type="list" allowBlank="1" showInputMessage="1" showErrorMessage="1" xr:uid="{00000000-0002-0000-0300-0000AF100000}">
          <x14:formula1>
            <xm:f>項目!C17:$ERG$196609</xm:f>
          </x14:formula1>
          <xm:sqref>ERO196613:ERO196636</xm:sqref>
        </x14:dataValidation>
        <x14:dataValidation type="list" allowBlank="1" showInputMessage="1" showErrorMessage="1" xr:uid="{00000000-0002-0000-0300-0000B0100000}">
          <x14:formula1>
            <xm:f>項目!C17:$FBC$196609</xm:f>
          </x14:formula1>
          <xm:sqref>FBK196613:FBK196636</xm:sqref>
        </x14:dataValidation>
        <x14:dataValidation type="list" allowBlank="1" showInputMessage="1" showErrorMessage="1" xr:uid="{00000000-0002-0000-0300-0000B1100000}">
          <x14:formula1>
            <xm:f>項目!C17:$FKY$196609</xm:f>
          </x14:formula1>
          <xm:sqref>FLG196613:FLG196636</xm:sqref>
        </x14:dataValidation>
        <x14:dataValidation type="list" allowBlank="1" showInputMessage="1" showErrorMessage="1" xr:uid="{00000000-0002-0000-0300-0000B2100000}">
          <x14:formula1>
            <xm:f>項目!C17:$FUU$196609</xm:f>
          </x14:formula1>
          <xm:sqref>FVC196613:FVC196636</xm:sqref>
        </x14:dataValidation>
        <x14:dataValidation type="list" allowBlank="1" showInputMessage="1" showErrorMessage="1" xr:uid="{00000000-0002-0000-0300-0000B3100000}">
          <x14:formula1>
            <xm:f>項目!C17:$GEQ$196609</xm:f>
          </x14:formula1>
          <xm:sqref>GEY196613:GEY196636</xm:sqref>
        </x14:dataValidation>
        <x14:dataValidation type="list" allowBlank="1" showInputMessage="1" showErrorMessage="1" xr:uid="{00000000-0002-0000-0300-0000B4100000}">
          <x14:formula1>
            <xm:f>項目!C17:$GOM$196609</xm:f>
          </x14:formula1>
          <xm:sqref>GOU196613:GOU196636</xm:sqref>
        </x14:dataValidation>
        <x14:dataValidation type="list" allowBlank="1" showInputMessage="1" showErrorMessage="1" xr:uid="{00000000-0002-0000-0300-0000B5100000}">
          <x14:formula1>
            <xm:f>項目!C17:$GYI$196609</xm:f>
          </x14:formula1>
          <xm:sqref>GYQ196613:GYQ196636</xm:sqref>
        </x14:dataValidation>
        <x14:dataValidation type="list" allowBlank="1" showInputMessage="1" showErrorMessage="1" xr:uid="{00000000-0002-0000-0300-0000B6100000}">
          <x14:formula1>
            <xm:f>項目!C17:$HIE$196609</xm:f>
          </x14:formula1>
          <xm:sqref>HIM196613:HIM196636</xm:sqref>
        </x14:dataValidation>
        <x14:dataValidation type="list" allowBlank="1" showInputMessage="1" showErrorMessage="1" xr:uid="{00000000-0002-0000-0300-0000B7100000}">
          <x14:formula1>
            <xm:f>項目!C17:$HSA$196609</xm:f>
          </x14:formula1>
          <xm:sqref>HSI196613:HSI196636</xm:sqref>
        </x14:dataValidation>
        <x14:dataValidation type="list" allowBlank="1" showInputMessage="1" showErrorMessage="1" xr:uid="{00000000-0002-0000-0300-0000B8100000}">
          <x14:formula1>
            <xm:f>項目!C17:$IBW$196609</xm:f>
          </x14:formula1>
          <xm:sqref>ICE196613:ICE196636</xm:sqref>
        </x14:dataValidation>
        <x14:dataValidation type="list" allowBlank="1" showInputMessage="1" showErrorMessage="1" xr:uid="{00000000-0002-0000-0300-0000B9100000}">
          <x14:formula1>
            <xm:f>項目!C17:$ILS$196609</xm:f>
          </x14:formula1>
          <xm:sqref>IMA196613:IMA196636</xm:sqref>
        </x14:dataValidation>
        <x14:dataValidation type="list" allowBlank="1" showInputMessage="1" showErrorMessage="1" xr:uid="{00000000-0002-0000-0300-0000BA100000}">
          <x14:formula1>
            <xm:f>項目!C17:$IVO$196609</xm:f>
          </x14:formula1>
          <xm:sqref>IVW196613:IVW196636</xm:sqref>
        </x14:dataValidation>
        <x14:dataValidation type="list" allowBlank="1" showInputMessage="1" showErrorMessage="1" xr:uid="{00000000-0002-0000-0300-0000BB100000}">
          <x14:formula1>
            <xm:f>項目!C17:$JFK$196609</xm:f>
          </x14:formula1>
          <xm:sqref>JFS196613:JFS196636</xm:sqref>
        </x14:dataValidation>
        <x14:dataValidation type="list" allowBlank="1" showInputMessage="1" showErrorMessage="1" xr:uid="{00000000-0002-0000-0300-0000BC100000}">
          <x14:formula1>
            <xm:f>項目!C17:$JPG$196609</xm:f>
          </x14:formula1>
          <xm:sqref>JPO196613:JPO196636</xm:sqref>
        </x14:dataValidation>
        <x14:dataValidation type="list" allowBlank="1" showInputMessage="1" showErrorMessage="1" xr:uid="{00000000-0002-0000-0300-0000BD100000}">
          <x14:formula1>
            <xm:f>項目!C17:$JZC$196609</xm:f>
          </x14:formula1>
          <xm:sqref>JZK196613:JZK196636</xm:sqref>
        </x14:dataValidation>
        <x14:dataValidation type="list" allowBlank="1" showInputMessage="1" showErrorMessage="1" xr:uid="{00000000-0002-0000-0300-0000BE100000}">
          <x14:formula1>
            <xm:f>項目!C17:$KIY$196609</xm:f>
          </x14:formula1>
          <xm:sqref>KJG196613:KJG196636</xm:sqref>
        </x14:dataValidation>
        <x14:dataValidation type="list" allowBlank="1" showInputMessage="1" showErrorMessage="1" xr:uid="{00000000-0002-0000-0300-0000BF100000}">
          <x14:formula1>
            <xm:f>項目!C17:$KSU$196609</xm:f>
          </x14:formula1>
          <xm:sqref>KTC196613:KTC196636</xm:sqref>
        </x14:dataValidation>
        <x14:dataValidation type="list" allowBlank="1" showInputMessage="1" showErrorMessage="1" xr:uid="{00000000-0002-0000-0300-0000C0100000}">
          <x14:formula1>
            <xm:f>項目!C17:$LCQ$196609</xm:f>
          </x14:formula1>
          <xm:sqref>LCY196613:LCY196636</xm:sqref>
        </x14:dataValidation>
        <x14:dataValidation type="list" allowBlank="1" showInputMessage="1" showErrorMessage="1" xr:uid="{00000000-0002-0000-0300-0000C1100000}">
          <x14:formula1>
            <xm:f>項目!C17:$LMM$196609</xm:f>
          </x14:formula1>
          <xm:sqref>LMU196613:LMU196636</xm:sqref>
        </x14:dataValidation>
        <x14:dataValidation type="list" allowBlank="1" showInputMessage="1" showErrorMessage="1" xr:uid="{00000000-0002-0000-0300-0000C2100000}">
          <x14:formula1>
            <xm:f>項目!C17:$LWI$196609</xm:f>
          </x14:formula1>
          <xm:sqref>LWQ196613:LWQ196636</xm:sqref>
        </x14:dataValidation>
        <x14:dataValidation type="list" allowBlank="1" showInputMessage="1" showErrorMessage="1" xr:uid="{00000000-0002-0000-0300-0000C3100000}">
          <x14:formula1>
            <xm:f>項目!C17:$MGE$196609</xm:f>
          </x14:formula1>
          <xm:sqref>MGM196613:MGM196636</xm:sqref>
        </x14:dataValidation>
        <x14:dataValidation type="list" allowBlank="1" showInputMessage="1" showErrorMessage="1" xr:uid="{00000000-0002-0000-0300-0000C4100000}">
          <x14:formula1>
            <xm:f>項目!C17:$MQA$196609</xm:f>
          </x14:formula1>
          <xm:sqref>MQI196613:MQI196636</xm:sqref>
        </x14:dataValidation>
        <x14:dataValidation type="list" allowBlank="1" showInputMessage="1" showErrorMessage="1" xr:uid="{00000000-0002-0000-0300-0000C5100000}">
          <x14:formula1>
            <xm:f>項目!C17:$MZW$196609</xm:f>
          </x14:formula1>
          <xm:sqref>NAE196613:NAE196636</xm:sqref>
        </x14:dataValidation>
        <x14:dataValidation type="list" allowBlank="1" showInputMessage="1" showErrorMessage="1" xr:uid="{00000000-0002-0000-0300-0000C6100000}">
          <x14:formula1>
            <xm:f>項目!C17:$NJS$196609</xm:f>
          </x14:formula1>
          <xm:sqref>NKA196613:NKA196636</xm:sqref>
        </x14:dataValidation>
        <x14:dataValidation type="list" allowBlank="1" showInputMessage="1" showErrorMessage="1" xr:uid="{00000000-0002-0000-0300-0000C7100000}">
          <x14:formula1>
            <xm:f>項目!C17:$NTO$196609</xm:f>
          </x14:formula1>
          <xm:sqref>NTW196613:NTW196636</xm:sqref>
        </x14:dataValidation>
        <x14:dataValidation type="list" allowBlank="1" showInputMessage="1" showErrorMessage="1" xr:uid="{00000000-0002-0000-0300-0000C8100000}">
          <x14:formula1>
            <xm:f>項目!C17:$ODK$196609</xm:f>
          </x14:formula1>
          <xm:sqref>ODS196613:ODS196636</xm:sqref>
        </x14:dataValidation>
        <x14:dataValidation type="list" allowBlank="1" showInputMessage="1" showErrorMessage="1" xr:uid="{00000000-0002-0000-0300-0000C9100000}">
          <x14:formula1>
            <xm:f>項目!C17:$ONG$196609</xm:f>
          </x14:formula1>
          <xm:sqref>ONO196613:ONO196636</xm:sqref>
        </x14:dataValidation>
        <x14:dataValidation type="list" allowBlank="1" showInputMessage="1" showErrorMessage="1" xr:uid="{00000000-0002-0000-0300-0000CA100000}">
          <x14:formula1>
            <xm:f>項目!C17:$OXC$196609</xm:f>
          </x14:formula1>
          <xm:sqref>OXK196613:OXK196636</xm:sqref>
        </x14:dataValidation>
        <x14:dataValidation type="list" allowBlank="1" showInputMessage="1" showErrorMessage="1" xr:uid="{00000000-0002-0000-0300-0000CB100000}">
          <x14:formula1>
            <xm:f>項目!C17:$PGY$196609</xm:f>
          </x14:formula1>
          <xm:sqref>PHG196613:PHG196636</xm:sqref>
        </x14:dataValidation>
        <x14:dataValidation type="list" allowBlank="1" showInputMessage="1" showErrorMessage="1" xr:uid="{00000000-0002-0000-0300-0000CC100000}">
          <x14:formula1>
            <xm:f>項目!C17:$PQU$196609</xm:f>
          </x14:formula1>
          <xm:sqref>PRC196613:PRC196636</xm:sqref>
        </x14:dataValidation>
        <x14:dataValidation type="list" allowBlank="1" showInputMessage="1" showErrorMessage="1" xr:uid="{00000000-0002-0000-0300-0000CD100000}">
          <x14:formula1>
            <xm:f>項目!C17:$QAQ$196609</xm:f>
          </x14:formula1>
          <xm:sqref>QAY196613:QAY196636</xm:sqref>
        </x14:dataValidation>
        <x14:dataValidation type="list" allowBlank="1" showInputMessage="1" showErrorMessage="1" xr:uid="{00000000-0002-0000-0300-0000CE100000}">
          <x14:formula1>
            <xm:f>項目!C17:$QKM$196609</xm:f>
          </x14:formula1>
          <xm:sqref>QKU196613:QKU196636</xm:sqref>
        </x14:dataValidation>
        <x14:dataValidation type="list" allowBlank="1" showInputMessage="1" showErrorMessage="1" xr:uid="{00000000-0002-0000-0300-0000CF100000}">
          <x14:formula1>
            <xm:f>項目!C17:$QUI$196609</xm:f>
          </x14:formula1>
          <xm:sqref>QUQ196613:QUQ196636</xm:sqref>
        </x14:dataValidation>
        <x14:dataValidation type="list" allowBlank="1" showInputMessage="1" showErrorMessage="1" xr:uid="{00000000-0002-0000-0300-0000D0100000}">
          <x14:formula1>
            <xm:f>項目!C17:$REE$196609</xm:f>
          </x14:formula1>
          <xm:sqref>REM196613:REM196636</xm:sqref>
        </x14:dataValidation>
        <x14:dataValidation type="list" allowBlank="1" showInputMessage="1" showErrorMessage="1" xr:uid="{00000000-0002-0000-0300-0000D1100000}">
          <x14:formula1>
            <xm:f>項目!C17:$ROA$196609</xm:f>
          </x14:formula1>
          <xm:sqref>ROI196613:ROI196636</xm:sqref>
        </x14:dataValidation>
        <x14:dataValidation type="list" allowBlank="1" showInputMessage="1" showErrorMessage="1" xr:uid="{00000000-0002-0000-0300-0000D2100000}">
          <x14:formula1>
            <xm:f>項目!C17:$RXW$196609</xm:f>
          </x14:formula1>
          <xm:sqref>RYE196613:RYE196636</xm:sqref>
        </x14:dataValidation>
        <x14:dataValidation type="list" allowBlank="1" showInputMessage="1" showErrorMessage="1" xr:uid="{00000000-0002-0000-0300-0000D3100000}">
          <x14:formula1>
            <xm:f>項目!C17:$SHS$196609</xm:f>
          </x14:formula1>
          <xm:sqref>SIA196613:SIA196636</xm:sqref>
        </x14:dataValidation>
        <x14:dataValidation type="list" allowBlank="1" showInputMessage="1" showErrorMessage="1" xr:uid="{00000000-0002-0000-0300-0000D4100000}">
          <x14:formula1>
            <xm:f>項目!C17:$SRO$196609</xm:f>
          </x14:formula1>
          <xm:sqref>SRW196613:SRW196636</xm:sqref>
        </x14:dataValidation>
        <x14:dataValidation type="list" allowBlank="1" showInputMessage="1" showErrorMessage="1" xr:uid="{00000000-0002-0000-0300-0000D5100000}">
          <x14:formula1>
            <xm:f>項目!C17:$TBK$196609</xm:f>
          </x14:formula1>
          <xm:sqref>TBS196613:TBS196636</xm:sqref>
        </x14:dataValidation>
        <x14:dataValidation type="list" allowBlank="1" showInputMessage="1" showErrorMessage="1" xr:uid="{00000000-0002-0000-0300-0000D6100000}">
          <x14:formula1>
            <xm:f>項目!C17:$TLG$196609</xm:f>
          </x14:formula1>
          <xm:sqref>TLO196613:TLO196636</xm:sqref>
        </x14:dataValidation>
        <x14:dataValidation type="list" allowBlank="1" showInputMessage="1" showErrorMessage="1" xr:uid="{00000000-0002-0000-0300-0000D7100000}">
          <x14:formula1>
            <xm:f>項目!C17:$TVC$196609</xm:f>
          </x14:formula1>
          <xm:sqref>TVK196613:TVK196636</xm:sqref>
        </x14:dataValidation>
        <x14:dataValidation type="list" allowBlank="1" showInputMessage="1" showErrorMessage="1" xr:uid="{00000000-0002-0000-0300-0000D8100000}">
          <x14:formula1>
            <xm:f>項目!C17:$UEY$196609</xm:f>
          </x14:formula1>
          <xm:sqref>UFG196613:UFG196636</xm:sqref>
        </x14:dataValidation>
        <x14:dataValidation type="list" allowBlank="1" showInputMessage="1" showErrorMessage="1" xr:uid="{00000000-0002-0000-0300-0000D9100000}">
          <x14:formula1>
            <xm:f>項目!C17:$UOU$196609</xm:f>
          </x14:formula1>
          <xm:sqref>UPC196613:UPC196636</xm:sqref>
        </x14:dataValidation>
        <x14:dataValidation type="list" allowBlank="1" showInputMessage="1" showErrorMessage="1" xr:uid="{00000000-0002-0000-0300-0000DA100000}">
          <x14:formula1>
            <xm:f>項目!C17:$UYQ$196609</xm:f>
          </x14:formula1>
          <xm:sqref>UYY196613:UYY196636</xm:sqref>
        </x14:dataValidation>
        <x14:dataValidation type="list" allowBlank="1" showInputMessage="1" showErrorMessage="1" xr:uid="{00000000-0002-0000-0300-0000DB100000}">
          <x14:formula1>
            <xm:f>項目!C17:$VIM$196609</xm:f>
          </x14:formula1>
          <xm:sqref>VIU196613:VIU196636</xm:sqref>
        </x14:dataValidation>
        <x14:dataValidation type="list" allowBlank="1" showInputMessage="1" showErrorMessage="1" xr:uid="{00000000-0002-0000-0300-0000DC100000}">
          <x14:formula1>
            <xm:f>項目!C17:$VSI$196609</xm:f>
          </x14:formula1>
          <xm:sqref>VSQ196613:VSQ196636</xm:sqref>
        </x14:dataValidation>
        <x14:dataValidation type="list" allowBlank="1" showInputMessage="1" showErrorMessage="1" xr:uid="{00000000-0002-0000-0300-0000DD100000}">
          <x14:formula1>
            <xm:f>項目!C17:$WCE$196609</xm:f>
          </x14:formula1>
          <xm:sqref>WCM196613:WCM196636</xm:sqref>
        </x14:dataValidation>
        <x14:dataValidation type="list" allowBlank="1" showInputMessage="1" showErrorMessage="1" xr:uid="{00000000-0002-0000-0300-0000DE100000}">
          <x14:formula1>
            <xm:f>項目!C17:$WMA$196609</xm:f>
          </x14:formula1>
          <xm:sqref>WMI196613:WMI196636</xm:sqref>
        </x14:dataValidation>
        <x14:dataValidation type="list" allowBlank="1" showInputMessage="1" showErrorMessage="1" xr:uid="{00000000-0002-0000-0300-0000DF100000}">
          <x14:formula1>
            <xm:f>項目!C17:$WVW$196609</xm:f>
          </x14:formula1>
          <xm:sqref>WWE196613:WWE196636</xm:sqref>
        </x14:dataValidation>
        <x14:dataValidation type="list" allowBlank="1" showInputMessage="1" showErrorMessage="1" xr:uid="{00000000-0002-0000-0300-0000E0100000}">
          <x14:formula1>
            <xm:f>項目!C17:$P$262145</xm:f>
          </x14:formula1>
          <xm:sqref>W262149:W262172</xm:sqref>
        </x14:dataValidation>
        <x14:dataValidation type="list" allowBlank="1" showInputMessage="1" showErrorMessage="1" xr:uid="{00000000-0002-0000-0300-0000E1100000}">
          <x14:formula1>
            <xm:f>項目!C17:$JK$262145</xm:f>
          </x14:formula1>
          <xm:sqref>JS262149:JS262172</xm:sqref>
        </x14:dataValidation>
        <x14:dataValidation type="list" allowBlank="1" showInputMessage="1" showErrorMessage="1" xr:uid="{00000000-0002-0000-0300-0000E2100000}">
          <x14:formula1>
            <xm:f>項目!C17:$TG$262145</xm:f>
          </x14:formula1>
          <xm:sqref>TO262149:TO262172</xm:sqref>
        </x14:dataValidation>
        <x14:dataValidation type="list" allowBlank="1" showInputMessage="1" showErrorMessage="1" xr:uid="{00000000-0002-0000-0300-0000E3100000}">
          <x14:formula1>
            <xm:f>項目!C17:$ADC$262145</xm:f>
          </x14:formula1>
          <xm:sqref>ADK262149:ADK262172</xm:sqref>
        </x14:dataValidation>
        <x14:dataValidation type="list" allowBlank="1" showInputMessage="1" showErrorMessage="1" xr:uid="{00000000-0002-0000-0300-0000E4100000}">
          <x14:formula1>
            <xm:f>項目!C17:$AMY$262145</xm:f>
          </x14:formula1>
          <xm:sqref>ANG262149:ANG262172</xm:sqref>
        </x14:dataValidation>
        <x14:dataValidation type="list" allowBlank="1" showInputMessage="1" showErrorMessage="1" xr:uid="{00000000-0002-0000-0300-0000E5100000}">
          <x14:formula1>
            <xm:f>項目!C17:$AWU$262145</xm:f>
          </x14:formula1>
          <xm:sqref>AXC262149:AXC262172</xm:sqref>
        </x14:dataValidation>
        <x14:dataValidation type="list" allowBlank="1" showInputMessage="1" showErrorMessage="1" xr:uid="{00000000-0002-0000-0300-0000E6100000}">
          <x14:formula1>
            <xm:f>項目!C17:$BGQ$262145</xm:f>
          </x14:formula1>
          <xm:sqref>BGY262149:BGY262172</xm:sqref>
        </x14:dataValidation>
        <x14:dataValidation type="list" allowBlank="1" showInputMessage="1" showErrorMessage="1" xr:uid="{00000000-0002-0000-0300-0000E7100000}">
          <x14:formula1>
            <xm:f>項目!C17:$BQM$262145</xm:f>
          </x14:formula1>
          <xm:sqref>BQU262149:BQU262172</xm:sqref>
        </x14:dataValidation>
        <x14:dataValidation type="list" allowBlank="1" showInputMessage="1" showErrorMessage="1" xr:uid="{00000000-0002-0000-0300-0000E8100000}">
          <x14:formula1>
            <xm:f>項目!C17:$CAI$262145</xm:f>
          </x14:formula1>
          <xm:sqref>CAQ262149:CAQ262172</xm:sqref>
        </x14:dataValidation>
        <x14:dataValidation type="list" allowBlank="1" showInputMessage="1" showErrorMessage="1" xr:uid="{00000000-0002-0000-0300-0000E9100000}">
          <x14:formula1>
            <xm:f>項目!C17:$CKE$262145</xm:f>
          </x14:formula1>
          <xm:sqref>CKM262149:CKM262172</xm:sqref>
        </x14:dataValidation>
        <x14:dataValidation type="list" allowBlank="1" showInputMessage="1" showErrorMessage="1" xr:uid="{00000000-0002-0000-0300-0000EA100000}">
          <x14:formula1>
            <xm:f>項目!C17:$CUA$262145</xm:f>
          </x14:formula1>
          <xm:sqref>CUI262149:CUI262172</xm:sqref>
        </x14:dataValidation>
        <x14:dataValidation type="list" allowBlank="1" showInputMessage="1" showErrorMessage="1" xr:uid="{00000000-0002-0000-0300-0000EB100000}">
          <x14:formula1>
            <xm:f>項目!C17:$DDW$262145</xm:f>
          </x14:formula1>
          <xm:sqref>DEE262149:DEE262172</xm:sqref>
        </x14:dataValidation>
        <x14:dataValidation type="list" allowBlank="1" showInputMessage="1" showErrorMessage="1" xr:uid="{00000000-0002-0000-0300-0000EC100000}">
          <x14:formula1>
            <xm:f>項目!C17:$DNS$262145</xm:f>
          </x14:formula1>
          <xm:sqref>DOA262149:DOA262172</xm:sqref>
        </x14:dataValidation>
        <x14:dataValidation type="list" allowBlank="1" showInputMessage="1" showErrorMessage="1" xr:uid="{00000000-0002-0000-0300-0000ED100000}">
          <x14:formula1>
            <xm:f>項目!C17:$DXO$262145</xm:f>
          </x14:formula1>
          <xm:sqref>DXW262149:DXW262172</xm:sqref>
        </x14:dataValidation>
        <x14:dataValidation type="list" allowBlank="1" showInputMessage="1" showErrorMessage="1" xr:uid="{00000000-0002-0000-0300-0000EE100000}">
          <x14:formula1>
            <xm:f>項目!C17:$EHK$262145</xm:f>
          </x14:formula1>
          <xm:sqref>EHS262149:EHS262172</xm:sqref>
        </x14:dataValidation>
        <x14:dataValidation type="list" allowBlank="1" showInputMessage="1" showErrorMessage="1" xr:uid="{00000000-0002-0000-0300-0000EF100000}">
          <x14:formula1>
            <xm:f>項目!C17:$ERG$262145</xm:f>
          </x14:formula1>
          <xm:sqref>ERO262149:ERO262172</xm:sqref>
        </x14:dataValidation>
        <x14:dataValidation type="list" allowBlank="1" showInputMessage="1" showErrorMessage="1" xr:uid="{00000000-0002-0000-0300-0000F0100000}">
          <x14:formula1>
            <xm:f>項目!C17:$FBC$262145</xm:f>
          </x14:formula1>
          <xm:sqref>FBK262149:FBK262172</xm:sqref>
        </x14:dataValidation>
        <x14:dataValidation type="list" allowBlank="1" showInputMessage="1" showErrorMessage="1" xr:uid="{00000000-0002-0000-0300-0000F1100000}">
          <x14:formula1>
            <xm:f>項目!C17:$FKY$262145</xm:f>
          </x14:formula1>
          <xm:sqref>FLG262149:FLG262172</xm:sqref>
        </x14:dataValidation>
        <x14:dataValidation type="list" allowBlank="1" showInputMessage="1" showErrorMessage="1" xr:uid="{00000000-0002-0000-0300-0000F2100000}">
          <x14:formula1>
            <xm:f>項目!C17:$FUU$262145</xm:f>
          </x14:formula1>
          <xm:sqref>FVC262149:FVC262172</xm:sqref>
        </x14:dataValidation>
        <x14:dataValidation type="list" allowBlank="1" showInputMessage="1" showErrorMessage="1" xr:uid="{00000000-0002-0000-0300-0000F3100000}">
          <x14:formula1>
            <xm:f>項目!C17:$GEQ$262145</xm:f>
          </x14:formula1>
          <xm:sqref>GEY262149:GEY262172</xm:sqref>
        </x14:dataValidation>
        <x14:dataValidation type="list" allowBlank="1" showInputMessage="1" showErrorMessage="1" xr:uid="{00000000-0002-0000-0300-0000F4100000}">
          <x14:formula1>
            <xm:f>項目!C17:$GOM$262145</xm:f>
          </x14:formula1>
          <xm:sqref>GOU262149:GOU262172</xm:sqref>
        </x14:dataValidation>
        <x14:dataValidation type="list" allowBlank="1" showInputMessage="1" showErrorMessage="1" xr:uid="{00000000-0002-0000-0300-0000F5100000}">
          <x14:formula1>
            <xm:f>項目!C17:$GYI$262145</xm:f>
          </x14:formula1>
          <xm:sqref>GYQ262149:GYQ262172</xm:sqref>
        </x14:dataValidation>
        <x14:dataValidation type="list" allowBlank="1" showInputMessage="1" showErrorMessage="1" xr:uid="{00000000-0002-0000-0300-0000F6100000}">
          <x14:formula1>
            <xm:f>項目!C17:$HIE$262145</xm:f>
          </x14:formula1>
          <xm:sqref>HIM262149:HIM262172</xm:sqref>
        </x14:dataValidation>
        <x14:dataValidation type="list" allowBlank="1" showInputMessage="1" showErrorMessage="1" xr:uid="{00000000-0002-0000-0300-0000F7100000}">
          <x14:formula1>
            <xm:f>項目!C17:$HSA$262145</xm:f>
          </x14:formula1>
          <xm:sqref>HSI262149:HSI262172</xm:sqref>
        </x14:dataValidation>
        <x14:dataValidation type="list" allowBlank="1" showInputMessage="1" showErrorMessage="1" xr:uid="{00000000-0002-0000-0300-0000F8100000}">
          <x14:formula1>
            <xm:f>項目!C17:$IBW$262145</xm:f>
          </x14:formula1>
          <xm:sqref>ICE262149:ICE262172</xm:sqref>
        </x14:dataValidation>
        <x14:dataValidation type="list" allowBlank="1" showInputMessage="1" showErrorMessage="1" xr:uid="{00000000-0002-0000-0300-0000F9100000}">
          <x14:formula1>
            <xm:f>項目!C17:$ILS$262145</xm:f>
          </x14:formula1>
          <xm:sqref>IMA262149:IMA262172</xm:sqref>
        </x14:dataValidation>
        <x14:dataValidation type="list" allowBlank="1" showInputMessage="1" showErrorMessage="1" xr:uid="{00000000-0002-0000-0300-0000FA100000}">
          <x14:formula1>
            <xm:f>項目!C17:$IVO$262145</xm:f>
          </x14:formula1>
          <xm:sqref>IVW262149:IVW262172</xm:sqref>
        </x14:dataValidation>
        <x14:dataValidation type="list" allowBlank="1" showInputMessage="1" showErrorMessage="1" xr:uid="{00000000-0002-0000-0300-0000FB100000}">
          <x14:formula1>
            <xm:f>項目!C17:$JFK$262145</xm:f>
          </x14:formula1>
          <xm:sqref>JFS262149:JFS262172</xm:sqref>
        </x14:dataValidation>
        <x14:dataValidation type="list" allowBlank="1" showInputMessage="1" showErrorMessage="1" xr:uid="{00000000-0002-0000-0300-0000FC100000}">
          <x14:formula1>
            <xm:f>項目!C17:$JPG$262145</xm:f>
          </x14:formula1>
          <xm:sqref>JPO262149:JPO262172</xm:sqref>
        </x14:dataValidation>
        <x14:dataValidation type="list" allowBlank="1" showInputMessage="1" showErrorMessage="1" xr:uid="{00000000-0002-0000-0300-0000FD100000}">
          <x14:formula1>
            <xm:f>項目!C17:$JZC$262145</xm:f>
          </x14:formula1>
          <xm:sqref>JZK262149:JZK262172</xm:sqref>
        </x14:dataValidation>
        <x14:dataValidation type="list" allowBlank="1" showInputMessage="1" showErrorMessage="1" xr:uid="{00000000-0002-0000-0300-0000FE100000}">
          <x14:formula1>
            <xm:f>項目!C17:$KIY$262145</xm:f>
          </x14:formula1>
          <xm:sqref>KJG262149:KJG262172</xm:sqref>
        </x14:dataValidation>
        <x14:dataValidation type="list" allowBlank="1" showInputMessage="1" showErrorMessage="1" xr:uid="{00000000-0002-0000-0300-0000FF100000}">
          <x14:formula1>
            <xm:f>項目!C17:$KSU$262145</xm:f>
          </x14:formula1>
          <xm:sqref>KTC262149:KTC262172</xm:sqref>
        </x14:dataValidation>
        <x14:dataValidation type="list" allowBlank="1" showInputMessage="1" showErrorMessage="1" xr:uid="{00000000-0002-0000-0300-000000110000}">
          <x14:formula1>
            <xm:f>項目!C17:$LCQ$262145</xm:f>
          </x14:formula1>
          <xm:sqref>LCY262149:LCY262172</xm:sqref>
        </x14:dataValidation>
        <x14:dataValidation type="list" allowBlank="1" showInputMessage="1" showErrorMessage="1" xr:uid="{00000000-0002-0000-0300-000001110000}">
          <x14:formula1>
            <xm:f>項目!C17:$LMM$262145</xm:f>
          </x14:formula1>
          <xm:sqref>LMU262149:LMU262172</xm:sqref>
        </x14:dataValidation>
        <x14:dataValidation type="list" allowBlank="1" showInputMessage="1" showErrorMessage="1" xr:uid="{00000000-0002-0000-0300-000002110000}">
          <x14:formula1>
            <xm:f>項目!C17:$LWI$262145</xm:f>
          </x14:formula1>
          <xm:sqref>LWQ262149:LWQ262172</xm:sqref>
        </x14:dataValidation>
        <x14:dataValidation type="list" allowBlank="1" showInputMessage="1" showErrorMessage="1" xr:uid="{00000000-0002-0000-0300-000003110000}">
          <x14:formula1>
            <xm:f>項目!C17:$MGE$262145</xm:f>
          </x14:formula1>
          <xm:sqref>MGM262149:MGM262172</xm:sqref>
        </x14:dataValidation>
        <x14:dataValidation type="list" allowBlank="1" showInputMessage="1" showErrorMessage="1" xr:uid="{00000000-0002-0000-0300-000004110000}">
          <x14:formula1>
            <xm:f>項目!C17:$MQA$262145</xm:f>
          </x14:formula1>
          <xm:sqref>MQI262149:MQI262172</xm:sqref>
        </x14:dataValidation>
        <x14:dataValidation type="list" allowBlank="1" showInputMessage="1" showErrorMessage="1" xr:uid="{00000000-0002-0000-0300-000005110000}">
          <x14:formula1>
            <xm:f>項目!C17:$MZW$262145</xm:f>
          </x14:formula1>
          <xm:sqref>NAE262149:NAE262172</xm:sqref>
        </x14:dataValidation>
        <x14:dataValidation type="list" allowBlank="1" showInputMessage="1" showErrorMessage="1" xr:uid="{00000000-0002-0000-0300-000006110000}">
          <x14:formula1>
            <xm:f>項目!C17:$NJS$262145</xm:f>
          </x14:formula1>
          <xm:sqref>NKA262149:NKA262172</xm:sqref>
        </x14:dataValidation>
        <x14:dataValidation type="list" allowBlank="1" showInputMessage="1" showErrorMessage="1" xr:uid="{00000000-0002-0000-0300-000007110000}">
          <x14:formula1>
            <xm:f>項目!C17:$NTO$262145</xm:f>
          </x14:formula1>
          <xm:sqref>NTW262149:NTW262172</xm:sqref>
        </x14:dataValidation>
        <x14:dataValidation type="list" allowBlank="1" showInputMessage="1" showErrorMessage="1" xr:uid="{00000000-0002-0000-0300-000008110000}">
          <x14:formula1>
            <xm:f>項目!C17:$ODK$262145</xm:f>
          </x14:formula1>
          <xm:sqref>ODS262149:ODS262172</xm:sqref>
        </x14:dataValidation>
        <x14:dataValidation type="list" allowBlank="1" showInputMessage="1" showErrorMessage="1" xr:uid="{00000000-0002-0000-0300-000009110000}">
          <x14:formula1>
            <xm:f>項目!C17:$ONG$262145</xm:f>
          </x14:formula1>
          <xm:sqref>ONO262149:ONO262172</xm:sqref>
        </x14:dataValidation>
        <x14:dataValidation type="list" allowBlank="1" showInputMessage="1" showErrorMessage="1" xr:uid="{00000000-0002-0000-0300-00000A110000}">
          <x14:formula1>
            <xm:f>項目!C17:$OXC$262145</xm:f>
          </x14:formula1>
          <xm:sqref>OXK262149:OXK262172</xm:sqref>
        </x14:dataValidation>
        <x14:dataValidation type="list" allowBlank="1" showInputMessage="1" showErrorMessage="1" xr:uid="{00000000-0002-0000-0300-00000B110000}">
          <x14:formula1>
            <xm:f>項目!C17:$PGY$262145</xm:f>
          </x14:formula1>
          <xm:sqref>PHG262149:PHG262172</xm:sqref>
        </x14:dataValidation>
        <x14:dataValidation type="list" allowBlank="1" showInputMessage="1" showErrorMessage="1" xr:uid="{00000000-0002-0000-0300-00000C110000}">
          <x14:formula1>
            <xm:f>項目!C17:$PQU$262145</xm:f>
          </x14:formula1>
          <xm:sqref>PRC262149:PRC262172</xm:sqref>
        </x14:dataValidation>
        <x14:dataValidation type="list" allowBlank="1" showInputMessage="1" showErrorMessage="1" xr:uid="{00000000-0002-0000-0300-00000D110000}">
          <x14:formula1>
            <xm:f>項目!C17:$QAQ$262145</xm:f>
          </x14:formula1>
          <xm:sqref>QAY262149:QAY262172</xm:sqref>
        </x14:dataValidation>
        <x14:dataValidation type="list" allowBlank="1" showInputMessage="1" showErrorMessage="1" xr:uid="{00000000-0002-0000-0300-00000E110000}">
          <x14:formula1>
            <xm:f>項目!C17:$QKM$262145</xm:f>
          </x14:formula1>
          <xm:sqref>QKU262149:QKU262172</xm:sqref>
        </x14:dataValidation>
        <x14:dataValidation type="list" allowBlank="1" showInputMessage="1" showErrorMessage="1" xr:uid="{00000000-0002-0000-0300-00000F110000}">
          <x14:formula1>
            <xm:f>項目!C17:$QUI$262145</xm:f>
          </x14:formula1>
          <xm:sqref>QUQ262149:QUQ262172</xm:sqref>
        </x14:dataValidation>
        <x14:dataValidation type="list" allowBlank="1" showInputMessage="1" showErrorMessage="1" xr:uid="{00000000-0002-0000-0300-000010110000}">
          <x14:formula1>
            <xm:f>項目!C17:$REE$262145</xm:f>
          </x14:formula1>
          <xm:sqref>REM262149:REM262172</xm:sqref>
        </x14:dataValidation>
        <x14:dataValidation type="list" allowBlank="1" showInputMessage="1" showErrorMessage="1" xr:uid="{00000000-0002-0000-0300-000011110000}">
          <x14:formula1>
            <xm:f>項目!C17:$ROA$262145</xm:f>
          </x14:formula1>
          <xm:sqref>ROI262149:ROI262172</xm:sqref>
        </x14:dataValidation>
        <x14:dataValidation type="list" allowBlank="1" showInputMessage="1" showErrorMessage="1" xr:uid="{00000000-0002-0000-0300-000012110000}">
          <x14:formula1>
            <xm:f>項目!C17:$RXW$262145</xm:f>
          </x14:formula1>
          <xm:sqref>RYE262149:RYE262172</xm:sqref>
        </x14:dataValidation>
        <x14:dataValidation type="list" allowBlank="1" showInputMessage="1" showErrorMessage="1" xr:uid="{00000000-0002-0000-0300-000013110000}">
          <x14:formula1>
            <xm:f>項目!C17:$SHS$262145</xm:f>
          </x14:formula1>
          <xm:sqref>SIA262149:SIA262172</xm:sqref>
        </x14:dataValidation>
        <x14:dataValidation type="list" allowBlank="1" showInputMessage="1" showErrorMessage="1" xr:uid="{00000000-0002-0000-0300-000014110000}">
          <x14:formula1>
            <xm:f>項目!C17:$SRO$262145</xm:f>
          </x14:formula1>
          <xm:sqref>SRW262149:SRW262172</xm:sqref>
        </x14:dataValidation>
        <x14:dataValidation type="list" allowBlank="1" showInputMessage="1" showErrorMessage="1" xr:uid="{00000000-0002-0000-0300-000015110000}">
          <x14:formula1>
            <xm:f>項目!C17:$TBK$262145</xm:f>
          </x14:formula1>
          <xm:sqref>TBS262149:TBS262172</xm:sqref>
        </x14:dataValidation>
        <x14:dataValidation type="list" allowBlank="1" showInputMessage="1" showErrorMessage="1" xr:uid="{00000000-0002-0000-0300-000016110000}">
          <x14:formula1>
            <xm:f>項目!C17:$TLG$262145</xm:f>
          </x14:formula1>
          <xm:sqref>TLO262149:TLO262172</xm:sqref>
        </x14:dataValidation>
        <x14:dataValidation type="list" allowBlank="1" showInputMessage="1" showErrorMessage="1" xr:uid="{00000000-0002-0000-0300-000017110000}">
          <x14:formula1>
            <xm:f>項目!C17:$TVC$262145</xm:f>
          </x14:formula1>
          <xm:sqref>TVK262149:TVK262172</xm:sqref>
        </x14:dataValidation>
        <x14:dataValidation type="list" allowBlank="1" showInputMessage="1" showErrorMessage="1" xr:uid="{00000000-0002-0000-0300-000018110000}">
          <x14:formula1>
            <xm:f>項目!C17:$UEY$262145</xm:f>
          </x14:formula1>
          <xm:sqref>UFG262149:UFG262172</xm:sqref>
        </x14:dataValidation>
        <x14:dataValidation type="list" allowBlank="1" showInputMessage="1" showErrorMessage="1" xr:uid="{00000000-0002-0000-0300-000019110000}">
          <x14:formula1>
            <xm:f>項目!C17:$UOU$262145</xm:f>
          </x14:formula1>
          <xm:sqref>UPC262149:UPC262172</xm:sqref>
        </x14:dataValidation>
        <x14:dataValidation type="list" allowBlank="1" showInputMessage="1" showErrorMessage="1" xr:uid="{00000000-0002-0000-0300-00001A110000}">
          <x14:formula1>
            <xm:f>項目!C17:$UYQ$262145</xm:f>
          </x14:formula1>
          <xm:sqref>UYY262149:UYY262172</xm:sqref>
        </x14:dataValidation>
        <x14:dataValidation type="list" allowBlank="1" showInputMessage="1" showErrorMessage="1" xr:uid="{00000000-0002-0000-0300-00001B110000}">
          <x14:formula1>
            <xm:f>項目!C17:$VIM$262145</xm:f>
          </x14:formula1>
          <xm:sqref>VIU262149:VIU262172</xm:sqref>
        </x14:dataValidation>
        <x14:dataValidation type="list" allowBlank="1" showInputMessage="1" showErrorMessage="1" xr:uid="{00000000-0002-0000-0300-00001C110000}">
          <x14:formula1>
            <xm:f>項目!C17:$VSI$262145</xm:f>
          </x14:formula1>
          <xm:sqref>VSQ262149:VSQ262172</xm:sqref>
        </x14:dataValidation>
        <x14:dataValidation type="list" allowBlank="1" showInputMessage="1" showErrorMessage="1" xr:uid="{00000000-0002-0000-0300-00001D110000}">
          <x14:formula1>
            <xm:f>項目!C17:$WCE$262145</xm:f>
          </x14:formula1>
          <xm:sqref>WCM262149:WCM262172</xm:sqref>
        </x14:dataValidation>
        <x14:dataValidation type="list" allowBlank="1" showInputMessage="1" showErrorMessage="1" xr:uid="{00000000-0002-0000-0300-00001E110000}">
          <x14:formula1>
            <xm:f>項目!C17:$WMA$262145</xm:f>
          </x14:formula1>
          <xm:sqref>WMI262149:WMI262172</xm:sqref>
        </x14:dataValidation>
        <x14:dataValidation type="list" allowBlank="1" showInputMessage="1" showErrorMessage="1" xr:uid="{00000000-0002-0000-0300-00001F110000}">
          <x14:formula1>
            <xm:f>項目!C17:$WVW$262145</xm:f>
          </x14:formula1>
          <xm:sqref>WWE262149:WWE262172</xm:sqref>
        </x14:dataValidation>
        <x14:dataValidation type="list" allowBlank="1" showInputMessage="1" showErrorMessage="1" xr:uid="{00000000-0002-0000-0300-000020110000}">
          <x14:formula1>
            <xm:f>項目!C17:$P$327681</xm:f>
          </x14:formula1>
          <xm:sqref>W327685:W327708</xm:sqref>
        </x14:dataValidation>
        <x14:dataValidation type="list" allowBlank="1" showInputMessage="1" showErrorMessage="1" xr:uid="{00000000-0002-0000-0300-000021110000}">
          <x14:formula1>
            <xm:f>項目!C17:$JK$327681</xm:f>
          </x14:formula1>
          <xm:sqref>JS327685:JS327708</xm:sqref>
        </x14:dataValidation>
        <x14:dataValidation type="list" allowBlank="1" showInputMessage="1" showErrorMessage="1" xr:uid="{00000000-0002-0000-0300-000022110000}">
          <x14:formula1>
            <xm:f>項目!C17:$TG$327681</xm:f>
          </x14:formula1>
          <xm:sqref>TO327685:TO327708</xm:sqref>
        </x14:dataValidation>
        <x14:dataValidation type="list" allowBlank="1" showInputMessage="1" showErrorMessage="1" xr:uid="{00000000-0002-0000-0300-000023110000}">
          <x14:formula1>
            <xm:f>項目!C17:$ADC$327681</xm:f>
          </x14:formula1>
          <xm:sqref>ADK327685:ADK327708</xm:sqref>
        </x14:dataValidation>
        <x14:dataValidation type="list" allowBlank="1" showInputMessage="1" showErrorMessage="1" xr:uid="{00000000-0002-0000-0300-000024110000}">
          <x14:formula1>
            <xm:f>項目!C17:$AMY$327681</xm:f>
          </x14:formula1>
          <xm:sqref>ANG327685:ANG327708</xm:sqref>
        </x14:dataValidation>
        <x14:dataValidation type="list" allowBlank="1" showInputMessage="1" showErrorMessage="1" xr:uid="{00000000-0002-0000-0300-000025110000}">
          <x14:formula1>
            <xm:f>項目!C17:$AWU$327681</xm:f>
          </x14:formula1>
          <xm:sqref>AXC327685:AXC327708</xm:sqref>
        </x14:dataValidation>
        <x14:dataValidation type="list" allowBlank="1" showInputMessage="1" showErrorMessage="1" xr:uid="{00000000-0002-0000-0300-000026110000}">
          <x14:formula1>
            <xm:f>項目!C17:$BGQ$327681</xm:f>
          </x14:formula1>
          <xm:sqref>BGY327685:BGY327708</xm:sqref>
        </x14:dataValidation>
        <x14:dataValidation type="list" allowBlank="1" showInputMessage="1" showErrorMessage="1" xr:uid="{00000000-0002-0000-0300-000027110000}">
          <x14:formula1>
            <xm:f>項目!C17:$BQM$327681</xm:f>
          </x14:formula1>
          <xm:sqref>BQU327685:BQU327708</xm:sqref>
        </x14:dataValidation>
        <x14:dataValidation type="list" allowBlank="1" showInputMessage="1" showErrorMessage="1" xr:uid="{00000000-0002-0000-0300-000028110000}">
          <x14:formula1>
            <xm:f>項目!C17:$CAI$327681</xm:f>
          </x14:formula1>
          <xm:sqref>CAQ327685:CAQ327708</xm:sqref>
        </x14:dataValidation>
        <x14:dataValidation type="list" allowBlank="1" showInputMessage="1" showErrorMessage="1" xr:uid="{00000000-0002-0000-0300-000029110000}">
          <x14:formula1>
            <xm:f>項目!C17:$CKE$327681</xm:f>
          </x14:formula1>
          <xm:sqref>CKM327685:CKM327708</xm:sqref>
        </x14:dataValidation>
        <x14:dataValidation type="list" allowBlank="1" showInputMessage="1" showErrorMessage="1" xr:uid="{00000000-0002-0000-0300-00002A110000}">
          <x14:formula1>
            <xm:f>項目!C17:$CUA$327681</xm:f>
          </x14:formula1>
          <xm:sqref>CUI327685:CUI327708</xm:sqref>
        </x14:dataValidation>
        <x14:dataValidation type="list" allowBlank="1" showInputMessage="1" showErrorMessage="1" xr:uid="{00000000-0002-0000-0300-00002B110000}">
          <x14:formula1>
            <xm:f>項目!C17:$DDW$327681</xm:f>
          </x14:formula1>
          <xm:sqref>DEE327685:DEE327708</xm:sqref>
        </x14:dataValidation>
        <x14:dataValidation type="list" allowBlank="1" showInputMessage="1" showErrorMessage="1" xr:uid="{00000000-0002-0000-0300-00002C110000}">
          <x14:formula1>
            <xm:f>項目!C17:$DNS$327681</xm:f>
          </x14:formula1>
          <xm:sqref>DOA327685:DOA327708</xm:sqref>
        </x14:dataValidation>
        <x14:dataValidation type="list" allowBlank="1" showInputMessage="1" showErrorMessage="1" xr:uid="{00000000-0002-0000-0300-00002D110000}">
          <x14:formula1>
            <xm:f>項目!C17:$DXO$327681</xm:f>
          </x14:formula1>
          <xm:sqref>DXW327685:DXW327708</xm:sqref>
        </x14:dataValidation>
        <x14:dataValidation type="list" allowBlank="1" showInputMessage="1" showErrorMessage="1" xr:uid="{00000000-0002-0000-0300-00002E110000}">
          <x14:formula1>
            <xm:f>項目!C17:$EHK$327681</xm:f>
          </x14:formula1>
          <xm:sqref>EHS327685:EHS327708</xm:sqref>
        </x14:dataValidation>
        <x14:dataValidation type="list" allowBlank="1" showInputMessage="1" showErrorMessage="1" xr:uid="{00000000-0002-0000-0300-00002F110000}">
          <x14:formula1>
            <xm:f>項目!C17:$ERG$327681</xm:f>
          </x14:formula1>
          <xm:sqref>ERO327685:ERO327708</xm:sqref>
        </x14:dataValidation>
        <x14:dataValidation type="list" allowBlank="1" showInputMessage="1" showErrorMessage="1" xr:uid="{00000000-0002-0000-0300-000030110000}">
          <x14:formula1>
            <xm:f>項目!C17:$FBC$327681</xm:f>
          </x14:formula1>
          <xm:sqref>FBK327685:FBK327708</xm:sqref>
        </x14:dataValidation>
        <x14:dataValidation type="list" allowBlank="1" showInputMessage="1" showErrorMessage="1" xr:uid="{00000000-0002-0000-0300-000031110000}">
          <x14:formula1>
            <xm:f>項目!C17:$FKY$327681</xm:f>
          </x14:formula1>
          <xm:sqref>FLG327685:FLG327708</xm:sqref>
        </x14:dataValidation>
        <x14:dataValidation type="list" allowBlank="1" showInputMessage="1" showErrorMessage="1" xr:uid="{00000000-0002-0000-0300-000032110000}">
          <x14:formula1>
            <xm:f>項目!C17:$FUU$327681</xm:f>
          </x14:formula1>
          <xm:sqref>FVC327685:FVC327708</xm:sqref>
        </x14:dataValidation>
        <x14:dataValidation type="list" allowBlank="1" showInputMessage="1" showErrorMessage="1" xr:uid="{00000000-0002-0000-0300-000033110000}">
          <x14:formula1>
            <xm:f>項目!C17:$GEQ$327681</xm:f>
          </x14:formula1>
          <xm:sqref>GEY327685:GEY327708</xm:sqref>
        </x14:dataValidation>
        <x14:dataValidation type="list" allowBlank="1" showInputMessage="1" showErrorMessage="1" xr:uid="{00000000-0002-0000-0300-000034110000}">
          <x14:formula1>
            <xm:f>項目!C17:$GOM$327681</xm:f>
          </x14:formula1>
          <xm:sqref>GOU327685:GOU327708</xm:sqref>
        </x14:dataValidation>
        <x14:dataValidation type="list" allowBlank="1" showInputMessage="1" showErrorMessage="1" xr:uid="{00000000-0002-0000-0300-000035110000}">
          <x14:formula1>
            <xm:f>項目!C17:$GYI$327681</xm:f>
          </x14:formula1>
          <xm:sqref>GYQ327685:GYQ327708</xm:sqref>
        </x14:dataValidation>
        <x14:dataValidation type="list" allowBlank="1" showInputMessage="1" showErrorMessage="1" xr:uid="{00000000-0002-0000-0300-000036110000}">
          <x14:formula1>
            <xm:f>項目!C17:$HIE$327681</xm:f>
          </x14:formula1>
          <xm:sqref>HIM327685:HIM327708</xm:sqref>
        </x14:dataValidation>
        <x14:dataValidation type="list" allowBlank="1" showInputMessage="1" showErrorMessage="1" xr:uid="{00000000-0002-0000-0300-000037110000}">
          <x14:formula1>
            <xm:f>項目!C17:$HSA$327681</xm:f>
          </x14:formula1>
          <xm:sqref>HSI327685:HSI327708</xm:sqref>
        </x14:dataValidation>
        <x14:dataValidation type="list" allowBlank="1" showInputMessage="1" showErrorMessage="1" xr:uid="{00000000-0002-0000-0300-000038110000}">
          <x14:formula1>
            <xm:f>項目!C17:$IBW$327681</xm:f>
          </x14:formula1>
          <xm:sqref>ICE327685:ICE327708</xm:sqref>
        </x14:dataValidation>
        <x14:dataValidation type="list" allowBlank="1" showInputMessage="1" showErrorMessage="1" xr:uid="{00000000-0002-0000-0300-000039110000}">
          <x14:formula1>
            <xm:f>項目!C17:$ILS$327681</xm:f>
          </x14:formula1>
          <xm:sqref>IMA327685:IMA327708</xm:sqref>
        </x14:dataValidation>
        <x14:dataValidation type="list" allowBlank="1" showInputMessage="1" showErrorMessage="1" xr:uid="{00000000-0002-0000-0300-00003A110000}">
          <x14:formula1>
            <xm:f>項目!C17:$IVO$327681</xm:f>
          </x14:formula1>
          <xm:sqref>IVW327685:IVW327708</xm:sqref>
        </x14:dataValidation>
        <x14:dataValidation type="list" allowBlank="1" showInputMessage="1" showErrorMessage="1" xr:uid="{00000000-0002-0000-0300-00003B110000}">
          <x14:formula1>
            <xm:f>項目!C17:$JFK$327681</xm:f>
          </x14:formula1>
          <xm:sqref>JFS327685:JFS327708</xm:sqref>
        </x14:dataValidation>
        <x14:dataValidation type="list" allowBlank="1" showInputMessage="1" showErrorMessage="1" xr:uid="{00000000-0002-0000-0300-00003C110000}">
          <x14:formula1>
            <xm:f>項目!C17:$JPG$327681</xm:f>
          </x14:formula1>
          <xm:sqref>JPO327685:JPO327708</xm:sqref>
        </x14:dataValidation>
        <x14:dataValidation type="list" allowBlank="1" showInputMessage="1" showErrorMessage="1" xr:uid="{00000000-0002-0000-0300-00003D110000}">
          <x14:formula1>
            <xm:f>項目!C17:$JZC$327681</xm:f>
          </x14:formula1>
          <xm:sqref>JZK327685:JZK327708</xm:sqref>
        </x14:dataValidation>
        <x14:dataValidation type="list" allowBlank="1" showInputMessage="1" showErrorMessage="1" xr:uid="{00000000-0002-0000-0300-00003E110000}">
          <x14:formula1>
            <xm:f>項目!C17:$KIY$327681</xm:f>
          </x14:formula1>
          <xm:sqref>KJG327685:KJG327708</xm:sqref>
        </x14:dataValidation>
        <x14:dataValidation type="list" allowBlank="1" showInputMessage="1" showErrorMessage="1" xr:uid="{00000000-0002-0000-0300-00003F110000}">
          <x14:formula1>
            <xm:f>項目!C17:$KSU$327681</xm:f>
          </x14:formula1>
          <xm:sqref>KTC327685:KTC327708</xm:sqref>
        </x14:dataValidation>
        <x14:dataValidation type="list" allowBlank="1" showInputMessage="1" showErrorMessage="1" xr:uid="{00000000-0002-0000-0300-000040110000}">
          <x14:formula1>
            <xm:f>項目!C17:$LCQ$327681</xm:f>
          </x14:formula1>
          <xm:sqref>LCY327685:LCY327708</xm:sqref>
        </x14:dataValidation>
        <x14:dataValidation type="list" allowBlank="1" showInputMessage="1" showErrorMessage="1" xr:uid="{00000000-0002-0000-0300-000041110000}">
          <x14:formula1>
            <xm:f>項目!C17:$LMM$327681</xm:f>
          </x14:formula1>
          <xm:sqref>LMU327685:LMU327708</xm:sqref>
        </x14:dataValidation>
        <x14:dataValidation type="list" allowBlank="1" showInputMessage="1" showErrorMessage="1" xr:uid="{00000000-0002-0000-0300-000042110000}">
          <x14:formula1>
            <xm:f>項目!C17:$LWI$327681</xm:f>
          </x14:formula1>
          <xm:sqref>LWQ327685:LWQ327708</xm:sqref>
        </x14:dataValidation>
        <x14:dataValidation type="list" allowBlank="1" showInputMessage="1" showErrorMessage="1" xr:uid="{00000000-0002-0000-0300-000043110000}">
          <x14:formula1>
            <xm:f>項目!C17:$MGE$327681</xm:f>
          </x14:formula1>
          <xm:sqref>MGM327685:MGM327708</xm:sqref>
        </x14:dataValidation>
        <x14:dataValidation type="list" allowBlank="1" showInputMessage="1" showErrorMessage="1" xr:uid="{00000000-0002-0000-0300-000044110000}">
          <x14:formula1>
            <xm:f>項目!C17:$MQA$327681</xm:f>
          </x14:formula1>
          <xm:sqref>MQI327685:MQI327708</xm:sqref>
        </x14:dataValidation>
        <x14:dataValidation type="list" allowBlank="1" showInputMessage="1" showErrorMessage="1" xr:uid="{00000000-0002-0000-0300-000045110000}">
          <x14:formula1>
            <xm:f>項目!C17:$MZW$327681</xm:f>
          </x14:formula1>
          <xm:sqref>NAE327685:NAE327708</xm:sqref>
        </x14:dataValidation>
        <x14:dataValidation type="list" allowBlank="1" showInputMessage="1" showErrorMessage="1" xr:uid="{00000000-0002-0000-0300-000046110000}">
          <x14:formula1>
            <xm:f>項目!C17:$NJS$327681</xm:f>
          </x14:formula1>
          <xm:sqref>NKA327685:NKA327708</xm:sqref>
        </x14:dataValidation>
        <x14:dataValidation type="list" allowBlank="1" showInputMessage="1" showErrorMessage="1" xr:uid="{00000000-0002-0000-0300-000047110000}">
          <x14:formula1>
            <xm:f>項目!C17:$NTO$327681</xm:f>
          </x14:formula1>
          <xm:sqref>NTW327685:NTW327708</xm:sqref>
        </x14:dataValidation>
        <x14:dataValidation type="list" allowBlank="1" showInputMessage="1" showErrorMessage="1" xr:uid="{00000000-0002-0000-0300-000048110000}">
          <x14:formula1>
            <xm:f>項目!C17:$ODK$327681</xm:f>
          </x14:formula1>
          <xm:sqref>ODS327685:ODS327708</xm:sqref>
        </x14:dataValidation>
        <x14:dataValidation type="list" allowBlank="1" showInputMessage="1" showErrorMessage="1" xr:uid="{00000000-0002-0000-0300-000049110000}">
          <x14:formula1>
            <xm:f>項目!C17:$ONG$327681</xm:f>
          </x14:formula1>
          <xm:sqref>ONO327685:ONO327708</xm:sqref>
        </x14:dataValidation>
        <x14:dataValidation type="list" allowBlank="1" showInputMessage="1" showErrorMessage="1" xr:uid="{00000000-0002-0000-0300-00004A110000}">
          <x14:formula1>
            <xm:f>項目!C17:$OXC$327681</xm:f>
          </x14:formula1>
          <xm:sqref>OXK327685:OXK327708</xm:sqref>
        </x14:dataValidation>
        <x14:dataValidation type="list" allowBlank="1" showInputMessage="1" showErrorMessage="1" xr:uid="{00000000-0002-0000-0300-00004B110000}">
          <x14:formula1>
            <xm:f>項目!C17:$PGY$327681</xm:f>
          </x14:formula1>
          <xm:sqref>PHG327685:PHG327708</xm:sqref>
        </x14:dataValidation>
        <x14:dataValidation type="list" allowBlank="1" showInputMessage="1" showErrorMessage="1" xr:uid="{00000000-0002-0000-0300-00004C110000}">
          <x14:formula1>
            <xm:f>項目!C17:$PQU$327681</xm:f>
          </x14:formula1>
          <xm:sqref>PRC327685:PRC327708</xm:sqref>
        </x14:dataValidation>
        <x14:dataValidation type="list" allowBlank="1" showInputMessage="1" showErrorMessage="1" xr:uid="{00000000-0002-0000-0300-00004D110000}">
          <x14:formula1>
            <xm:f>項目!C17:$QAQ$327681</xm:f>
          </x14:formula1>
          <xm:sqref>QAY327685:QAY327708</xm:sqref>
        </x14:dataValidation>
        <x14:dataValidation type="list" allowBlank="1" showInputMessage="1" showErrorMessage="1" xr:uid="{00000000-0002-0000-0300-00004E110000}">
          <x14:formula1>
            <xm:f>項目!C17:$QKM$327681</xm:f>
          </x14:formula1>
          <xm:sqref>QKU327685:QKU327708</xm:sqref>
        </x14:dataValidation>
        <x14:dataValidation type="list" allowBlank="1" showInputMessage="1" showErrorMessage="1" xr:uid="{00000000-0002-0000-0300-00004F110000}">
          <x14:formula1>
            <xm:f>項目!C17:$QUI$327681</xm:f>
          </x14:formula1>
          <xm:sqref>QUQ327685:QUQ327708</xm:sqref>
        </x14:dataValidation>
        <x14:dataValidation type="list" allowBlank="1" showInputMessage="1" showErrorMessage="1" xr:uid="{00000000-0002-0000-0300-000050110000}">
          <x14:formula1>
            <xm:f>項目!C17:$REE$327681</xm:f>
          </x14:formula1>
          <xm:sqref>REM327685:REM327708</xm:sqref>
        </x14:dataValidation>
        <x14:dataValidation type="list" allowBlank="1" showInputMessage="1" showErrorMessage="1" xr:uid="{00000000-0002-0000-0300-000051110000}">
          <x14:formula1>
            <xm:f>項目!C17:$ROA$327681</xm:f>
          </x14:formula1>
          <xm:sqref>ROI327685:ROI327708</xm:sqref>
        </x14:dataValidation>
        <x14:dataValidation type="list" allowBlank="1" showInputMessage="1" showErrorMessage="1" xr:uid="{00000000-0002-0000-0300-000052110000}">
          <x14:formula1>
            <xm:f>項目!C17:$RXW$327681</xm:f>
          </x14:formula1>
          <xm:sqref>RYE327685:RYE327708</xm:sqref>
        </x14:dataValidation>
        <x14:dataValidation type="list" allowBlank="1" showInputMessage="1" showErrorMessage="1" xr:uid="{00000000-0002-0000-0300-000053110000}">
          <x14:formula1>
            <xm:f>項目!C17:$SHS$327681</xm:f>
          </x14:formula1>
          <xm:sqref>SIA327685:SIA327708</xm:sqref>
        </x14:dataValidation>
        <x14:dataValidation type="list" allowBlank="1" showInputMessage="1" showErrorMessage="1" xr:uid="{00000000-0002-0000-0300-000054110000}">
          <x14:formula1>
            <xm:f>項目!C17:$SRO$327681</xm:f>
          </x14:formula1>
          <xm:sqref>SRW327685:SRW327708</xm:sqref>
        </x14:dataValidation>
        <x14:dataValidation type="list" allowBlank="1" showInputMessage="1" showErrorMessage="1" xr:uid="{00000000-0002-0000-0300-000055110000}">
          <x14:formula1>
            <xm:f>項目!C17:$TBK$327681</xm:f>
          </x14:formula1>
          <xm:sqref>TBS327685:TBS327708</xm:sqref>
        </x14:dataValidation>
        <x14:dataValidation type="list" allowBlank="1" showInputMessage="1" showErrorMessage="1" xr:uid="{00000000-0002-0000-0300-000056110000}">
          <x14:formula1>
            <xm:f>項目!C17:$TLG$327681</xm:f>
          </x14:formula1>
          <xm:sqref>TLO327685:TLO327708</xm:sqref>
        </x14:dataValidation>
        <x14:dataValidation type="list" allowBlank="1" showInputMessage="1" showErrorMessage="1" xr:uid="{00000000-0002-0000-0300-000057110000}">
          <x14:formula1>
            <xm:f>項目!C17:$TVC$327681</xm:f>
          </x14:formula1>
          <xm:sqref>TVK327685:TVK327708</xm:sqref>
        </x14:dataValidation>
        <x14:dataValidation type="list" allowBlank="1" showInputMessage="1" showErrorMessage="1" xr:uid="{00000000-0002-0000-0300-000058110000}">
          <x14:formula1>
            <xm:f>項目!C17:$UEY$327681</xm:f>
          </x14:formula1>
          <xm:sqref>UFG327685:UFG327708</xm:sqref>
        </x14:dataValidation>
        <x14:dataValidation type="list" allowBlank="1" showInputMessage="1" showErrorMessage="1" xr:uid="{00000000-0002-0000-0300-000059110000}">
          <x14:formula1>
            <xm:f>項目!C17:$UOU$327681</xm:f>
          </x14:formula1>
          <xm:sqref>UPC327685:UPC327708</xm:sqref>
        </x14:dataValidation>
        <x14:dataValidation type="list" allowBlank="1" showInputMessage="1" showErrorMessage="1" xr:uid="{00000000-0002-0000-0300-00005A110000}">
          <x14:formula1>
            <xm:f>項目!C17:$UYQ$327681</xm:f>
          </x14:formula1>
          <xm:sqref>UYY327685:UYY327708</xm:sqref>
        </x14:dataValidation>
        <x14:dataValidation type="list" allowBlank="1" showInputMessage="1" showErrorMessage="1" xr:uid="{00000000-0002-0000-0300-00005B110000}">
          <x14:formula1>
            <xm:f>項目!C17:$VIM$327681</xm:f>
          </x14:formula1>
          <xm:sqref>VIU327685:VIU327708</xm:sqref>
        </x14:dataValidation>
        <x14:dataValidation type="list" allowBlank="1" showInputMessage="1" showErrorMessage="1" xr:uid="{00000000-0002-0000-0300-00005C110000}">
          <x14:formula1>
            <xm:f>項目!C17:$VSI$327681</xm:f>
          </x14:formula1>
          <xm:sqref>VSQ327685:VSQ327708</xm:sqref>
        </x14:dataValidation>
        <x14:dataValidation type="list" allowBlank="1" showInputMessage="1" showErrorMessage="1" xr:uid="{00000000-0002-0000-0300-00005D110000}">
          <x14:formula1>
            <xm:f>項目!C17:$WCE$327681</xm:f>
          </x14:formula1>
          <xm:sqref>WCM327685:WCM327708</xm:sqref>
        </x14:dataValidation>
        <x14:dataValidation type="list" allowBlank="1" showInputMessage="1" showErrorMessage="1" xr:uid="{00000000-0002-0000-0300-00005E110000}">
          <x14:formula1>
            <xm:f>項目!C17:$WMA$327681</xm:f>
          </x14:formula1>
          <xm:sqref>WMI327685:WMI327708</xm:sqref>
        </x14:dataValidation>
        <x14:dataValidation type="list" allowBlank="1" showInputMessage="1" showErrorMessage="1" xr:uid="{00000000-0002-0000-0300-00005F110000}">
          <x14:formula1>
            <xm:f>項目!C17:$WVW$327681</xm:f>
          </x14:formula1>
          <xm:sqref>WWE327685:WWE327708</xm:sqref>
        </x14:dataValidation>
        <x14:dataValidation type="list" allowBlank="1" showInputMessage="1" showErrorMessage="1" xr:uid="{00000000-0002-0000-0300-000060110000}">
          <x14:formula1>
            <xm:f>項目!C17:$P$393217</xm:f>
          </x14:formula1>
          <xm:sqref>W393221:W393244</xm:sqref>
        </x14:dataValidation>
        <x14:dataValidation type="list" allowBlank="1" showInputMessage="1" showErrorMessage="1" xr:uid="{00000000-0002-0000-0300-000061110000}">
          <x14:formula1>
            <xm:f>項目!C17:$JK$393217</xm:f>
          </x14:formula1>
          <xm:sqref>JS393221:JS393244</xm:sqref>
        </x14:dataValidation>
        <x14:dataValidation type="list" allowBlank="1" showInputMessage="1" showErrorMessage="1" xr:uid="{00000000-0002-0000-0300-000062110000}">
          <x14:formula1>
            <xm:f>項目!C17:$TG$393217</xm:f>
          </x14:formula1>
          <xm:sqref>TO393221:TO393244</xm:sqref>
        </x14:dataValidation>
        <x14:dataValidation type="list" allowBlank="1" showInputMessage="1" showErrorMessage="1" xr:uid="{00000000-0002-0000-0300-000063110000}">
          <x14:formula1>
            <xm:f>項目!C17:$ADC$393217</xm:f>
          </x14:formula1>
          <xm:sqref>ADK393221:ADK393244</xm:sqref>
        </x14:dataValidation>
        <x14:dataValidation type="list" allowBlank="1" showInputMessage="1" showErrorMessage="1" xr:uid="{00000000-0002-0000-0300-000064110000}">
          <x14:formula1>
            <xm:f>項目!C17:$AMY$393217</xm:f>
          </x14:formula1>
          <xm:sqref>ANG393221:ANG393244</xm:sqref>
        </x14:dataValidation>
        <x14:dataValidation type="list" allowBlank="1" showInputMessage="1" showErrorMessage="1" xr:uid="{00000000-0002-0000-0300-000065110000}">
          <x14:formula1>
            <xm:f>項目!C17:$AWU$393217</xm:f>
          </x14:formula1>
          <xm:sqref>AXC393221:AXC393244</xm:sqref>
        </x14:dataValidation>
        <x14:dataValidation type="list" allowBlank="1" showInputMessage="1" showErrorMessage="1" xr:uid="{00000000-0002-0000-0300-000066110000}">
          <x14:formula1>
            <xm:f>項目!C17:$BGQ$393217</xm:f>
          </x14:formula1>
          <xm:sqref>BGY393221:BGY393244</xm:sqref>
        </x14:dataValidation>
        <x14:dataValidation type="list" allowBlank="1" showInputMessage="1" showErrorMessage="1" xr:uid="{00000000-0002-0000-0300-000067110000}">
          <x14:formula1>
            <xm:f>項目!C17:$BQM$393217</xm:f>
          </x14:formula1>
          <xm:sqref>BQU393221:BQU393244</xm:sqref>
        </x14:dataValidation>
        <x14:dataValidation type="list" allowBlank="1" showInputMessage="1" showErrorMessage="1" xr:uid="{00000000-0002-0000-0300-000068110000}">
          <x14:formula1>
            <xm:f>項目!C17:$CAI$393217</xm:f>
          </x14:formula1>
          <xm:sqref>CAQ393221:CAQ393244</xm:sqref>
        </x14:dataValidation>
        <x14:dataValidation type="list" allowBlank="1" showInputMessage="1" showErrorMessage="1" xr:uid="{00000000-0002-0000-0300-000069110000}">
          <x14:formula1>
            <xm:f>項目!C17:$CKE$393217</xm:f>
          </x14:formula1>
          <xm:sqref>CKM393221:CKM393244</xm:sqref>
        </x14:dataValidation>
        <x14:dataValidation type="list" allowBlank="1" showInputMessage="1" showErrorMessage="1" xr:uid="{00000000-0002-0000-0300-00006A110000}">
          <x14:formula1>
            <xm:f>項目!C17:$CUA$393217</xm:f>
          </x14:formula1>
          <xm:sqref>CUI393221:CUI393244</xm:sqref>
        </x14:dataValidation>
        <x14:dataValidation type="list" allowBlank="1" showInputMessage="1" showErrorMessage="1" xr:uid="{00000000-0002-0000-0300-00006B110000}">
          <x14:formula1>
            <xm:f>項目!C17:$DDW$393217</xm:f>
          </x14:formula1>
          <xm:sqref>DEE393221:DEE393244</xm:sqref>
        </x14:dataValidation>
        <x14:dataValidation type="list" allowBlank="1" showInputMessage="1" showErrorMessage="1" xr:uid="{00000000-0002-0000-0300-00006C110000}">
          <x14:formula1>
            <xm:f>項目!C17:$DNS$393217</xm:f>
          </x14:formula1>
          <xm:sqref>DOA393221:DOA393244</xm:sqref>
        </x14:dataValidation>
        <x14:dataValidation type="list" allowBlank="1" showInputMessage="1" showErrorMessage="1" xr:uid="{00000000-0002-0000-0300-00006D110000}">
          <x14:formula1>
            <xm:f>項目!C17:$DXO$393217</xm:f>
          </x14:formula1>
          <xm:sqref>DXW393221:DXW393244</xm:sqref>
        </x14:dataValidation>
        <x14:dataValidation type="list" allowBlank="1" showInputMessage="1" showErrorMessage="1" xr:uid="{00000000-0002-0000-0300-00006E110000}">
          <x14:formula1>
            <xm:f>項目!C17:$EHK$393217</xm:f>
          </x14:formula1>
          <xm:sqref>EHS393221:EHS393244</xm:sqref>
        </x14:dataValidation>
        <x14:dataValidation type="list" allowBlank="1" showInputMessage="1" showErrorMessage="1" xr:uid="{00000000-0002-0000-0300-00006F110000}">
          <x14:formula1>
            <xm:f>項目!C17:$ERG$393217</xm:f>
          </x14:formula1>
          <xm:sqref>ERO393221:ERO393244</xm:sqref>
        </x14:dataValidation>
        <x14:dataValidation type="list" allowBlank="1" showInputMessage="1" showErrorMessage="1" xr:uid="{00000000-0002-0000-0300-000070110000}">
          <x14:formula1>
            <xm:f>項目!C17:$FBC$393217</xm:f>
          </x14:formula1>
          <xm:sqref>FBK393221:FBK393244</xm:sqref>
        </x14:dataValidation>
        <x14:dataValidation type="list" allowBlank="1" showInputMessage="1" showErrorMessage="1" xr:uid="{00000000-0002-0000-0300-000071110000}">
          <x14:formula1>
            <xm:f>項目!C17:$FKY$393217</xm:f>
          </x14:formula1>
          <xm:sqref>FLG393221:FLG393244</xm:sqref>
        </x14:dataValidation>
        <x14:dataValidation type="list" allowBlank="1" showInputMessage="1" showErrorMessage="1" xr:uid="{00000000-0002-0000-0300-000072110000}">
          <x14:formula1>
            <xm:f>項目!C17:$FUU$393217</xm:f>
          </x14:formula1>
          <xm:sqref>FVC393221:FVC393244</xm:sqref>
        </x14:dataValidation>
        <x14:dataValidation type="list" allowBlank="1" showInputMessage="1" showErrorMessage="1" xr:uid="{00000000-0002-0000-0300-000073110000}">
          <x14:formula1>
            <xm:f>項目!C17:$GEQ$393217</xm:f>
          </x14:formula1>
          <xm:sqref>GEY393221:GEY393244</xm:sqref>
        </x14:dataValidation>
        <x14:dataValidation type="list" allowBlank="1" showInputMessage="1" showErrorMessage="1" xr:uid="{00000000-0002-0000-0300-000074110000}">
          <x14:formula1>
            <xm:f>項目!C17:$GOM$393217</xm:f>
          </x14:formula1>
          <xm:sqref>GOU393221:GOU393244</xm:sqref>
        </x14:dataValidation>
        <x14:dataValidation type="list" allowBlank="1" showInputMessage="1" showErrorMessage="1" xr:uid="{00000000-0002-0000-0300-000075110000}">
          <x14:formula1>
            <xm:f>項目!C17:$GYI$393217</xm:f>
          </x14:formula1>
          <xm:sqref>GYQ393221:GYQ393244</xm:sqref>
        </x14:dataValidation>
        <x14:dataValidation type="list" allowBlank="1" showInputMessage="1" showErrorMessage="1" xr:uid="{00000000-0002-0000-0300-000076110000}">
          <x14:formula1>
            <xm:f>項目!C17:$HIE$393217</xm:f>
          </x14:formula1>
          <xm:sqref>HIM393221:HIM393244</xm:sqref>
        </x14:dataValidation>
        <x14:dataValidation type="list" allowBlank="1" showInputMessage="1" showErrorMessage="1" xr:uid="{00000000-0002-0000-0300-000077110000}">
          <x14:formula1>
            <xm:f>項目!C17:$HSA$393217</xm:f>
          </x14:formula1>
          <xm:sqref>HSI393221:HSI393244</xm:sqref>
        </x14:dataValidation>
        <x14:dataValidation type="list" allowBlank="1" showInputMessage="1" showErrorMessage="1" xr:uid="{00000000-0002-0000-0300-000078110000}">
          <x14:formula1>
            <xm:f>項目!C17:$IBW$393217</xm:f>
          </x14:formula1>
          <xm:sqref>ICE393221:ICE393244</xm:sqref>
        </x14:dataValidation>
        <x14:dataValidation type="list" allowBlank="1" showInputMessage="1" showErrorMessage="1" xr:uid="{00000000-0002-0000-0300-000079110000}">
          <x14:formula1>
            <xm:f>項目!C17:$ILS$393217</xm:f>
          </x14:formula1>
          <xm:sqref>IMA393221:IMA393244</xm:sqref>
        </x14:dataValidation>
        <x14:dataValidation type="list" allowBlank="1" showInputMessage="1" showErrorMessage="1" xr:uid="{00000000-0002-0000-0300-00007A110000}">
          <x14:formula1>
            <xm:f>項目!C17:$IVO$393217</xm:f>
          </x14:formula1>
          <xm:sqref>IVW393221:IVW393244</xm:sqref>
        </x14:dataValidation>
        <x14:dataValidation type="list" allowBlank="1" showInputMessage="1" showErrorMessage="1" xr:uid="{00000000-0002-0000-0300-00007B110000}">
          <x14:formula1>
            <xm:f>項目!C17:$JFK$393217</xm:f>
          </x14:formula1>
          <xm:sqref>JFS393221:JFS393244</xm:sqref>
        </x14:dataValidation>
        <x14:dataValidation type="list" allowBlank="1" showInputMessage="1" showErrorMessage="1" xr:uid="{00000000-0002-0000-0300-00007C110000}">
          <x14:formula1>
            <xm:f>項目!C17:$JPG$393217</xm:f>
          </x14:formula1>
          <xm:sqref>JPO393221:JPO393244</xm:sqref>
        </x14:dataValidation>
        <x14:dataValidation type="list" allowBlank="1" showInputMessage="1" showErrorMessage="1" xr:uid="{00000000-0002-0000-0300-00007D110000}">
          <x14:formula1>
            <xm:f>項目!C17:$JZC$393217</xm:f>
          </x14:formula1>
          <xm:sqref>JZK393221:JZK393244</xm:sqref>
        </x14:dataValidation>
        <x14:dataValidation type="list" allowBlank="1" showInputMessage="1" showErrorMessage="1" xr:uid="{00000000-0002-0000-0300-00007E110000}">
          <x14:formula1>
            <xm:f>項目!C17:$KIY$393217</xm:f>
          </x14:formula1>
          <xm:sqref>KJG393221:KJG393244</xm:sqref>
        </x14:dataValidation>
        <x14:dataValidation type="list" allowBlank="1" showInputMessage="1" showErrorMessage="1" xr:uid="{00000000-0002-0000-0300-00007F110000}">
          <x14:formula1>
            <xm:f>項目!C17:$KSU$393217</xm:f>
          </x14:formula1>
          <xm:sqref>KTC393221:KTC393244</xm:sqref>
        </x14:dataValidation>
        <x14:dataValidation type="list" allowBlank="1" showInputMessage="1" showErrorMessage="1" xr:uid="{00000000-0002-0000-0300-000080110000}">
          <x14:formula1>
            <xm:f>項目!C17:$LCQ$393217</xm:f>
          </x14:formula1>
          <xm:sqref>LCY393221:LCY393244</xm:sqref>
        </x14:dataValidation>
        <x14:dataValidation type="list" allowBlank="1" showInputMessage="1" showErrorMessage="1" xr:uid="{00000000-0002-0000-0300-000081110000}">
          <x14:formula1>
            <xm:f>項目!C17:$LMM$393217</xm:f>
          </x14:formula1>
          <xm:sqref>LMU393221:LMU393244</xm:sqref>
        </x14:dataValidation>
        <x14:dataValidation type="list" allowBlank="1" showInputMessage="1" showErrorMessage="1" xr:uid="{00000000-0002-0000-0300-000082110000}">
          <x14:formula1>
            <xm:f>項目!C17:$LWI$393217</xm:f>
          </x14:formula1>
          <xm:sqref>LWQ393221:LWQ393244</xm:sqref>
        </x14:dataValidation>
        <x14:dataValidation type="list" allowBlank="1" showInputMessage="1" showErrorMessage="1" xr:uid="{00000000-0002-0000-0300-000083110000}">
          <x14:formula1>
            <xm:f>項目!C17:$MGE$393217</xm:f>
          </x14:formula1>
          <xm:sqref>MGM393221:MGM393244</xm:sqref>
        </x14:dataValidation>
        <x14:dataValidation type="list" allowBlank="1" showInputMessage="1" showErrorMessage="1" xr:uid="{00000000-0002-0000-0300-000084110000}">
          <x14:formula1>
            <xm:f>項目!C17:$MQA$393217</xm:f>
          </x14:formula1>
          <xm:sqref>MQI393221:MQI393244</xm:sqref>
        </x14:dataValidation>
        <x14:dataValidation type="list" allowBlank="1" showInputMessage="1" showErrorMessage="1" xr:uid="{00000000-0002-0000-0300-000085110000}">
          <x14:formula1>
            <xm:f>項目!C17:$MZW$393217</xm:f>
          </x14:formula1>
          <xm:sqref>NAE393221:NAE393244</xm:sqref>
        </x14:dataValidation>
        <x14:dataValidation type="list" allowBlank="1" showInputMessage="1" showErrorMessage="1" xr:uid="{00000000-0002-0000-0300-000086110000}">
          <x14:formula1>
            <xm:f>項目!C17:$NJS$393217</xm:f>
          </x14:formula1>
          <xm:sqref>NKA393221:NKA393244</xm:sqref>
        </x14:dataValidation>
        <x14:dataValidation type="list" allowBlank="1" showInputMessage="1" showErrorMessage="1" xr:uid="{00000000-0002-0000-0300-000087110000}">
          <x14:formula1>
            <xm:f>項目!C17:$NTO$393217</xm:f>
          </x14:formula1>
          <xm:sqref>NTW393221:NTW393244</xm:sqref>
        </x14:dataValidation>
        <x14:dataValidation type="list" allowBlank="1" showInputMessage="1" showErrorMessage="1" xr:uid="{00000000-0002-0000-0300-000088110000}">
          <x14:formula1>
            <xm:f>項目!C17:$ODK$393217</xm:f>
          </x14:formula1>
          <xm:sqref>ODS393221:ODS393244</xm:sqref>
        </x14:dataValidation>
        <x14:dataValidation type="list" allowBlank="1" showInputMessage="1" showErrorMessage="1" xr:uid="{00000000-0002-0000-0300-000089110000}">
          <x14:formula1>
            <xm:f>項目!C17:$ONG$393217</xm:f>
          </x14:formula1>
          <xm:sqref>ONO393221:ONO393244</xm:sqref>
        </x14:dataValidation>
        <x14:dataValidation type="list" allowBlank="1" showInputMessage="1" showErrorMessage="1" xr:uid="{00000000-0002-0000-0300-00008A110000}">
          <x14:formula1>
            <xm:f>項目!C17:$OXC$393217</xm:f>
          </x14:formula1>
          <xm:sqref>OXK393221:OXK393244</xm:sqref>
        </x14:dataValidation>
        <x14:dataValidation type="list" allowBlank="1" showInputMessage="1" showErrorMessage="1" xr:uid="{00000000-0002-0000-0300-00008B110000}">
          <x14:formula1>
            <xm:f>項目!C17:$PGY$393217</xm:f>
          </x14:formula1>
          <xm:sqref>PHG393221:PHG393244</xm:sqref>
        </x14:dataValidation>
        <x14:dataValidation type="list" allowBlank="1" showInputMessage="1" showErrorMessage="1" xr:uid="{00000000-0002-0000-0300-00008C110000}">
          <x14:formula1>
            <xm:f>項目!C17:$PQU$393217</xm:f>
          </x14:formula1>
          <xm:sqref>PRC393221:PRC393244</xm:sqref>
        </x14:dataValidation>
        <x14:dataValidation type="list" allowBlank="1" showInputMessage="1" showErrorMessage="1" xr:uid="{00000000-0002-0000-0300-00008D110000}">
          <x14:formula1>
            <xm:f>項目!C17:$QAQ$393217</xm:f>
          </x14:formula1>
          <xm:sqref>QAY393221:QAY393244</xm:sqref>
        </x14:dataValidation>
        <x14:dataValidation type="list" allowBlank="1" showInputMessage="1" showErrorMessage="1" xr:uid="{00000000-0002-0000-0300-00008E110000}">
          <x14:formula1>
            <xm:f>項目!C17:$QKM$393217</xm:f>
          </x14:formula1>
          <xm:sqref>QKU393221:QKU393244</xm:sqref>
        </x14:dataValidation>
        <x14:dataValidation type="list" allowBlank="1" showInputMessage="1" showErrorMessage="1" xr:uid="{00000000-0002-0000-0300-00008F110000}">
          <x14:formula1>
            <xm:f>項目!C17:$QUI$393217</xm:f>
          </x14:formula1>
          <xm:sqref>QUQ393221:QUQ393244</xm:sqref>
        </x14:dataValidation>
        <x14:dataValidation type="list" allowBlank="1" showInputMessage="1" showErrorMessage="1" xr:uid="{00000000-0002-0000-0300-000090110000}">
          <x14:formula1>
            <xm:f>項目!C17:$REE$393217</xm:f>
          </x14:formula1>
          <xm:sqref>REM393221:REM393244</xm:sqref>
        </x14:dataValidation>
        <x14:dataValidation type="list" allowBlank="1" showInputMessage="1" showErrorMessage="1" xr:uid="{00000000-0002-0000-0300-000091110000}">
          <x14:formula1>
            <xm:f>項目!C17:$ROA$393217</xm:f>
          </x14:formula1>
          <xm:sqref>ROI393221:ROI393244</xm:sqref>
        </x14:dataValidation>
        <x14:dataValidation type="list" allowBlank="1" showInputMessage="1" showErrorMessage="1" xr:uid="{00000000-0002-0000-0300-000092110000}">
          <x14:formula1>
            <xm:f>項目!C17:$RXW$393217</xm:f>
          </x14:formula1>
          <xm:sqref>RYE393221:RYE393244</xm:sqref>
        </x14:dataValidation>
        <x14:dataValidation type="list" allowBlank="1" showInputMessage="1" showErrorMessage="1" xr:uid="{00000000-0002-0000-0300-000093110000}">
          <x14:formula1>
            <xm:f>項目!C17:$SHS$393217</xm:f>
          </x14:formula1>
          <xm:sqref>SIA393221:SIA393244</xm:sqref>
        </x14:dataValidation>
        <x14:dataValidation type="list" allowBlank="1" showInputMessage="1" showErrorMessage="1" xr:uid="{00000000-0002-0000-0300-000094110000}">
          <x14:formula1>
            <xm:f>項目!C17:$SRO$393217</xm:f>
          </x14:formula1>
          <xm:sqref>SRW393221:SRW393244</xm:sqref>
        </x14:dataValidation>
        <x14:dataValidation type="list" allowBlank="1" showInputMessage="1" showErrorMessage="1" xr:uid="{00000000-0002-0000-0300-000095110000}">
          <x14:formula1>
            <xm:f>項目!C17:$TBK$393217</xm:f>
          </x14:formula1>
          <xm:sqref>TBS393221:TBS393244</xm:sqref>
        </x14:dataValidation>
        <x14:dataValidation type="list" allowBlank="1" showInputMessage="1" showErrorMessage="1" xr:uid="{00000000-0002-0000-0300-000096110000}">
          <x14:formula1>
            <xm:f>項目!C17:$TLG$393217</xm:f>
          </x14:formula1>
          <xm:sqref>TLO393221:TLO393244</xm:sqref>
        </x14:dataValidation>
        <x14:dataValidation type="list" allowBlank="1" showInputMessage="1" showErrorMessage="1" xr:uid="{00000000-0002-0000-0300-000097110000}">
          <x14:formula1>
            <xm:f>項目!C17:$TVC$393217</xm:f>
          </x14:formula1>
          <xm:sqref>TVK393221:TVK393244</xm:sqref>
        </x14:dataValidation>
        <x14:dataValidation type="list" allowBlank="1" showInputMessage="1" showErrorMessage="1" xr:uid="{00000000-0002-0000-0300-000098110000}">
          <x14:formula1>
            <xm:f>項目!C17:$UEY$393217</xm:f>
          </x14:formula1>
          <xm:sqref>UFG393221:UFG393244</xm:sqref>
        </x14:dataValidation>
        <x14:dataValidation type="list" allowBlank="1" showInputMessage="1" showErrorMessage="1" xr:uid="{00000000-0002-0000-0300-000099110000}">
          <x14:formula1>
            <xm:f>項目!C17:$UOU$393217</xm:f>
          </x14:formula1>
          <xm:sqref>UPC393221:UPC393244</xm:sqref>
        </x14:dataValidation>
        <x14:dataValidation type="list" allowBlank="1" showInputMessage="1" showErrorMessage="1" xr:uid="{00000000-0002-0000-0300-00009A110000}">
          <x14:formula1>
            <xm:f>項目!C17:$UYQ$393217</xm:f>
          </x14:formula1>
          <xm:sqref>UYY393221:UYY393244</xm:sqref>
        </x14:dataValidation>
        <x14:dataValidation type="list" allowBlank="1" showInputMessage="1" showErrorMessage="1" xr:uid="{00000000-0002-0000-0300-00009B110000}">
          <x14:formula1>
            <xm:f>項目!C17:$VIM$393217</xm:f>
          </x14:formula1>
          <xm:sqref>VIU393221:VIU393244</xm:sqref>
        </x14:dataValidation>
        <x14:dataValidation type="list" allowBlank="1" showInputMessage="1" showErrorMessage="1" xr:uid="{00000000-0002-0000-0300-00009C110000}">
          <x14:formula1>
            <xm:f>項目!C17:$VSI$393217</xm:f>
          </x14:formula1>
          <xm:sqref>VSQ393221:VSQ393244</xm:sqref>
        </x14:dataValidation>
        <x14:dataValidation type="list" allowBlank="1" showInputMessage="1" showErrorMessage="1" xr:uid="{00000000-0002-0000-0300-00009D110000}">
          <x14:formula1>
            <xm:f>項目!C17:$WCE$393217</xm:f>
          </x14:formula1>
          <xm:sqref>WCM393221:WCM393244</xm:sqref>
        </x14:dataValidation>
        <x14:dataValidation type="list" allowBlank="1" showInputMessage="1" showErrorMessage="1" xr:uid="{00000000-0002-0000-0300-00009E110000}">
          <x14:formula1>
            <xm:f>項目!C17:$WMA$393217</xm:f>
          </x14:formula1>
          <xm:sqref>WMI393221:WMI393244</xm:sqref>
        </x14:dataValidation>
        <x14:dataValidation type="list" allowBlank="1" showInputMessage="1" showErrorMessage="1" xr:uid="{00000000-0002-0000-0300-00009F110000}">
          <x14:formula1>
            <xm:f>項目!C17:$WVW$393217</xm:f>
          </x14:formula1>
          <xm:sqref>WWE393221:WWE393244</xm:sqref>
        </x14:dataValidation>
        <x14:dataValidation type="list" allowBlank="1" showInputMessage="1" showErrorMessage="1" xr:uid="{00000000-0002-0000-0300-0000A0110000}">
          <x14:formula1>
            <xm:f>項目!C17:$P$458753</xm:f>
          </x14:formula1>
          <xm:sqref>W458757:W458780</xm:sqref>
        </x14:dataValidation>
        <x14:dataValidation type="list" allowBlank="1" showInputMessage="1" showErrorMessage="1" xr:uid="{00000000-0002-0000-0300-0000A1110000}">
          <x14:formula1>
            <xm:f>項目!C17:$JK$458753</xm:f>
          </x14:formula1>
          <xm:sqref>JS458757:JS458780</xm:sqref>
        </x14:dataValidation>
        <x14:dataValidation type="list" allowBlank="1" showInputMessage="1" showErrorMessage="1" xr:uid="{00000000-0002-0000-0300-0000A2110000}">
          <x14:formula1>
            <xm:f>項目!C17:$TG$458753</xm:f>
          </x14:formula1>
          <xm:sqref>TO458757:TO458780</xm:sqref>
        </x14:dataValidation>
        <x14:dataValidation type="list" allowBlank="1" showInputMessage="1" showErrorMessage="1" xr:uid="{00000000-0002-0000-0300-0000A3110000}">
          <x14:formula1>
            <xm:f>項目!C17:$ADC$458753</xm:f>
          </x14:formula1>
          <xm:sqref>ADK458757:ADK458780</xm:sqref>
        </x14:dataValidation>
        <x14:dataValidation type="list" allowBlank="1" showInputMessage="1" showErrorMessage="1" xr:uid="{00000000-0002-0000-0300-0000A4110000}">
          <x14:formula1>
            <xm:f>項目!C17:$AMY$458753</xm:f>
          </x14:formula1>
          <xm:sqref>ANG458757:ANG458780</xm:sqref>
        </x14:dataValidation>
        <x14:dataValidation type="list" allowBlank="1" showInputMessage="1" showErrorMessage="1" xr:uid="{00000000-0002-0000-0300-0000A5110000}">
          <x14:formula1>
            <xm:f>項目!C17:$AWU$458753</xm:f>
          </x14:formula1>
          <xm:sqref>AXC458757:AXC458780</xm:sqref>
        </x14:dataValidation>
        <x14:dataValidation type="list" allowBlank="1" showInputMessage="1" showErrorMessage="1" xr:uid="{00000000-0002-0000-0300-0000A6110000}">
          <x14:formula1>
            <xm:f>項目!C17:$BGQ$458753</xm:f>
          </x14:formula1>
          <xm:sqref>BGY458757:BGY458780</xm:sqref>
        </x14:dataValidation>
        <x14:dataValidation type="list" allowBlank="1" showInputMessage="1" showErrorMessage="1" xr:uid="{00000000-0002-0000-0300-0000A7110000}">
          <x14:formula1>
            <xm:f>項目!C17:$BQM$458753</xm:f>
          </x14:formula1>
          <xm:sqref>BQU458757:BQU458780</xm:sqref>
        </x14:dataValidation>
        <x14:dataValidation type="list" allowBlank="1" showInputMessage="1" showErrorMessage="1" xr:uid="{00000000-0002-0000-0300-0000A8110000}">
          <x14:formula1>
            <xm:f>項目!C17:$CAI$458753</xm:f>
          </x14:formula1>
          <xm:sqref>CAQ458757:CAQ458780</xm:sqref>
        </x14:dataValidation>
        <x14:dataValidation type="list" allowBlank="1" showInputMessage="1" showErrorMessage="1" xr:uid="{00000000-0002-0000-0300-0000A9110000}">
          <x14:formula1>
            <xm:f>項目!C17:$CKE$458753</xm:f>
          </x14:formula1>
          <xm:sqref>CKM458757:CKM458780</xm:sqref>
        </x14:dataValidation>
        <x14:dataValidation type="list" allowBlank="1" showInputMessage="1" showErrorMessage="1" xr:uid="{00000000-0002-0000-0300-0000AA110000}">
          <x14:formula1>
            <xm:f>項目!C17:$CUA$458753</xm:f>
          </x14:formula1>
          <xm:sqref>CUI458757:CUI458780</xm:sqref>
        </x14:dataValidation>
        <x14:dataValidation type="list" allowBlank="1" showInputMessage="1" showErrorMessage="1" xr:uid="{00000000-0002-0000-0300-0000AB110000}">
          <x14:formula1>
            <xm:f>項目!C17:$DDW$458753</xm:f>
          </x14:formula1>
          <xm:sqref>DEE458757:DEE458780</xm:sqref>
        </x14:dataValidation>
        <x14:dataValidation type="list" allowBlank="1" showInputMessage="1" showErrorMessage="1" xr:uid="{00000000-0002-0000-0300-0000AC110000}">
          <x14:formula1>
            <xm:f>項目!C17:$DNS$458753</xm:f>
          </x14:formula1>
          <xm:sqref>DOA458757:DOA458780</xm:sqref>
        </x14:dataValidation>
        <x14:dataValidation type="list" allowBlank="1" showInputMessage="1" showErrorMessage="1" xr:uid="{00000000-0002-0000-0300-0000AD110000}">
          <x14:formula1>
            <xm:f>項目!C17:$DXO$458753</xm:f>
          </x14:formula1>
          <xm:sqref>DXW458757:DXW458780</xm:sqref>
        </x14:dataValidation>
        <x14:dataValidation type="list" allowBlank="1" showInputMessage="1" showErrorMessage="1" xr:uid="{00000000-0002-0000-0300-0000AE110000}">
          <x14:formula1>
            <xm:f>項目!C17:$EHK$458753</xm:f>
          </x14:formula1>
          <xm:sqref>EHS458757:EHS458780</xm:sqref>
        </x14:dataValidation>
        <x14:dataValidation type="list" allowBlank="1" showInputMessage="1" showErrorMessage="1" xr:uid="{00000000-0002-0000-0300-0000AF110000}">
          <x14:formula1>
            <xm:f>項目!C17:$ERG$458753</xm:f>
          </x14:formula1>
          <xm:sqref>ERO458757:ERO458780</xm:sqref>
        </x14:dataValidation>
        <x14:dataValidation type="list" allowBlank="1" showInputMessage="1" showErrorMessage="1" xr:uid="{00000000-0002-0000-0300-0000B0110000}">
          <x14:formula1>
            <xm:f>項目!C17:$FBC$458753</xm:f>
          </x14:formula1>
          <xm:sqref>FBK458757:FBK458780</xm:sqref>
        </x14:dataValidation>
        <x14:dataValidation type="list" allowBlank="1" showInputMessage="1" showErrorMessage="1" xr:uid="{00000000-0002-0000-0300-0000B1110000}">
          <x14:formula1>
            <xm:f>項目!C17:$FKY$458753</xm:f>
          </x14:formula1>
          <xm:sqref>FLG458757:FLG458780</xm:sqref>
        </x14:dataValidation>
        <x14:dataValidation type="list" allowBlank="1" showInputMessage="1" showErrorMessage="1" xr:uid="{00000000-0002-0000-0300-0000B2110000}">
          <x14:formula1>
            <xm:f>項目!C17:$FUU$458753</xm:f>
          </x14:formula1>
          <xm:sqref>FVC458757:FVC458780</xm:sqref>
        </x14:dataValidation>
        <x14:dataValidation type="list" allowBlank="1" showInputMessage="1" showErrorMessage="1" xr:uid="{00000000-0002-0000-0300-0000B3110000}">
          <x14:formula1>
            <xm:f>項目!C17:$GEQ$458753</xm:f>
          </x14:formula1>
          <xm:sqref>GEY458757:GEY458780</xm:sqref>
        </x14:dataValidation>
        <x14:dataValidation type="list" allowBlank="1" showInputMessage="1" showErrorMessage="1" xr:uid="{00000000-0002-0000-0300-0000B4110000}">
          <x14:formula1>
            <xm:f>項目!C17:$GOM$458753</xm:f>
          </x14:formula1>
          <xm:sqref>GOU458757:GOU458780</xm:sqref>
        </x14:dataValidation>
        <x14:dataValidation type="list" allowBlank="1" showInputMessage="1" showErrorMessage="1" xr:uid="{00000000-0002-0000-0300-0000B5110000}">
          <x14:formula1>
            <xm:f>項目!C17:$GYI$458753</xm:f>
          </x14:formula1>
          <xm:sqref>GYQ458757:GYQ458780</xm:sqref>
        </x14:dataValidation>
        <x14:dataValidation type="list" allowBlank="1" showInputMessage="1" showErrorMessage="1" xr:uid="{00000000-0002-0000-0300-0000B6110000}">
          <x14:formula1>
            <xm:f>項目!C17:$HIE$458753</xm:f>
          </x14:formula1>
          <xm:sqref>HIM458757:HIM458780</xm:sqref>
        </x14:dataValidation>
        <x14:dataValidation type="list" allowBlank="1" showInputMessage="1" showErrorMessage="1" xr:uid="{00000000-0002-0000-0300-0000B7110000}">
          <x14:formula1>
            <xm:f>項目!C17:$HSA$458753</xm:f>
          </x14:formula1>
          <xm:sqref>HSI458757:HSI458780</xm:sqref>
        </x14:dataValidation>
        <x14:dataValidation type="list" allowBlank="1" showInputMessage="1" showErrorMessage="1" xr:uid="{00000000-0002-0000-0300-0000B8110000}">
          <x14:formula1>
            <xm:f>項目!C17:$IBW$458753</xm:f>
          </x14:formula1>
          <xm:sqref>ICE458757:ICE458780</xm:sqref>
        </x14:dataValidation>
        <x14:dataValidation type="list" allowBlank="1" showInputMessage="1" showErrorMessage="1" xr:uid="{00000000-0002-0000-0300-0000B9110000}">
          <x14:formula1>
            <xm:f>項目!C17:$ILS$458753</xm:f>
          </x14:formula1>
          <xm:sqref>IMA458757:IMA458780</xm:sqref>
        </x14:dataValidation>
        <x14:dataValidation type="list" allowBlank="1" showInputMessage="1" showErrorMessage="1" xr:uid="{00000000-0002-0000-0300-0000BA110000}">
          <x14:formula1>
            <xm:f>項目!C17:$IVO$458753</xm:f>
          </x14:formula1>
          <xm:sqref>IVW458757:IVW458780</xm:sqref>
        </x14:dataValidation>
        <x14:dataValidation type="list" allowBlank="1" showInputMessage="1" showErrorMessage="1" xr:uid="{00000000-0002-0000-0300-0000BB110000}">
          <x14:formula1>
            <xm:f>項目!C17:$JFK$458753</xm:f>
          </x14:formula1>
          <xm:sqref>JFS458757:JFS458780</xm:sqref>
        </x14:dataValidation>
        <x14:dataValidation type="list" allowBlank="1" showInputMessage="1" showErrorMessage="1" xr:uid="{00000000-0002-0000-0300-0000BC110000}">
          <x14:formula1>
            <xm:f>項目!C17:$JPG$458753</xm:f>
          </x14:formula1>
          <xm:sqref>JPO458757:JPO458780</xm:sqref>
        </x14:dataValidation>
        <x14:dataValidation type="list" allowBlank="1" showInputMessage="1" showErrorMessage="1" xr:uid="{00000000-0002-0000-0300-0000BD110000}">
          <x14:formula1>
            <xm:f>項目!C17:$JZC$458753</xm:f>
          </x14:formula1>
          <xm:sqref>JZK458757:JZK458780</xm:sqref>
        </x14:dataValidation>
        <x14:dataValidation type="list" allowBlank="1" showInputMessage="1" showErrorMessage="1" xr:uid="{00000000-0002-0000-0300-0000BE110000}">
          <x14:formula1>
            <xm:f>項目!C17:$KIY$458753</xm:f>
          </x14:formula1>
          <xm:sqref>KJG458757:KJG458780</xm:sqref>
        </x14:dataValidation>
        <x14:dataValidation type="list" allowBlank="1" showInputMessage="1" showErrorMessage="1" xr:uid="{00000000-0002-0000-0300-0000BF110000}">
          <x14:formula1>
            <xm:f>項目!C17:$KSU$458753</xm:f>
          </x14:formula1>
          <xm:sqref>KTC458757:KTC458780</xm:sqref>
        </x14:dataValidation>
        <x14:dataValidation type="list" allowBlank="1" showInputMessage="1" showErrorMessage="1" xr:uid="{00000000-0002-0000-0300-0000C0110000}">
          <x14:formula1>
            <xm:f>項目!C17:$LCQ$458753</xm:f>
          </x14:formula1>
          <xm:sqref>LCY458757:LCY458780</xm:sqref>
        </x14:dataValidation>
        <x14:dataValidation type="list" allowBlank="1" showInputMessage="1" showErrorMessage="1" xr:uid="{00000000-0002-0000-0300-0000C1110000}">
          <x14:formula1>
            <xm:f>項目!C17:$LMM$458753</xm:f>
          </x14:formula1>
          <xm:sqref>LMU458757:LMU458780</xm:sqref>
        </x14:dataValidation>
        <x14:dataValidation type="list" allowBlank="1" showInputMessage="1" showErrorMessage="1" xr:uid="{00000000-0002-0000-0300-0000C2110000}">
          <x14:formula1>
            <xm:f>項目!C17:$LWI$458753</xm:f>
          </x14:formula1>
          <xm:sqref>LWQ458757:LWQ458780</xm:sqref>
        </x14:dataValidation>
        <x14:dataValidation type="list" allowBlank="1" showInputMessage="1" showErrorMessage="1" xr:uid="{00000000-0002-0000-0300-0000C3110000}">
          <x14:formula1>
            <xm:f>項目!C17:$MGE$458753</xm:f>
          </x14:formula1>
          <xm:sqref>MGM458757:MGM458780</xm:sqref>
        </x14:dataValidation>
        <x14:dataValidation type="list" allowBlank="1" showInputMessage="1" showErrorMessage="1" xr:uid="{00000000-0002-0000-0300-0000C4110000}">
          <x14:formula1>
            <xm:f>項目!C17:$MQA$458753</xm:f>
          </x14:formula1>
          <xm:sqref>MQI458757:MQI458780</xm:sqref>
        </x14:dataValidation>
        <x14:dataValidation type="list" allowBlank="1" showInputMessage="1" showErrorMessage="1" xr:uid="{00000000-0002-0000-0300-0000C5110000}">
          <x14:formula1>
            <xm:f>項目!C17:$MZW$458753</xm:f>
          </x14:formula1>
          <xm:sqref>NAE458757:NAE458780</xm:sqref>
        </x14:dataValidation>
        <x14:dataValidation type="list" allowBlank="1" showInputMessage="1" showErrorMessage="1" xr:uid="{00000000-0002-0000-0300-0000C6110000}">
          <x14:formula1>
            <xm:f>項目!C17:$NJS$458753</xm:f>
          </x14:formula1>
          <xm:sqref>NKA458757:NKA458780</xm:sqref>
        </x14:dataValidation>
        <x14:dataValidation type="list" allowBlank="1" showInputMessage="1" showErrorMessage="1" xr:uid="{00000000-0002-0000-0300-0000C7110000}">
          <x14:formula1>
            <xm:f>項目!C17:$NTO$458753</xm:f>
          </x14:formula1>
          <xm:sqref>NTW458757:NTW458780</xm:sqref>
        </x14:dataValidation>
        <x14:dataValidation type="list" allowBlank="1" showInputMessage="1" showErrorMessage="1" xr:uid="{00000000-0002-0000-0300-0000C8110000}">
          <x14:formula1>
            <xm:f>項目!C17:$ODK$458753</xm:f>
          </x14:formula1>
          <xm:sqref>ODS458757:ODS458780</xm:sqref>
        </x14:dataValidation>
        <x14:dataValidation type="list" allowBlank="1" showInputMessage="1" showErrorMessage="1" xr:uid="{00000000-0002-0000-0300-0000C9110000}">
          <x14:formula1>
            <xm:f>項目!C17:$ONG$458753</xm:f>
          </x14:formula1>
          <xm:sqref>ONO458757:ONO458780</xm:sqref>
        </x14:dataValidation>
        <x14:dataValidation type="list" allowBlank="1" showInputMessage="1" showErrorMessage="1" xr:uid="{00000000-0002-0000-0300-0000CA110000}">
          <x14:formula1>
            <xm:f>項目!C17:$OXC$458753</xm:f>
          </x14:formula1>
          <xm:sqref>OXK458757:OXK458780</xm:sqref>
        </x14:dataValidation>
        <x14:dataValidation type="list" allowBlank="1" showInputMessage="1" showErrorMessage="1" xr:uid="{00000000-0002-0000-0300-0000CB110000}">
          <x14:formula1>
            <xm:f>項目!C17:$PGY$458753</xm:f>
          </x14:formula1>
          <xm:sqref>PHG458757:PHG458780</xm:sqref>
        </x14:dataValidation>
        <x14:dataValidation type="list" allowBlank="1" showInputMessage="1" showErrorMessage="1" xr:uid="{00000000-0002-0000-0300-0000CC110000}">
          <x14:formula1>
            <xm:f>項目!C17:$PQU$458753</xm:f>
          </x14:formula1>
          <xm:sqref>PRC458757:PRC458780</xm:sqref>
        </x14:dataValidation>
        <x14:dataValidation type="list" allowBlank="1" showInputMessage="1" showErrorMessage="1" xr:uid="{00000000-0002-0000-0300-0000CD110000}">
          <x14:formula1>
            <xm:f>項目!C17:$QAQ$458753</xm:f>
          </x14:formula1>
          <xm:sqref>QAY458757:QAY458780</xm:sqref>
        </x14:dataValidation>
        <x14:dataValidation type="list" allowBlank="1" showInputMessage="1" showErrorMessage="1" xr:uid="{00000000-0002-0000-0300-0000CE110000}">
          <x14:formula1>
            <xm:f>項目!C17:$QKM$458753</xm:f>
          </x14:formula1>
          <xm:sqref>QKU458757:QKU458780</xm:sqref>
        </x14:dataValidation>
        <x14:dataValidation type="list" allowBlank="1" showInputMessage="1" showErrorMessage="1" xr:uid="{00000000-0002-0000-0300-0000CF110000}">
          <x14:formula1>
            <xm:f>項目!C17:$QUI$458753</xm:f>
          </x14:formula1>
          <xm:sqref>QUQ458757:QUQ458780</xm:sqref>
        </x14:dataValidation>
        <x14:dataValidation type="list" allowBlank="1" showInputMessage="1" showErrorMessage="1" xr:uid="{00000000-0002-0000-0300-0000D0110000}">
          <x14:formula1>
            <xm:f>項目!C17:$REE$458753</xm:f>
          </x14:formula1>
          <xm:sqref>REM458757:REM458780</xm:sqref>
        </x14:dataValidation>
        <x14:dataValidation type="list" allowBlank="1" showInputMessage="1" showErrorMessage="1" xr:uid="{00000000-0002-0000-0300-0000D1110000}">
          <x14:formula1>
            <xm:f>項目!C17:$ROA$458753</xm:f>
          </x14:formula1>
          <xm:sqref>ROI458757:ROI458780</xm:sqref>
        </x14:dataValidation>
        <x14:dataValidation type="list" allowBlank="1" showInputMessage="1" showErrorMessage="1" xr:uid="{00000000-0002-0000-0300-0000D2110000}">
          <x14:formula1>
            <xm:f>項目!C17:$RXW$458753</xm:f>
          </x14:formula1>
          <xm:sqref>RYE458757:RYE458780</xm:sqref>
        </x14:dataValidation>
        <x14:dataValidation type="list" allowBlank="1" showInputMessage="1" showErrorMessage="1" xr:uid="{00000000-0002-0000-0300-0000D3110000}">
          <x14:formula1>
            <xm:f>項目!C17:$SHS$458753</xm:f>
          </x14:formula1>
          <xm:sqref>SIA458757:SIA458780</xm:sqref>
        </x14:dataValidation>
        <x14:dataValidation type="list" allowBlank="1" showInputMessage="1" showErrorMessage="1" xr:uid="{00000000-0002-0000-0300-0000D4110000}">
          <x14:formula1>
            <xm:f>項目!C17:$SRO$458753</xm:f>
          </x14:formula1>
          <xm:sqref>SRW458757:SRW458780</xm:sqref>
        </x14:dataValidation>
        <x14:dataValidation type="list" allowBlank="1" showInputMessage="1" showErrorMessage="1" xr:uid="{00000000-0002-0000-0300-0000D5110000}">
          <x14:formula1>
            <xm:f>項目!C17:$TBK$458753</xm:f>
          </x14:formula1>
          <xm:sqref>TBS458757:TBS458780</xm:sqref>
        </x14:dataValidation>
        <x14:dataValidation type="list" allowBlank="1" showInputMessage="1" showErrorMessage="1" xr:uid="{00000000-0002-0000-0300-0000D6110000}">
          <x14:formula1>
            <xm:f>項目!C17:$TLG$458753</xm:f>
          </x14:formula1>
          <xm:sqref>TLO458757:TLO458780</xm:sqref>
        </x14:dataValidation>
        <x14:dataValidation type="list" allowBlank="1" showInputMessage="1" showErrorMessage="1" xr:uid="{00000000-0002-0000-0300-0000D7110000}">
          <x14:formula1>
            <xm:f>項目!C17:$TVC$458753</xm:f>
          </x14:formula1>
          <xm:sqref>TVK458757:TVK458780</xm:sqref>
        </x14:dataValidation>
        <x14:dataValidation type="list" allowBlank="1" showInputMessage="1" showErrorMessage="1" xr:uid="{00000000-0002-0000-0300-0000D8110000}">
          <x14:formula1>
            <xm:f>項目!C17:$UEY$458753</xm:f>
          </x14:formula1>
          <xm:sqref>UFG458757:UFG458780</xm:sqref>
        </x14:dataValidation>
        <x14:dataValidation type="list" allowBlank="1" showInputMessage="1" showErrorMessage="1" xr:uid="{00000000-0002-0000-0300-0000D9110000}">
          <x14:formula1>
            <xm:f>項目!C17:$UOU$458753</xm:f>
          </x14:formula1>
          <xm:sqref>UPC458757:UPC458780</xm:sqref>
        </x14:dataValidation>
        <x14:dataValidation type="list" allowBlank="1" showInputMessage="1" showErrorMessage="1" xr:uid="{00000000-0002-0000-0300-0000DA110000}">
          <x14:formula1>
            <xm:f>項目!C17:$UYQ$458753</xm:f>
          </x14:formula1>
          <xm:sqref>UYY458757:UYY458780</xm:sqref>
        </x14:dataValidation>
        <x14:dataValidation type="list" allowBlank="1" showInputMessage="1" showErrorMessage="1" xr:uid="{00000000-0002-0000-0300-0000DB110000}">
          <x14:formula1>
            <xm:f>項目!C17:$VIM$458753</xm:f>
          </x14:formula1>
          <xm:sqref>VIU458757:VIU458780</xm:sqref>
        </x14:dataValidation>
        <x14:dataValidation type="list" allowBlank="1" showInputMessage="1" showErrorMessage="1" xr:uid="{00000000-0002-0000-0300-0000DC110000}">
          <x14:formula1>
            <xm:f>項目!C17:$VSI$458753</xm:f>
          </x14:formula1>
          <xm:sqref>VSQ458757:VSQ458780</xm:sqref>
        </x14:dataValidation>
        <x14:dataValidation type="list" allowBlank="1" showInputMessage="1" showErrorMessage="1" xr:uid="{00000000-0002-0000-0300-0000DD110000}">
          <x14:formula1>
            <xm:f>項目!C17:$WCE$458753</xm:f>
          </x14:formula1>
          <xm:sqref>WCM458757:WCM458780</xm:sqref>
        </x14:dataValidation>
        <x14:dataValidation type="list" allowBlank="1" showInputMessage="1" showErrorMessage="1" xr:uid="{00000000-0002-0000-0300-0000DE110000}">
          <x14:formula1>
            <xm:f>項目!C17:$WMA$458753</xm:f>
          </x14:formula1>
          <xm:sqref>WMI458757:WMI458780</xm:sqref>
        </x14:dataValidation>
        <x14:dataValidation type="list" allowBlank="1" showInputMessage="1" showErrorMessage="1" xr:uid="{00000000-0002-0000-0300-0000DF110000}">
          <x14:formula1>
            <xm:f>項目!C17:$WVW$458753</xm:f>
          </x14:formula1>
          <xm:sqref>WWE458757:WWE458780</xm:sqref>
        </x14:dataValidation>
        <x14:dataValidation type="list" allowBlank="1" showInputMessage="1" showErrorMessage="1" xr:uid="{00000000-0002-0000-0300-0000E0110000}">
          <x14:formula1>
            <xm:f>項目!C17:$P$524289</xm:f>
          </x14:formula1>
          <xm:sqref>W524293:W524316</xm:sqref>
        </x14:dataValidation>
        <x14:dataValidation type="list" allowBlank="1" showInputMessage="1" showErrorMessage="1" xr:uid="{00000000-0002-0000-0300-0000E1110000}">
          <x14:formula1>
            <xm:f>項目!C17:$JK$524289</xm:f>
          </x14:formula1>
          <xm:sqref>JS524293:JS524316</xm:sqref>
        </x14:dataValidation>
        <x14:dataValidation type="list" allowBlank="1" showInputMessage="1" showErrorMessage="1" xr:uid="{00000000-0002-0000-0300-0000E2110000}">
          <x14:formula1>
            <xm:f>項目!C17:$TG$524289</xm:f>
          </x14:formula1>
          <xm:sqref>TO524293:TO524316</xm:sqref>
        </x14:dataValidation>
        <x14:dataValidation type="list" allowBlank="1" showInputMessage="1" showErrorMessage="1" xr:uid="{00000000-0002-0000-0300-0000E3110000}">
          <x14:formula1>
            <xm:f>項目!C17:$ADC$524289</xm:f>
          </x14:formula1>
          <xm:sqref>ADK524293:ADK524316</xm:sqref>
        </x14:dataValidation>
        <x14:dataValidation type="list" allowBlank="1" showInputMessage="1" showErrorMessage="1" xr:uid="{00000000-0002-0000-0300-0000E4110000}">
          <x14:formula1>
            <xm:f>項目!C17:$AMY$524289</xm:f>
          </x14:formula1>
          <xm:sqref>ANG524293:ANG524316</xm:sqref>
        </x14:dataValidation>
        <x14:dataValidation type="list" allowBlank="1" showInputMessage="1" showErrorMessage="1" xr:uid="{00000000-0002-0000-0300-0000E5110000}">
          <x14:formula1>
            <xm:f>項目!C17:$AWU$524289</xm:f>
          </x14:formula1>
          <xm:sqref>AXC524293:AXC524316</xm:sqref>
        </x14:dataValidation>
        <x14:dataValidation type="list" allowBlank="1" showInputMessage="1" showErrorMessage="1" xr:uid="{00000000-0002-0000-0300-0000E6110000}">
          <x14:formula1>
            <xm:f>項目!C17:$BGQ$524289</xm:f>
          </x14:formula1>
          <xm:sqref>BGY524293:BGY524316</xm:sqref>
        </x14:dataValidation>
        <x14:dataValidation type="list" allowBlank="1" showInputMessage="1" showErrorMessage="1" xr:uid="{00000000-0002-0000-0300-0000E7110000}">
          <x14:formula1>
            <xm:f>項目!C17:$BQM$524289</xm:f>
          </x14:formula1>
          <xm:sqref>BQU524293:BQU524316</xm:sqref>
        </x14:dataValidation>
        <x14:dataValidation type="list" allowBlank="1" showInputMessage="1" showErrorMessage="1" xr:uid="{00000000-0002-0000-0300-0000E8110000}">
          <x14:formula1>
            <xm:f>項目!C17:$CAI$524289</xm:f>
          </x14:formula1>
          <xm:sqref>CAQ524293:CAQ524316</xm:sqref>
        </x14:dataValidation>
        <x14:dataValidation type="list" allowBlank="1" showInputMessage="1" showErrorMessage="1" xr:uid="{00000000-0002-0000-0300-0000E9110000}">
          <x14:formula1>
            <xm:f>項目!C17:$CKE$524289</xm:f>
          </x14:formula1>
          <xm:sqref>CKM524293:CKM524316</xm:sqref>
        </x14:dataValidation>
        <x14:dataValidation type="list" allowBlank="1" showInputMessage="1" showErrorMessage="1" xr:uid="{00000000-0002-0000-0300-0000EA110000}">
          <x14:formula1>
            <xm:f>項目!C17:$CUA$524289</xm:f>
          </x14:formula1>
          <xm:sqref>CUI524293:CUI524316</xm:sqref>
        </x14:dataValidation>
        <x14:dataValidation type="list" allowBlank="1" showInputMessage="1" showErrorMessage="1" xr:uid="{00000000-0002-0000-0300-0000EB110000}">
          <x14:formula1>
            <xm:f>項目!C17:$DDW$524289</xm:f>
          </x14:formula1>
          <xm:sqref>DEE524293:DEE524316</xm:sqref>
        </x14:dataValidation>
        <x14:dataValidation type="list" allowBlank="1" showInputMessage="1" showErrorMessage="1" xr:uid="{00000000-0002-0000-0300-0000EC110000}">
          <x14:formula1>
            <xm:f>項目!C17:$DNS$524289</xm:f>
          </x14:formula1>
          <xm:sqref>DOA524293:DOA524316</xm:sqref>
        </x14:dataValidation>
        <x14:dataValidation type="list" allowBlank="1" showInputMessage="1" showErrorMessage="1" xr:uid="{00000000-0002-0000-0300-0000ED110000}">
          <x14:formula1>
            <xm:f>項目!C17:$DXO$524289</xm:f>
          </x14:formula1>
          <xm:sqref>DXW524293:DXW524316</xm:sqref>
        </x14:dataValidation>
        <x14:dataValidation type="list" allowBlank="1" showInputMessage="1" showErrorMessage="1" xr:uid="{00000000-0002-0000-0300-0000EE110000}">
          <x14:formula1>
            <xm:f>項目!C17:$EHK$524289</xm:f>
          </x14:formula1>
          <xm:sqref>EHS524293:EHS524316</xm:sqref>
        </x14:dataValidation>
        <x14:dataValidation type="list" allowBlank="1" showInputMessage="1" showErrorMessage="1" xr:uid="{00000000-0002-0000-0300-0000EF110000}">
          <x14:formula1>
            <xm:f>項目!C17:$ERG$524289</xm:f>
          </x14:formula1>
          <xm:sqref>ERO524293:ERO524316</xm:sqref>
        </x14:dataValidation>
        <x14:dataValidation type="list" allowBlank="1" showInputMessage="1" showErrorMessage="1" xr:uid="{00000000-0002-0000-0300-0000F0110000}">
          <x14:formula1>
            <xm:f>項目!C17:$FBC$524289</xm:f>
          </x14:formula1>
          <xm:sqref>FBK524293:FBK524316</xm:sqref>
        </x14:dataValidation>
        <x14:dataValidation type="list" allowBlank="1" showInputMessage="1" showErrorMessage="1" xr:uid="{00000000-0002-0000-0300-0000F1110000}">
          <x14:formula1>
            <xm:f>項目!C17:$FKY$524289</xm:f>
          </x14:formula1>
          <xm:sqref>FLG524293:FLG524316</xm:sqref>
        </x14:dataValidation>
        <x14:dataValidation type="list" allowBlank="1" showInputMessage="1" showErrorMessage="1" xr:uid="{00000000-0002-0000-0300-0000F2110000}">
          <x14:formula1>
            <xm:f>項目!C17:$FUU$524289</xm:f>
          </x14:formula1>
          <xm:sqref>FVC524293:FVC524316</xm:sqref>
        </x14:dataValidation>
        <x14:dataValidation type="list" allowBlank="1" showInputMessage="1" showErrorMessage="1" xr:uid="{00000000-0002-0000-0300-0000F3110000}">
          <x14:formula1>
            <xm:f>項目!C17:$GEQ$524289</xm:f>
          </x14:formula1>
          <xm:sqref>GEY524293:GEY524316</xm:sqref>
        </x14:dataValidation>
        <x14:dataValidation type="list" allowBlank="1" showInputMessage="1" showErrorMessage="1" xr:uid="{00000000-0002-0000-0300-0000F4110000}">
          <x14:formula1>
            <xm:f>項目!C17:$GOM$524289</xm:f>
          </x14:formula1>
          <xm:sqref>GOU524293:GOU524316</xm:sqref>
        </x14:dataValidation>
        <x14:dataValidation type="list" allowBlank="1" showInputMessage="1" showErrorMessage="1" xr:uid="{00000000-0002-0000-0300-0000F5110000}">
          <x14:formula1>
            <xm:f>項目!C17:$GYI$524289</xm:f>
          </x14:formula1>
          <xm:sqref>GYQ524293:GYQ524316</xm:sqref>
        </x14:dataValidation>
        <x14:dataValidation type="list" allowBlank="1" showInputMessage="1" showErrorMessage="1" xr:uid="{00000000-0002-0000-0300-0000F6110000}">
          <x14:formula1>
            <xm:f>項目!C17:$HIE$524289</xm:f>
          </x14:formula1>
          <xm:sqref>HIM524293:HIM524316</xm:sqref>
        </x14:dataValidation>
        <x14:dataValidation type="list" allowBlank="1" showInputMessage="1" showErrorMessage="1" xr:uid="{00000000-0002-0000-0300-0000F7110000}">
          <x14:formula1>
            <xm:f>項目!C17:$HSA$524289</xm:f>
          </x14:formula1>
          <xm:sqref>HSI524293:HSI524316</xm:sqref>
        </x14:dataValidation>
        <x14:dataValidation type="list" allowBlank="1" showInputMessage="1" showErrorMessage="1" xr:uid="{00000000-0002-0000-0300-0000F8110000}">
          <x14:formula1>
            <xm:f>項目!C17:$IBW$524289</xm:f>
          </x14:formula1>
          <xm:sqref>ICE524293:ICE524316</xm:sqref>
        </x14:dataValidation>
        <x14:dataValidation type="list" allowBlank="1" showInputMessage="1" showErrorMessage="1" xr:uid="{00000000-0002-0000-0300-0000F9110000}">
          <x14:formula1>
            <xm:f>項目!C17:$ILS$524289</xm:f>
          </x14:formula1>
          <xm:sqref>IMA524293:IMA524316</xm:sqref>
        </x14:dataValidation>
        <x14:dataValidation type="list" allowBlank="1" showInputMessage="1" showErrorMessage="1" xr:uid="{00000000-0002-0000-0300-0000FA110000}">
          <x14:formula1>
            <xm:f>項目!C17:$IVO$524289</xm:f>
          </x14:formula1>
          <xm:sqref>IVW524293:IVW524316</xm:sqref>
        </x14:dataValidation>
        <x14:dataValidation type="list" allowBlank="1" showInputMessage="1" showErrorMessage="1" xr:uid="{00000000-0002-0000-0300-0000FB110000}">
          <x14:formula1>
            <xm:f>項目!C17:$JFK$524289</xm:f>
          </x14:formula1>
          <xm:sqref>JFS524293:JFS524316</xm:sqref>
        </x14:dataValidation>
        <x14:dataValidation type="list" allowBlank="1" showInputMessage="1" showErrorMessage="1" xr:uid="{00000000-0002-0000-0300-0000FC110000}">
          <x14:formula1>
            <xm:f>項目!C17:$JPG$524289</xm:f>
          </x14:formula1>
          <xm:sqref>JPO524293:JPO524316</xm:sqref>
        </x14:dataValidation>
        <x14:dataValidation type="list" allowBlank="1" showInputMessage="1" showErrorMessage="1" xr:uid="{00000000-0002-0000-0300-0000FD110000}">
          <x14:formula1>
            <xm:f>項目!C17:$JZC$524289</xm:f>
          </x14:formula1>
          <xm:sqref>JZK524293:JZK524316</xm:sqref>
        </x14:dataValidation>
        <x14:dataValidation type="list" allowBlank="1" showInputMessage="1" showErrorMessage="1" xr:uid="{00000000-0002-0000-0300-0000FE110000}">
          <x14:formula1>
            <xm:f>項目!C17:$KIY$524289</xm:f>
          </x14:formula1>
          <xm:sqref>KJG524293:KJG524316</xm:sqref>
        </x14:dataValidation>
        <x14:dataValidation type="list" allowBlank="1" showInputMessage="1" showErrorMessage="1" xr:uid="{00000000-0002-0000-0300-0000FF110000}">
          <x14:formula1>
            <xm:f>項目!C17:$KSU$524289</xm:f>
          </x14:formula1>
          <xm:sqref>KTC524293:KTC524316</xm:sqref>
        </x14:dataValidation>
        <x14:dataValidation type="list" allowBlank="1" showInputMessage="1" showErrorMessage="1" xr:uid="{00000000-0002-0000-0300-000000120000}">
          <x14:formula1>
            <xm:f>項目!C17:$LCQ$524289</xm:f>
          </x14:formula1>
          <xm:sqref>LCY524293:LCY524316</xm:sqref>
        </x14:dataValidation>
        <x14:dataValidation type="list" allowBlank="1" showInputMessage="1" showErrorMessage="1" xr:uid="{00000000-0002-0000-0300-000001120000}">
          <x14:formula1>
            <xm:f>項目!C17:$LMM$524289</xm:f>
          </x14:formula1>
          <xm:sqref>LMU524293:LMU524316</xm:sqref>
        </x14:dataValidation>
        <x14:dataValidation type="list" allowBlank="1" showInputMessage="1" showErrorMessage="1" xr:uid="{00000000-0002-0000-0300-000002120000}">
          <x14:formula1>
            <xm:f>項目!C17:$LWI$524289</xm:f>
          </x14:formula1>
          <xm:sqref>LWQ524293:LWQ524316</xm:sqref>
        </x14:dataValidation>
        <x14:dataValidation type="list" allowBlank="1" showInputMessage="1" showErrorMessage="1" xr:uid="{00000000-0002-0000-0300-000003120000}">
          <x14:formula1>
            <xm:f>項目!C17:$MGE$524289</xm:f>
          </x14:formula1>
          <xm:sqref>MGM524293:MGM524316</xm:sqref>
        </x14:dataValidation>
        <x14:dataValidation type="list" allowBlank="1" showInputMessage="1" showErrorMessage="1" xr:uid="{00000000-0002-0000-0300-000004120000}">
          <x14:formula1>
            <xm:f>項目!C17:$MQA$524289</xm:f>
          </x14:formula1>
          <xm:sqref>MQI524293:MQI524316</xm:sqref>
        </x14:dataValidation>
        <x14:dataValidation type="list" allowBlank="1" showInputMessage="1" showErrorMessage="1" xr:uid="{00000000-0002-0000-0300-000005120000}">
          <x14:formula1>
            <xm:f>項目!C17:$MZW$524289</xm:f>
          </x14:formula1>
          <xm:sqref>NAE524293:NAE524316</xm:sqref>
        </x14:dataValidation>
        <x14:dataValidation type="list" allowBlank="1" showInputMessage="1" showErrorMessage="1" xr:uid="{00000000-0002-0000-0300-000006120000}">
          <x14:formula1>
            <xm:f>項目!C17:$NJS$524289</xm:f>
          </x14:formula1>
          <xm:sqref>NKA524293:NKA524316</xm:sqref>
        </x14:dataValidation>
        <x14:dataValidation type="list" allowBlank="1" showInputMessage="1" showErrorMessage="1" xr:uid="{00000000-0002-0000-0300-000007120000}">
          <x14:formula1>
            <xm:f>項目!C17:$NTO$524289</xm:f>
          </x14:formula1>
          <xm:sqref>NTW524293:NTW524316</xm:sqref>
        </x14:dataValidation>
        <x14:dataValidation type="list" allowBlank="1" showInputMessage="1" showErrorMessage="1" xr:uid="{00000000-0002-0000-0300-000008120000}">
          <x14:formula1>
            <xm:f>項目!C17:$ODK$524289</xm:f>
          </x14:formula1>
          <xm:sqref>ODS524293:ODS524316</xm:sqref>
        </x14:dataValidation>
        <x14:dataValidation type="list" allowBlank="1" showInputMessage="1" showErrorMessage="1" xr:uid="{00000000-0002-0000-0300-000009120000}">
          <x14:formula1>
            <xm:f>項目!C17:$ONG$524289</xm:f>
          </x14:formula1>
          <xm:sqref>ONO524293:ONO524316</xm:sqref>
        </x14:dataValidation>
        <x14:dataValidation type="list" allowBlank="1" showInputMessage="1" showErrorMessage="1" xr:uid="{00000000-0002-0000-0300-00000A120000}">
          <x14:formula1>
            <xm:f>項目!C17:$OXC$524289</xm:f>
          </x14:formula1>
          <xm:sqref>OXK524293:OXK524316</xm:sqref>
        </x14:dataValidation>
        <x14:dataValidation type="list" allowBlank="1" showInputMessage="1" showErrorMessage="1" xr:uid="{00000000-0002-0000-0300-00000B120000}">
          <x14:formula1>
            <xm:f>項目!C17:$PGY$524289</xm:f>
          </x14:formula1>
          <xm:sqref>PHG524293:PHG524316</xm:sqref>
        </x14:dataValidation>
        <x14:dataValidation type="list" allowBlank="1" showInputMessage="1" showErrorMessage="1" xr:uid="{00000000-0002-0000-0300-00000C120000}">
          <x14:formula1>
            <xm:f>項目!C17:$PQU$524289</xm:f>
          </x14:formula1>
          <xm:sqref>PRC524293:PRC524316</xm:sqref>
        </x14:dataValidation>
        <x14:dataValidation type="list" allowBlank="1" showInputMessage="1" showErrorMessage="1" xr:uid="{00000000-0002-0000-0300-00000D120000}">
          <x14:formula1>
            <xm:f>項目!C17:$QAQ$524289</xm:f>
          </x14:formula1>
          <xm:sqref>QAY524293:QAY524316</xm:sqref>
        </x14:dataValidation>
        <x14:dataValidation type="list" allowBlank="1" showInputMessage="1" showErrorMessage="1" xr:uid="{00000000-0002-0000-0300-00000E120000}">
          <x14:formula1>
            <xm:f>項目!C17:$QKM$524289</xm:f>
          </x14:formula1>
          <xm:sqref>QKU524293:QKU524316</xm:sqref>
        </x14:dataValidation>
        <x14:dataValidation type="list" allowBlank="1" showInputMessage="1" showErrorMessage="1" xr:uid="{00000000-0002-0000-0300-00000F120000}">
          <x14:formula1>
            <xm:f>項目!C17:$QUI$524289</xm:f>
          </x14:formula1>
          <xm:sqref>QUQ524293:QUQ524316</xm:sqref>
        </x14:dataValidation>
        <x14:dataValidation type="list" allowBlank="1" showInputMessage="1" showErrorMessage="1" xr:uid="{00000000-0002-0000-0300-000010120000}">
          <x14:formula1>
            <xm:f>項目!C17:$REE$524289</xm:f>
          </x14:formula1>
          <xm:sqref>REM524293:REM524316</xm:sqref>
        </x14:dataValidation>
        <x14:dataValidation type="list" allowBlank="1" showInputMessage="1" showErrorMessage="1" xr:uid="{00000000-0002-0000-0300-000011120000}">
          <x14:formula1>
            <xm:f>項目!C17:$ROA$524289</xm:f>
          </x14:formula1>
          <xm:sqref>ROI524293:ROI524316</xm:sqref>
        </x14:dataValidation>
        <x14:dataValidation type="list" allowBlank="1" showInputMessage="1" showErrorMessage="1" xr:uid="{00000000-0002-0000-0300-000012120000}">
          <x14:formula1>
            <xm:f>項目!C17:$RXW$524289</xm:f>
          </x14:formula1>
          <xm:sqref>RYE524293:RYE524316</xm:sqref>
        </x14:dataValidation>
        <x14:dataValidation type="list" allowBlank="1" showInputMessage="1" showErrorMessage="1" xr:uid="{00000000-0002-0000-0300-000013120000}">
          <x14:formula1>
            <xm:f>項目!C17:$SHS$524289</xm:f>
          </x14:formula1>
          <xm:sqref>SIA524293:SIA524316</xm:sqref>
        </x14:dataValidation>
        <x14:dataValidation type="list" allowBlank="1" showInputMessage="1" showErrorMessage="1" xr:uid="{00000000-0002-0000-0300-000014120000}">
          <x14:formula1>
            <xm:f>項目!C17:$SRO$524289</xm:f>
          </x14:formula1>
          <xm:sqref>SRW524293:SRW524316</xm:sqref>
        </x14:dataValidation>
        <x14:dataValidation type="list" allowBlank="1" showInputMessage="1" showErrorMessage="1" xr:uid="{00000000-0002-0000-0300-000015120000}">
          <x14:formula1>
            <xm:f>項目!C17:$TBK$524289</xm:f>
          </x14:formula1>
          <xm:sqref>TBS524293:TBS524316</xm:sqref>
        </x14:dataValidation>
        <x14:dataValidation type="list" allowBlank="1" showInputMessage="1" showErrorMessage="1" xr:uid="{00000000-0002-0000-0300-000016120000}">
          <x14:formula1>
            <xm:f>項目!C17:$TLG$524289</xm:f>
          </x14:formula1>
          <xm:sqref>TLO524293:TLO524316</xm:sqref>
        </x14:dataValidation>
        <x14:dataValidation type="list" allowBlank="1" showInputMessage="1" showErrorMessage="1" xr:uid="{00000000-0002-0000-0300-000017120000}">
          <x14:formula1>
            <xm:f>項目!C17:$TVC$524289</xm:f>
          </x14:formula1>
          <xm:sqref>TVK524293:TVK524316</xm:sqref>
        </x14:dataValidation>
        <x14:dataValidation type="list" allowBlank="1" showInputMessage="1" showErrorMessage="1" xr:uid="{00000000-0002-0000-0300-000018120000}">
          <x14:formula1>
            <xm:f>項目!C17:$UEY$524289</xm:f>
          </x14:formula1>
          <xm:sqref>UFG524293:UFG524316</xm:sqref>
        </x14:dataValidation>
        <x14:dataValidation type="list" allowBlank="1" showInputMessage="1" showErrorMessage="1" xr:uid="{00000000-0002-0000-0300-000019120000}">
          <x14:formula1>
            <xm:f>項目!C17:$UOU$524289</xm:f>
          </x14:formula1>
          <xm:sqref>UPC524293:UPC524316</xm:sqref>
        </x14:dataValidation>
        <x14:dataValidation type="list" allowBlank="1" showInputMessage="1" showErrorMessage="1" xr:uid="{00000000-0002-0000-0300-00001A120000}">
          <x14:formula1>
            <xm:f>項目!C17:$UYQ$524289</xm:f>
          </x14:formula1>
          <xm:sqref>UYY524293:UYY524316</xm:sqref>
        </x14:dataValidation>
        <x14:dataValidation type="list" allowBlank="1" showInputMessage="1" showErrorMessage="1" xr:uid="{00000000-0002-0000-0300-00001B120000}">
          <x14:formula1>
            <xm:f>項目!C17:$VIM$524289</xm:f>
          </x14:formula1>
          <xm:sqref>VIU524293:VIU524316</xm:sqref>
        </x14:dataValidation>
        <x14:dataValidation type="list" allowBlank="1" showInputMessage="1" showErrorMessage="1" xr:uid="{00000000-0002-0000-0300-00001C120000}">
          <x14:formula1>
            <xm:f>項目!C17:$VSI$524289</xm:f>
          </x14:formula1>
          <xm:sqref>VSQ524293:VSQ524316</xm:sqref>
        </x14:dataValidation>
        <x14:dataValidation type="list" allowBlank="1" showInputMessage="1" showErrorMessage="1" xr:uid="{00000000-0002-0000-0300-00001D120000}">
          <x14:formula1>
            <xm:f>項目!C17:$WCE$524289</xm:f>
          </x14:formula1>
          <xm:sqref>WCM524293:WCM524316</xm:sqref>
        </x14:dataValidation>
        <x14:dataValidation type="list" allowBlank="1" showInputMessage="1" showErrorMessage="1" xr:uid="{00000000-0002-0000-0300-00001E120000}">
          <x14:formula1>
            <xm:f>項目!C17:$WMA$524289</xm:f>
          </x14:formula1>
          <xm:sqref>WMI524293:WMI524316</xm:sqref>
        </x14:dataValidation>
        <x14:dataValidation type="list" allowBlank="1" showInputMessage="1" showErrorMessage="1" xr:uid="{00000000-0002-0000-0300-00001F120000}">
          <x14:formula1>
            <xm:f>項目!C17:$WVW$524289</xm:f>
          </x14:formula1>
          <xm:sqref>WWE524293:WWE524316</xm:sqref>
        </x14:dataValidation>
        <x14:dataValidation type="list" allowBlank="1" showInputMessage="1" showErrorMessage="1" xr:uid="{00000000-0002-0000-0300-000020120000}">
          <x14:formula1>
            <xm:f>項目!C17:$P$589825</xm:f>
          </x14:formula1>
          <xm:sqref>W589829:W589852</xm:sqref>
        </x14:dataValidation>
        <x14:dataValidation type="list" allowBlank="1" showInputMessage="1" showErrorMessage="1" xr:uid="{00000000-0002-0000-0300-000021120000}">
          <x14:formula1>
            <xm:f>項目!C17:$JK$589825</xm:f>
          </x14:formula1>
          <xm:sqref>JS589829:JS589852</xm:sqref>
        </x14:dataValidation>
        <x14:dataValidation type="list" allowBlank="1" showInputMessage="1" showErrorMessage="1" xr:uid="{00000000-0002-0000-0300-000022120000}">
          <x14:formula1>
            <xm:f>項目!C17:$TG$589825</xm:f>
          </x14:formula1>
          <xm:sqref>TO589829:TO589852</xm:sqref>
        </x14:dataValidation>
        <x14:dataValidation type="list" allowBlank="1" showInputMessage="1" showErrorMessage="1" xr:uid="{00000000-0002-0000-0300-000023120000}">
          <x14:formula1>
            <xm:f>項目!C17:$ADC$589825</xm:f>
          </x14:formula1>
          <xm:sqref>ADK589829:ADK589852</xm:sqref>
        </x14:dataValidation>
        <x14:dataValidation type="list" allowBlank="1" showInputMessage="1" showErrorMessage="1" xr:uid="{00000000-0002-0000-0300-000024120000}">
          <x14:formula1>
            <xm:f>項目!C17:$AMY$589825</xm:f>
          </x14:formula1>
          <xm:sqref>ANG589829:ANG589852</xm:sqref>
        </x14:dataValidation>
        <x14:dataValidation type="list" allowBlank="1" showInputMessage="1" showErrorMessage="1" xr:uid="{00000000-0002-0000-0300-000025120000}">
          <x14:formula1>
            <xm:f>項目!C17:$AWU$589825</xm:f>
          </x14:formula1>
          <xm:sqref>AXC589829:AXC589852</xm:sqref>
        </x14:dataValidation>
        <x14:dataValidation type="list" allowBlank="1" showInputMessage="1" showErrorMessage="1" xr:uid="{00000000-0002-0000-0300-000026120000}">
          <x14:formula1>
            <xm:f>項目!C17:$BGQ$589825</xm:f>
          </x14:formula1>
          <xm:sqref>BGY589829:BGY589852</xm:sqref>
        </x14:dataValidation>
        <x14:dataValidation type="list" allowBlank="1" showInputMessage="1" showErrorMessage="1" xr:uid="{00000000-0002-0000-0300-000027120000}">
          <x14:formula1>
            <xm:f>項目!C17:$BQM$589825</xm:f>
          </x14:formula1>
          <xm:sqref>BQU589829:BQU589852</xm:sqref>
        </x14:dataValidation>
        <x14:dataValidation type="list" allowBlank="1" showInputMessage="1" showErrorMessage="1" xr:uid="{00000000-0002-0000-0300-000028120000}">
          <x14:formula1>
            <xm:f>項目!C17:$CAI$589825</xm:f>
          </x14:formula1>
          <xm:sqref>CAQ589829:CAQ589852</xm:sqref>
        </x14:dataValidation>
        <x14:dataValidation type="list" allowBlank="1" showInputMessage="1" showErrorMessage="1" xr:uid="{00000000-0002-0000-0300-000029120000}">
          <x14:formula1>
            <xm:f>項目!C17:$CKE$589825</xm:f>
          </x14:formula1>
          <xm:sqref>CKM589829:CKM589852</xm:sqref>
        </x14:dataValidation>
        <x14:dataValidation type="list" allowBlank="1" showInputMessage="1" showErrorMessage="1" xr:uid="{00000000-0002-0000-0300-00002A120000}">
          <x14:formula1>
            <xm:f>項目!C17:$CUA$589825</xm:f>
          </x14:formula1>
          <xm:sqref>CUI589829:CUI589852</xm:sqref>
        </x14:dataValidation>
        <x14:dataValidation type="list" allowBlank="1" showInputMessage="1" showErrorMessage="1" xr:uid="{00000000-0002-0000-0300-00002B120000}">
          <x14:formula1>
            <xm:f>項目!C17:$DDW$589825</xm:f>
          </x14:formula1>
          <xm:sqref>DEE589829:DEE589852</xm:sqref>
        </x14:dataValidation>
        <x14:dataValidation type="list" allowBlank="1" showInputMessage="1" showErrorMessage="1" xr:uid="{00000000-0002-0000-0300-00002C120000}">
          <x14:formula1>
            <xm:f>項目!C17:$DNS$589825</xm:f>
          </x14:formula1>
          <xm:sqref>DOA589829:DOA589852</xm:sqref>
        </x14:dataValidation>
        <x14:dataValidation type="list" allowBlank="1" showInputMessage="1" showErrorMessage="1" xr:uid="{00000000-0002-0000-0300-00002D120000}">
          <x14:formula1>
            <xm:f>項目!C17:$DXO$589825</xm:f>
          </x14:formula1>
          <xm:sqref>DXW589829:DXW589852</xm:sqref>
        </x14:dataValidation>
        <x14:dataValidation type="list" allowBlank="1" showInputMessage="1" showErrorMessage="1" xr:uid="{00000000-0002-0000-0300-00002E120000}">
          <x14:formula1>
            <xm:f>項目!C17:$EHK$589825</xm:f>
          </x14:formula1>
          <xm:sqref>EHS589829:EHS589852</xm:sqref>
        </x14:dataValidation>
        <x14:dataValidation type="list" allowBlank="1" showInputMessage="1" showErrorMessage="1" xr:uid="{00000000-0002-0000-0300-00002F120000}">
          <x14:formula1>
            <xm:f>項目!C17:$ERG$589825</xm:f>
          </x14:formula1>
          <xm:sqref>ERO589829:ERO589852</xm:sqref>
        </x14:dataValidation>
        <x14:dataValidation type="list" allowBlank="1" showInputMessage="1" showErrorMessage="1" xr:uid="{00000000-0002-0000-0300-000030120000}">
          <x14:formula1>
            <xm:f>項目!C17:$FBC$589825</xm:f>
          </x14:formula1>
          <xm:sqref>FBK589829:FBK589852</xm:sqref>
        </x14:dataValidation>
        <x14:dataValidation type="list" allowBlank="1" showInputMessage="1" showErrorMessage="1" xr:uid="{00000000-0002-0000-0300-000031120000}">
          <x14:formula1>
            <xm:f>項目!C17:$FKY$589825</xm:f>
          </x14:formula1>
          <xm:sqref>FLG589829:FLG589852</xm:sqref>
        </x14:dataValidation>
        <x14:dataValidation type="list" allowBlank="1" showInputMessage="1" showErrorMessage="1" xr:uid="{00000000-0002-0000-0300-000032120000}">
          <x14:formula1>
            <xm:f>項目!C17:$FUU$589825</xm:f>
          </x14:formula1>
          <xm:sqref>FVC589829:FVC589852</xm:sqref>
        </x14:dataValidation>
        <x14:dataValidation type="list" allowBlank="1" showInputMessage="1" showErrorMessage="1" xr:uid="{00000000-0002-0000-0300-000033120000}">
          <x14:formula1>
            <xm:f>項目!C17:$GEQ$589825</xm:f>
          </x14:formula1>
          <xm:sqref>GEY589829:GEY589852</xm:sqref>
        </x14:dataValidation>
        <x14:dataValidation type="list" allowBlank="1" showInputMessage="1" showErrorMessage="1" xr:uid="{00000000-0002-0000-0300-000034120000}">
          <x14:formula1>
            <xm:f>項目!C17:$GOM$589825</xm:f>
          </x14:formula1>
          <xm:sqref>GOU589829:GOU589852</xm:sqref>
        </x14:dataValidation>
        <x14:dataValidation type="list" allowBlank="1" showInputMessage="1" showErrorMessage="1" xr:uid="{00000000-0002-0000-0300-000035120000}">
          <x14:formula1>
            <xm:f>項目!C17:$GYI$589825</xm:f>
          </x14:formula1>
          <xm:sqref>GYQ589829:GYQ589852</xm:sqref>
        </x14:dataValidation>
        <x14:dataValidation type="list" allowBlank="1" showInputMessage="1" showErrorMessage="1" xr:uid="{00000000-0002-0000-0300-000036120000}">
          <x14:formula1>
            <xm:f>項目!C17:$HIE$589825</xm:f>
          </x14:formula1>
          <xm:sqref>HIM589829:HIM589852</xm:sqref>
        </x14:dataValidation>
        <x14:dataValidation type="list" allowBlank="1" showInputMessage="1" showErrorMessage="1" xr:uid="{00000000-0002-0000-0300-000037120000}">
          <x14:formula1>
            <xm:f>項目!C17:$HSA$589825</xm:f>
          </x14:formula1>
          <xm:sqref>HSI589829:HSI589852</xm:sqref>
        </x14:dataValidation>
        <x14:dataValidation type="list" allowBlank="1" showInputMessage="1" showErrorMessage="1" xr:uid="{00000000-0002-0000-0300-000038120000}">
          <x14:formula1>
            <xm:f>項目!C17:$IBW$589825</xm:f>
          </x14:formula1>
          <xm:sqref>ICE589829:ICE589852</xm:sqref>
        </x14:dataValidation>
        <x14:dataValidation type="list" allowBlank="1" showInputMessage="1" showErrorMessage="1" xr:uid="{00000000-0002-0000-0300-000039120000}">
          <x14:formula1>
            <xm:f>項目!C17:$ILS$589825</xm:f>
          </x14:formula1>
          <xm:sqref>IMA589829:IMA589852</xm:sqref>
        </x14:dataValidation>
        <x14:dataValidation type="list" allowBlank="1" showInputMessage="1" showErrorMessage="1" xr:uid="{00000000-0002-0000-0300-00003A120000}">
          <x14:formula1>
            <xm:f>項目!C17:$IVO$589825</xm:f>
          </x14:formula1>
          <xm:sqref>IVW589829:IVW589852</xm:sqref>
        </x14:dataValidation>
        <x14:dataValidation type="list" allowBlank="1" showInputMessage="1" showErrorMessage="1" xr:uid="{00000000-0002-0000-0300-00003B120000}">
          <x14:formula1>
            <xm:f>項目!C17:$JFK$589825</xm:f>
          </x14:formula1>
          <xm:sqref>JFS589829:JFS589852</xm:sqref>
        </x14:dataValidation>
        <x14:dataValidation type="list" allowBlank="1" showInputMessage="1" showErrorMessage="1" xr:uid="{00000000-0002-0000-0300-00003C120000}">
          <x14:formula1>
            <xm:f>項目!C17:$JPG$589825</xm:f>
          </x14:formula1>
          <xm:sqref>JPO589829:JPO589852</xm:sqref>
        </x14:dataValidation>
        <x14:dataValidation type="list" allowBlank="1" showInputMessage="1" showErrorMessage="1" xr:uid="{00000000-0002-0000-0300-00003D120000}">
          <x14:formula1>
            <xm:f>項目!C17:$JZC$589825</xm:f>
          </x14:formula1>
          <xm:sqref>JZK589829:JZK589852</xm:sqref>
        </x14:dataValidation>
        <x14:dataValidation type="list" allowBlank="1" showInputMessage="1" showErrorMessage="1" xr:uid="{00000000-0002-0000-0300-00003E120000}">
          <x14:formula1>
            <xm:f>項目!C17:$KIY$589825</xm:f>
          </x14:formula1>
          <xm:sqref>KJG589829:KJG589852</xm:sqref>
        </x14:dataValidation>
        <x14:dataValidation type="list" allowBlank="1" showInputMessage="1" showErrorMessage="1" xr:uid="{00000000-0002-0000-0300-00003F120000}">
          <x14:formula1>
            <xm:f>項目!C17:$KSU$589825</xm:f>
          </x14:formula1>
          <xm:sqref>KTC589829:KTC589852</xm:sqref>
        </x14:dataValidation>
        <x14:dataValidation type="list" allowBlank="1" showInputMessage="1" showErrorMessage="1" xr:uid="{00000000-0002-0000-0300-000040120000}">
          <x14:formula1>
            <xm:f>項目!C17:$LCQ$589825</xm:f>
          </x14:formula1>
          <xm:sqref>LCY589829:LCY589852</xm:sqref>
        </x14:dataValidation>
        <x14:dataValidation type="list" allowBlank="1" showInputMessage="1" showErrorMessage="1" xr:uid="{00000000-0002-0000-0300-000041120000}">
          <x14:formula1>
            <xm:f>項目!C17:$LMM$589825</xm:f>
          </x14:formula1>
          <xm:sqref>LMU589829:LMU589852</xm:sqref>
        </x14:dataValidation>
        <x14:dataValidation type="list" allowBlank="1" showInputMessage="1" showErrorMessage="1" xr:uid="{00000000-0002-0000-0300-000042120000}">
          <x14:formula1>
            <xm:f>項目!C17:$LWI$589825</xm:f>
          </x14:formula1>
          <xm:sqref>LWQ589829:LWQ589852</xm:sqref>
        </x14:dataValidation>
        <x14:dataValidation type="list" allowBlank="1" showInputMessage="1" showErrorMessage="1" xr:uid="{00000000-0002-0000-0300-000043120000}">
          <x14:formula1>
            <xm:f>項目!C17:$MGE$589825</xm:f>
          </x14:formula1>
          <xm:sqref>MGM589829:MGM589852</xm:sqref>
        </x14:dataValidation>
        <x14:dataValidation type="list" allowBlank="1" showInputMessage="1" showErrorMessage="1" xr:uid="{00000000-0002-0000-0300-000044120000}">
          <x14:formula1>
            <xm:f>項目!C17:$MQA$589825</xm:f>
          </x14:formula1>
          <xm:sqref>MQI589829:MQI589852</xm:sqref>
        </x14:dataValidation>
        <x14:dataValidation type="list" allowBlank="1" showInputMessage="1" showErrorMessage="1" xr:uid="{00000000-0002-0000-0300-000045120000}">
          <x14:formula1>
            <xm:f>項目!C17:$MZW$589825</xm:f>
          </x14:formula1>
          <xm:sqref>NAE589829:NAE589852</xm:sqref>
        </x14:dataValidation>
        <x14:dataValidation type="list" allowBlank="1" showInputMessage="1" showErrorMessage="1" xr:uid="{00000000-0002-0000-0300-000046120000}">
          <x14:formula1>
            <xm:f>項目!C17:$NJS$589825</xm:f>
          </x14:formula1>
          <xm:sqref>NKA589829:NKA589852</xm:sqref>
        </x14:dataValidation>
        <x14:dataValidation type="list" allowBlank="1" showInputMessage="1" showErrorMessage="1" xr:uid="{00000000-0002-0000-0300-000047120000}">
          <x14:formula1>
            <xm:f>項目!C17:$NTO$589825</xm:f>
          </x14:formula1>
          <xm:sqref>NTW589829:NTW589852</xm:sqref>
        </x14:dataValidation>
        <x14:dataValidation type="list" allowBlank="1" showInputMessage="1" showErrorMessage="1" xr:uid="{00000000-0002-0000-0300-000048120000}">
          <x14:formula1>
            <xm:f>項目!C17:$ODK$589825</xm:f>
          </x14:formula1>
          <xm:sqref>ODS589829:ODS589852</xm:sqref>
        </x14:dataValidation>
        <x14:dataValidation type="list" allowBlank="1" showInputMessage="1" showErrorMessage="1" xr:uid="{00000000-0002-0000-0300-000049120000}">
          <x14:formula1>
            <xm:f>項目!C17:$ONG$589825</xm:f>
          </x14:formula1>
          <xm:sqref>ONO589829:ONO589852</xm:sqref>
        </x14:dataValidation>
        <x14:dataValidation type="list" allowBlank="1" showInputMessage="1" showErrorMessage="1" xr:uid="{00000000-0002-0000-0300-00004A120000}">
          <x14:formula1>
            <xm:f>項目!C17:$OXC$589825</xm:f>
          </x14:formula1>
          <xm:sqref>OXK589829:OXK589852</xm:sqref>
        </x14:dataValidation>
        <x14:dataValidation type="list" allowBlank="1" showInputMessage="1" showErrorMessage="1" xr:uid="{00000000-0002-0000-0300-00004B120000}">
          <x14:formula1>
            <xm:f>項目!C17:$PGY$589825</xm:f>
          </x14:formula1>
          <xm:sqref>PHG589829:PHG589852</xm:sqref>
        </x14:dataValidation>
        <x14:dataValidation type="list" allowBlank="1" showInputMessage="1" showErrorMessage="1" xr:uid="{00000000-0002-0000-0300-00004C120000}">
          <x14:formula1>
            <xm:f>項目!C17:$PQU$589825</xm:f>
          </x14:formula1>
          <xm:sqref>PRC589829:PRC589852</xm:sqref>
        </x14:dataValidation>
        <x14:dataValidation type="list" allowBlank="1" showInputMessage="1" showErrorMessage="1" xr:uid="{00000000-0002-0000-0300-00004D120000}">
          <x14:formula1>
            <xm:f>項目!C17:$QAQ$589825</xm:f>
          </x14:formula1>
          <xm:sqref>QAY589829:QAY589852</xm:sqref>
        </x14:dataValidation>
        <x14:dataValidation type="list" allowBlank="1" showInputMessage="1" showErrorMessage="1" xr:uid="{00000000-0002-0000-0300-00004E120000}">
          <x14:formula1>
            <xm:f>項目!C17:$QKM$589825</xm:f>
          </x14:formula1>
          <xm:sqref>QKU589829:QKU589852</xm:sqref>
        </x14:dataValidation>
        <x14:dataValidation type="list" allowBlank="1" showInputMessage="1" showErrorMessage="1" xr:uid="{00000000-0002-0000-0300-00004F120000}">
          <x14:formula1>
            <xm:f>項目!C17:$QUI$589825</xm:f>
          </x14:formula1>
          <xm:sqref>QUQ589829:QUQ589852</xm:sqref>
        </x14:dataValidation>
        <x14:dataValidation type="list" allowBlank="1" showInputMessage="1" showErrorMessage="1" xr:uid="{00000000-0002-0000-0300-000050120000}">
          <x14:formula1>
            <xm:f>項目!C17:$REE$589825</xm:f>
          </x14:formula1>
          <xm:sqref>REM589829:REM589852</xm:sqref>
        </x14:dataValidation>
        <x14:dataValidation type="list" allowBlank="1" showInputMessage="1" showErrorMessage="1" xr:uid="{00000000-0002-0000-0300-000051120000}">
          <x14:formula1>
            <xm:f>項目!C17:$ROA$589825</xm:f>
          </x14:formula1>
          <xm:sqref>ROI589829:ROI589852</xm:sqref>
        </x14:dataValidation>
        <x14:dataValidation type="list" allowBlank="1" showInputMessage="1" showErrorMessage="1" xr:uid="{00000000-0002-0000-0300-000052120000}">
          <x14:formula1>
            <xm:f>項目!C17:$RXW$589825</xm:f>
          </x14:formula1>
          <xm:sqref>RYE589829:RYE589852</xm:sqref>
        </x14:dataValidation>
        <x14:dataValidation type="list" allowBlank="1" showInputMessage="1" showErrorMessage="1" xr:uid="{00000000-0002-0000-0300-000053120000}">
          <x14:formula1>
            <xm:f>項目!C17:$SHS$589825</xm:f>
          </x14:formula1>
          <xm:sqref>SIA589829:SIA589852</xm:sqref>
        </x14:dataValidation>
        <x14:dataValidation type="list" allowBlank="1" showInputMessage="1" showErrorMessage="1" xr:uid="{00000000-0002-0000-0300-000054120000}">
          <x14:formula1>
            <xm:f>項目!C17:$SRO$589825</xm:f>
          </x14:formula1>
          <xm:sqref>SRW589829:SRW589852</xm:sqref>
        </x14:dataValidation>
        <x14:dataValidation type="list" allowBlank="1" showInputMessage="1" showErrorMessage="1" xr:uid="{00000000-0002-0000-0300-000055120000}">
          <x14:formula1>
            <xm:f>項目!C17:$TBK$589825</xm:f>
          </x14:formula1>
          <xm:sqref>TBS589829:TBS589852</xm:sqref>
        </x14:dataValidation>
        <x14:dataValidation type="list" allowBlank="1" showInputMessage="1" showErrorMessage="1" xr:uid="{00000000-0002-0000-0300-000056120000}">
          <x14:formula1>
            <xm:f>項目!C17:$TLG$589825</xm:f>
          </x14:formula1>
          <xm:sqref>TLO589829:TLO589852</xm:sqref>
        </x14:dataValidation>
        <x14:dataValidation type="list" allowBlank="1" showInputMessage="1" showErrorMessage="1" xr:uid="{00000000-0002-0000-0300-000057120000}">
          <x14:formula1>
            <xm:f>項目!C17:$TVC$589825</xm:f>
          </x14:formula1>
          <xm:sqref>TVK589829:TVK589852</xm:sqref>
        </x14:dataValidation>
        <x14:dataValidation type="list" allowBlank="1" showInputMessage="1" showErrorMessage="1" xr:uid="{00000000-0002-0000-0300-000058120000}">
          <x14:formula1>
            <xm:f>項目!C17:$UEY$589825</xm:f>
          </x14:formula1>
          <xm:sqref>UFG589829:UFG589852</xm:sqref>
        </x14:dataValidation>
        <x14:dataValidation type="list" allowBlank="1" showInputMessage="1" showErrorMessage="1" xr:uid="{00000000-0002-0000-0300-000059120000}">
          <x14:formula1>
            <xm:f>項目!C17:$UOU$589825</xm:f>
          </x14:formula1>
          <xm:sqref>UPC589829:UPC589852</xm:sqref>
        </x14:dataValidation>
        <x14:dataValidation type="list" allowBlank="1" showInputMessage="1" showErrorMessage="1" xr:uid="{00000000-0002-0000-0300-00005A120000}">
          <x14:formula1>
            <xm:f>項目!C17:$UYQ$589825</xm:f>
          </x14:formula1>
          <xm:sqref>UYY589829:UYY589852</xm:sqref>
        </x14:dataValidation>
        <x14:dataValidation type="list" allowBlank="1" showInputMessage="1" showErrorMessage="1" xr:uid="{00000000-0002-0000-0300-00005B120000}">
          <x14:formula1>
            <xm:f>項目!C17:$VIM$589825</xm:f>
          </x14:formula1>
          <xm:sqref>VIU589829:VIU589852</xm:sqref>
        </x14:dataValidation>
        <x14:dataValidation type="list" allowBlank="1" showInputMessage="1" showErrorMessage="1" xr:uid="{00000000-0002-0000-0300-00005C120000}">
          <x14:formula1>
            <xm:f>項目!C17:$VSI$589825</xm:f>
          </x14:formula1>
          <xm:sqref>VSQ589829:VSQ589852</xm:sqref>
        </x14:dataValidation>
        <x14:dataValidation type="list" allowBlank="1" showInputMessage="1" showErrorMessage="1" xr:uid="{00000000-0002-0000-0300-00005D120000}">
          <x14:formula1>
            <xm:f>項目!C17:$WCE$589825</xm:f>
          </x14:formula1>
          <xm:sqref>WCM589829:WCM589852</xm:sqref>
        </x14:dataValidation>
        <x14:dataValidation type="list" allowBlank="1" showInputMessage="1" showErrorMessage="1" xr:uid="{00000000-0002-0000-0300-00005E120000}">
          <x14:formula1>
            <xm:f>項目!C17:$WMA$589825</xm:f>
          </x14:formula1>
          <xm:sqref>WMI589829:WMI589852</xm:sqref>
        </x14:dataValidation>
        <x14:dataValidation type="list" allowBlank="1" showInputMessage="1" showErrorMessage="1" xr:uid="{00000000-0002-0000-0300-00005F120000}">
          <x14:formula1>
            <xm:f>項目!C17:$WVW$589825</xm:f>
          </x14:formula1>
          <xm:sqref>WWE589829:WWE589852</xm:sqref>
        </x14:dataValidation>
        <x14:dataValidation type="list" allowBlank="1" showInputMessage="1" showErrorMessage="1" xr:uid="{00000000-0002-0000-0300-000060120000}">
          <x14:formula1>
            <xm:f>項目!C17:$P$655361</xm:f>
          </x14:formula1>
          <xm:sqref>W655365:W655388</xm:sqref>
        </x14:dataValidation>
        <x14:dataValidation type="list" allowBlank="1" showInputMessage="1" showErrorMessage="1" xr:uid="{00000000-0002-0000-0300-000061120000}">
          <x14:formula1>
            <xm:f>項目!C17:$JK$655361</xm:f>
          </x14:formula1>
          <xm:sqref>JS655365:JS655388</xm:sqref>
        </x14:dataValidation>
        <x14:dataValidation type="list" allowBlank="1" showInputMessage="1" showErrorMessage="1" xr:uid="{00000000-0002-0000-0300-000062120000}">
          <x14:formula1>
            <xm:f>項目!C17:$TG$655361</xm:f>
          </x14:formula1>
          <xm:sqref>TO655365:TO655388</xm:sqref>
        </x14:dataValidation>
        <x14:dataValidation type="list" allowBlank="1" showInputMessage="1" showErrorMessage="1" xr:uid="{00000000-0002-0000-0300-000063120000}">
          <x14:formula1>
            <xm:f>項目!C17:$ADC$655361</xm:f>
          </x14:formula1>
          <xm:sqref>ADK655365:ADK655388</xm:sqref>
        </x14:dataValidation>
        <x14:dataValidation type="list" allowBlank="1" showInputMessage="1" showErrorMessage="1" xr:uid="{00000000-0002-0000-0300-000064120000}">
          <x14:formula1>
            <xm:f>項目!C17:$AMY$655361</xm:f>
          </x14:formula1>
          <xm:sqref>ANG655365:ANG655388</xm:sqref>
        </x14:dataValidation>
        <x14:dataValidation type="list" allowBlank="1" showInputMessage="1" showErrorMessage="1" xr:uid="{00000000-0002-0000-0300-000065120000}">
          <x14:formula1>
            <xm:f>項目!C17:$AWU$655361</xm:f>
          </x14:formula1>
          <xm:sqref>AXC655365:AXC655388</xm:sqref>
        </x14:dataValidation>
        <x14:dataValidation type="list" allowBlank="1" showInputMessage="1" showErrorMessage="1" xr:uid="{00000000-0002-0000-0300-000066120000}">
          <x14:formula1>
            <xm:f>項目!C17:$BGQ$655361</xm:f>
          </x14:formula1>
          <xm:sqref>BGY655365:BGY655388</xm:sqref>
        </x14:dataValidation>
        <x14:dataValidation type="list" allowBlank="1" showInputMessage="1" showErrorMessage="1" xr:uid="{00000000-0002-0000-0300-000067120000}">
          <x14:formula1>
            <xm:f>項目!C17:$BQM$655361</xm:f>
          </x14:formula1>
          <xm:sqref>BQU655365:BQU655388</xm:sqref>
        </x14:dataValidation>
        <x14:dataValidation type="list" allowBlank="1" showInputMessage="1" showErrorMessage="1" xr:uid="{00000000-0002-0000-0300-000068120000}">
          <x14:formula1>
            <xm:f>項目!C17:$CAI$655361</xm:f>
          </x14:formula1>
          <xm:sqref>CAQ655365:CAQ655388</xm:sqref>
        </x14:dataValidation>
        <x14:dataValidation type="list" allowBlank="1" showInputMessage="1" showErrorMessage="1" xr:uid="{00000000-0002-0000-0300-000069120000}">
          <x14:formula1>
            <xm:f>項目!C17:$CKE$655361</xm:f>
          </x14:formula1>
          <xm:sqref>CKM655365:CKM655388</xm:sqref>
        </x14:dataValidation>
        <x14:dataValidation type="list" allowBlank="1" showInputMessage="1" showErrorMessage="1" xr:uid="{00000000-0002-0000-0300-00006A120000}">
          <x14:formula1>
            <xm:f>項目!C17:$CUA$655361</xm:f>
          </x14:formula1>
          <xm:sqref>CUI655365:CUI655388</xm:sqref>
        </x14:dataValidation>
        <x14:dataValidation type="list" allowBlank="1" showInputMessage="1" showErrorMessage="1" xr:uid="{00000000-0002-0000-0300-00006B120000}">
          <x14:formula1>
            <xm:f>項目!C17:$DDW$655361</xm:f>
          </x14:formula1>
          <xm:sqref>DEE655365:DEE655388</xm:sqref>
        </x14:dataValidation>
        <x14:dataValidation type="list" allowBlank="1" showInputMessage="1" showErrorMessage="1" xr:uid="{00000000-0002-0000-0300-00006C120000}">
          <x14:formula1>
            <xm:f>項目!C17:$DNS$655361</xm:f>
          </x14:formula1>
          <xm:sqref>DOA655365:DOA655388</xm:sqref>
        </x14:dataValidation>
        <x14:dataValidation type="list" allowBlank="1" showInputMessage="1" showErrorMessage="1" xr:uid="{00000000-0002-0000-0300-00006D120000}">
          <x14:formula1>
            <xm:f>項目!C17:$DXO$655361</xm:f>
          </x14:formula1>
          <xm:sqref>DXW655365:DXW655388</xm:sqref>
        </x14:dataValidation>
        <x14:dataValidation type="list" allowBlank="1" showInputMessage="1" showErrorMessage="1" xr:uid="{00000000-0002-0000-0300-00006E120000}">
          <x14:formula1>
            <xm:f>項目!C17:$EHK$655361</xm:f>
          </x14:formula1>
          <xm:sqref>EHS655365:EHS655388</xm:sqref>
        </x14:dataValidation>
        <x14:dataValidation type="list" allowBlank="1" showInputMessage="1" showErrorMessage="1" xr:uid="{00000000-0002-0000-0300-00006F120000}">
          <x14:formula1>
            <xm:f>項目!C17:$ERG$655361</xm:f>
          </x14:formula1>
          <xm:sqref>ERO655365:ERO655388</xm:sqref>
        </x14:dataValidation>
        <x14:dataValidation type="list" allowBlank="1" showInputMessage="1" showErrorMessage="1" xr:uid="{00000000-0002-0000-0300-000070120000}">
          <x14:formula1>
            <xm:f>項目!C17:$FBC$655361</xm:f>
          </x14:formula1>
          <xm:sqref>FBK655365:FBK655388</xm:sqref>
        </x14:dataValidation>
        <x14:dataValidation type="list" allowBlank="1" showInputMessage="1" showErrorMessage="1" xr:uid="{00000000-0002-0000-0300-000071120000}">
          <x14:formula1>
            <xm:f>項目!C17:$FKY$655361</xm:f>
          </x14:formula1>
          <xm:sqref>FLG655365:FLG655388</xm:sqref>
        </x14:dataValidation>
        <x14:dataValidation type="list" allowBlank="1" showInputMessage="1" showErrorMessage="1" xr:uid="{00000000-0002-0000-0300-000072120000}">
          <x14:formula1>
            <xm:f>項目!C17:$FUU$655361</xm:f>
          </x14:formula1>
          <xm:sqref>FVC655365:FVC655388</xm:sqref>
        </x14:dataValidation>
        <x14:dataValidation type="list" allowBlank="1" showInputMessage="1" showErrorMessage="1" xr:uid="{00000000-0002-0000-0300-000073120000}">
          <x14:formula1>
            <xm:f>項目!C17:$GEQ$655361</xm:f>
          </x14:formula1>
          <xm:sqref>GEY655365:GEY655388</xm:sqref>
        </x14:dataValidation>
        <x14:dataValidation type="list" allowBlank="1" showInputMessage="1" showErrorMessage="1" xr:uid="{00000000-0002-0000-0300-000074120000}">
          <x14:formula1>
            <xm:f>項目!C17:$GOM$655361</xm:f>
          </x14:formula1>
          <xm:sqref>GOU655365:GOU655388</xm:sqref>
        </x14:dataValidation>
        <x14:dataValidation type="list" allowBlank="1" showInputMessage="1" showErrorMessage="1" xr:uid="{00000000-0002-0000-0300-000075120000}">
          <x14:formula1>
            <xm:f>項目!C17:$GYI$655361</xm:f>
          </x14:formula1>
          <xm:sqref>GYQ655365:GYQ655388</xm:sqref>
        </x14:dataValidation>
        <x14:dataValidation type="list" allowBlank="1" showInputMessage="1" showErrorMessage="1" xr:uid="{00000000-0002-0000-0300-000076120000}">
          <x14:formula1>
            <xm:f>項目!C17:$HIE$655361</xm:f>
          </x14:formula1>
          <xm:sqref>HIM655365:HIM655388</xm:sqref>
        </x14:dataValidation>
        <x14:dataValidation type="list" allowBlank="1" showInputMessage="1" showErrorMessage="1" xr:uid="{00000000-0002-0000-0300-000077120000}">
          <x14:formula1>
            <xm:f>項目!C17:$HSA$655361</xm:f>
          </x14:formula1>
          <xm:sqref>HSI655365:HSI655388</xm:sqref>
        </x14:dataValidation>
        <x14:dataValidation type="list" allowBlank="1" showInputMessage="1" showErrorMessage="1" xr:uid="{00000000-0002-0000-0300-000078120000}">
          <x14:formula1>
            <xm:f>項目!C17:$IBW$655361</xm:f>
          </x14:formula1>
          <xm:sqref>ICE655365:ICE655388</xm:sqref>
        </x14:dataValidation>
        <x14:dataValidation type="list" allowBlank="1" showInputMessage="1" showErrorMessage="1" xr:uid="{00000000-0002-0000-0300-000079120000}">
          <x14:formula1>
            <xm:f>項目!C17:$ILS$655361</xm:f>
          </x14:formula1>
          <xm:sqref>IMA655365:IMA655388</xm:sqref>
        </x14:dataValidation>
        <x14:dataValidation type="list" allowBlank="1" showInputMessage="1" showErrorMessage="1" xr:uid="{00000000-0002-0000-0300-00007A120000}">
          <x14:formula1>
            <xm:f>項目!C17:$IVO$655361</xm:f>
          </x14:formula1>
          <xm:sqref>IVW655365:IVW655388</xm:sqref>
        </x14:dataValidation>
        <x14:dataValidation type="list" allowBlank="1" showInputMessage="1" showErrorMessage="1" xr:uid="{00000000-0002-0000-0300-00007B120000}">
          <x14:formula1>
            <xm:f>項目!C17:$JFK$655361</xm:f>
          </x14:formula1>
          <xm:sqref>JFS655365:JFS655388</xm:sqref>
        </x14:dataValidation>
        <x14:dataValidation type="list" allowBlank="1" showInputMessage="1" showErrorMessage="1" xr:uid="{00000000-0002-0000-0300-00007C120000}">
          <x14:formula1>
            <xm:f>項目!C17:$JPG$655361</xm:f>
          </x14:formula1>
          <xm:sqref>JPO655365:JPO655388</xm:sqref>
        </x14:dataValidation>
        <x14:dataValidation type="list" allowBlank="1" showInputMessage="1" showErrorMessage="1" xr:uid="{00000000-0002-0000-0300-00007D120000}">
          <x14:formula1>
            <xm:f>項目!C17:$JZC$655361</xm:f>
          </x14:formula1>
          <xm:sqref>JZK655365:JZK655388</xm:sqref>
        </x14:dataValidation>
        <x14:dataValidation type="list" allowBlank="1" showInputMessage="1" showErrorMessage="1" xr:uid="{00000000-0002-0000-0300-00007E120000}">
          <x14:formula1>
            <xm:f>項目!C17:$KIY$655361</xm:f>
          </x14:formula1>
          <xm:sqref>KJG655365:KJG655388</xm:sqref>
        </x14:dataValidation>
        <x14:dataValidation type="list" allowBlank="1" showInputMessage="1" showErrorMessage="1" xr:uid="{00000000-0002-0000-0300-00007F120000}">
          <x14:formula1>
            <xm:f>項目!C17:$KSU$655361</xm:f>
          </x14:formula1>
          <xm:sqref>KTC655365:KTC655388</xm:sqref>
        </x14:dataValidation>
        <x14:dataValidation type="list" allowBlank="1" showInputMessage="1" showErrorMessage="1" xr:uid="{00000000-0002-0000-0300-000080120000}">
          <x14:formula1>
            <xm:f>項目!C17:$LCQ$655361</xm:f>
          </x14:formula1>
          <xm:sqref>LCY655365:LCY655388</xm:sqref>
        </x14:dataValidation>
        <x14:dataValidation type="list" allowBlank="1" showInputMessage="1" showErrorMessage="1" xr:uid="{00000000-0002-0000-0300-000081120000}">
          <x14:formula1>
            <xm:f>項目!C17:$LMM$655361</xm:f>
          </x14:formula1>
          <xm:sqref>LMU655365:LMU655388</xm:sqref>
        </x14:dataValidation>
        <x14:dataValidation type="list" allowBlank="1" showInputMessage="1" showErrorMessage="1" xr:uid="{00000000-0002-0000-0300-000082120000}">
          <x14:formula1>
            <xm:f>項目!C17:$LWI$655361</xm:f>
          </x14:formula1>
          <xm:sqref>LWQ655365:LWQ655388</xm:sqref>
        </x14:dataValidation>
        <x14:dataValidation type="list" allowBlank="1" showInputMessage="1" showErrorMessage="1" xr:uid="{00000000-0002-0000-0300-000083120000}">
          <x14:formula1>
            <xm:f>項目!C17:$MGE$655361</xm:f>
          </x14:formula1>
          <xm:sqref>MGM655365:MGM655388</xm:sqref>
        </x14:dataValidation>
        <x14:dataValidation type="list" allowBlank="1" showInputMessage="1" showErrorMessage="1" xr:uid="{00000000-0002-0000-0300-000084120000}">
          <x14:formula1>
            <xm:f>項目!C17:$MQA$655361</xm:f>
          </x14:formula1>
          <xm:sqref>MQI655365:MQI655388</xm:sqref>
        </x14:dataValidation>
        <x14:dataValidation type="list" allowBlank="1" showInputMessage="1" showErrorMessage="1" xr:uid="{00000000-0002-0000-0300-000085120000}">
          <x14:formula1>
            <xm:f>項目!C17:$MZW$655361</xm:f>
          </x14:formula1>
          <xm:sqref>NAE655365:NAE655388</xm:sqref>
        </x14:dataValidation>
        <x14:dataValidation type="list" allowBlank="1" showInputMessage="1" showErrorMessage="1" xr:uid="{00000000-0002-0000-0300-000086120000}">
          <x14:formula1>
            <xm:f>項目!C17:$NJS$655361</xm:f>
          </x14:formula1>
          <xm:sqref>NKA655365:NKA655388</xm:sqref>
        </x14:dataValidation>
        <x14:dataValidation type="list" allowBlank="1" showInputMessage="1" showErrorMessage="1" xr:uid="{00000000-0002-0000-0300-000087120000}">
          <x14:formula1>
            <xm:f>項目!C17:$NTO$655361</xm:f>
          </x14:formula1>
          <xm:sqref>NTW655365:NTW655388</xm:sqref>
        </x14:dataValidation>
        <x14:dataValidation type="list" allowBlank="1" showInputMessage="1" showErrorMessage="1" xr:uid="{00000000-0002-0000-0300-000088120000}">
          <x14:formula1>
            <xm:f>項目!C17:$ODK$655361</xm:f>
          </x14:formula1>
          <xm:sqref>ODS655365:ODS655388</xm:sqref>
        </x14:dataValidation>
        <x14:dataValidation type="list" allowBlank="1" showInputMessage="1" showErrorMessage="1" xr:uid="{00000000-0002-0000-0300-000089120000}">
          <x14:formula1>
            <xm:f>項目!C17:$ONG$655361</xm:f>
          </x14:formula1>
          <xm:sqref>ONO655365:ONO655388</xm:sqref>
        </x14:dataValidation>
        <x14:dataValidation type="list" allowBlank="1" showInputMessage="1" showErrorMessage="1" xr:uid="{00000000-0002-0000-0300-00008A120000}">
          <x14:formula1>
            <xm:f>項目!C17:$OXC$655361</xm:f>
          </x14:formula1>
          <xm:sqref>OXK655365:OXK655388</xm:sqref>
        </x14:dataValidation>
        <x14:dataValidation type="list" allowBlank="1" showInputMessage="1" showErrorMessage="1" xr:uid="{00000000-0002-0000-0300-00008B120000}">
          <x14:formula1>
            <xm:f>項目!C17:$PGY$655361</xm:f>
          </x14:formula1>
          <xm:sqref>PHG655365:PHG655388</xm:sqref>
        </x14:dataValidation>
        <x14:dataValidation type="list" allowBlank="1" showInputMessage="1" showErrorMessage="1" xr:uid="{00000000-0002-0000-0300-00008C120000}">
          <x14:formula1>
            <xm:f>項目!C17:$PQU$655361</xm:f>
          </x14:formula1>
          <xm:sqref>PRC655365:PRC655388</xm:sqref>
        </x14:dataValidation>
        <x14:dataValidation type="list" allowBlank="1" showInputMessage="1" showErrorMessage="1" xr:uid="{00000000-0002-0000-0300-00008D120000}">
          <x14:formula1>
            <xm:f>項目!C17:$QAQ$655361</xm:f>
          </x14:formula1>
          <xm:sqref>QAY655365:QAY655388</xm:sqref>
        </x14:dataValidation>
        <x14:dataValidation type="list" allowBlank="1" showInputMessage="1" showErrorMessage="1" xr:uid="{00000000-0002-0000-0300-00008E120000}">
          <x14:formula1>
            <xm:f>項目!C17:$QKM$655361</xm:f>
          </x14:formula1>
          <xm:sqref>QKU655365:QKU655388</xm:sqref>
        </x14:dataValidation>
        <x14:dataValidation type="list" allowBlank="1" showInputMessage="1" showErrorMessage="1" xr:uid="{00000000-0002-0000-0300-00008F120000}">
          <x14:formula1>
            <xm:f>項目!C17:$QUI$655361</xm:f>
          </x14:formula1>
          <xm:sqref>QUQ655365:QUQ655388</xm:sqref>
        </x14:dataValidation>
        <x14:dataValidation type="list" allowBlank="1" showInputMessage="1" showErrorMessage="1" xr:uid="{00000000-0002-0000-0300-000090120000}">
          <x14:formula1>
            <xm:f>項目!C17:$REE$655361</xm:f>
          </x14:formula1>
          <xm:sqref>REM655365:REM655388</xm:sqref>
        </x14:dataValidation>
        <x14:dataValidation type="list" allowBlank="1" showInputMessage="1" showErrorMessage="1" xr:uid="{00000000-0002-0000-0300-000091120000}">
          <x14:formula1>
            <xm:f>項目!C17:$ROA$655361</xm:f>
          </x14:formula1>
          <xm:sqref>ROI655365:ROI655388</xm:sqref>
        </x14:dataValidation>
        <x14:dataValidation type="list" allowBlank="1" showInputMessage="1" showErrorMessage="1" xr:uid="{00000000-0002-0000-0300-000092120000}">
          <x14:formula1>
            <xm:f>項目!C17:$RXW$655361</xm:f>
          </x14:formula1>
          <xm:sqref>RYE655365:RYE655388</xm:sqref>
        </x14:dataValidation>
        <x14:dataValidation type="list" allowBlank="1" showInputMessage="1" showErrorMessage="1" xr:uid="{00000000-0002-0000-0300-000093120000}">
          <x14:formula1>
            <xm:f>項目!C17:$SHS$655361</xm:f>
          </x14:formula1>
          <xm:sqref>SIA655365:SIA655388</xm:sqref>
        </x14:dataValidation>
        <x14:dataValidation type="list" allowBlank="1" showInputMessage="1" showErrorMessage="1" xr:uid="{00000000-0002-0000-0300-000094120000}">
          <x14:formula1>
            <xm:f>項目!C17:$SRO$655361</xm:f>
          </x14:formula1>
          <xm:sqref>SRW655365:SRW655388</xm:sqref>
        </x14:dataValidation>
        <x14:dataValidation type="list" allowBlank="1" showInputMessage="1" showErrorMessage="1" xr:uid="{00000000-0002-0000-0300-000095120000}">
          <x14:formula1>
            <xm:f>項目!C17:$TBK$655361</xm:f>
          </x14:formula1>
          <xm:sqref>TBS655365:TBS655388</xm:sqref>
        </x14:dataValidation>
        <x14:dataValidation type="list" allowBlank="1" showInputMessage="1" showErrorMessage="1" xr:uid="{00000000-0002-0000-0300-000096120000}">
          <x14:formula1>
            <xm:f>項目!C17:$TLG$655361</xm:f>
          </x14:formula1>
          <xm:sqref>TLO655365:TLO655388</xm:sqref>
        </x14:dataValidation>
        <x14:dataValidation type="list" allowBlank="1" showInputMessage="1" showErrorMessage="1" xr:uid="{00000000-0002-0000-0300-000097120000}">
          <x14:formula1>
            <xm:f>項目!C17:$TVC$655361</xm:f>
          </x14:formula1>
          <xm:sqref>TVK655365:TVK655388</xm:sqref>
        </x14:dataValidation>
        <x14:dataValidation type="list" allowBlank="1" showInputMessage="1" showErrorMessage="1" xr:uid="{00000000-0002-0000-0300-000098120000}">
          <x14:formula1>
            <xm:f>項目!C17:$UEY$655361</xm:f>
          </x14:formula1>
          <xm:sqref>UFG655365:UFG655388</xm:sqref>
        </x14:dataValidation>
        <x14:dataValidation type="list" allowBlank="1" showInputMessage="1" showErrorMessage="1" xr:uid="{00000000-0002-0000-0300-000099120000}">
          <x14:formula1>
            <xm:f>項目!C17:$UOU$655361</xm:f>
          </x14:formula1>
          <xm:sqref>UPC655365:UPC655388</xm:sqref>
        </x14:dataValidation>
        <x14:dataValidation type="list" allowBlank="1" showInputMessage="1" showErrorMessage="1" xr:uid="{00000000-0002-0000-0300-00009A120000}">
          <x14:formula1>
            <xm:f>項目!C17:$UYQ$655361</xm:f>
          </x14:formula1>
          <xm:sqref>UYY655365:UYY655388</xm:sqref>
        </x14:dataValidation>
        <x14:dataValidation type="list" allowBlank="1" showInputMessage="1" showErrorMessage="1" xr:uid="{00000000-0002-0000-0300-00009B120000}">
          <x14:formula1>
            <xm:f>項目!C17:$VIM$655361</xm:f>
          </x14:formula1>
          <xm:sqref>VIU655365:VIU655388</xm:sqref>
        </x14:dataValidation>
        <x14:dataValidation type="list" allowBlank="1" showInputMessage="1" showErrorMessage="1" xr:uid="{00000000-0002-0000-0300-00009C120000}">
          <x14:formula1>
            <xm:f>項目!C17:$VSI$655361</xm:f>
          </x14:formula1>
          <xm:sqref>VSQ655365:VSQ655388</xm:sqref>
        </x14:dataValidation>
        <x14:dataValidation type="list" allowBlank="1" showInputMessage="1" showErrorMessage="1" xr:uid="{00000000-0002-0000-0300-00009D120000}">
          <x14:formula1>
            <xm:f>項目!C17:$WCE$655361</xm:f>
          </x14:formula1>
          <xm:sqref>WCM655365:WCM655388</xm:sqref>
        </x14:dataValidation>
        <x14:dataValidation type="list" allowBlank="1" showInputMessage="1" showErrorMessage="1" xr:uid="{00000000-0002-0000-0300-00009E120000}">
          <x14:formula1>
            <xm:f>項目!C17:$WMA$655361</xm:f>
          </x14:formula1>
          <xm:sqref>WMI655365:WMI655388</xm:sqref>
        </x14:dataValidation>
        <x14:dataValidation type="list" allowBlank="1" showInputMessage="1" showErrorMessage="1" xr:uid="{00000000-0002-0000-0300-00009F120000}">
          <x14:formula1>
            <xm:f>項目!C17:$WVW$655361</xm:f>
          </x14:formula1>
          <xm:sqref>WWE655365:WWE655388</xm:sqref>
        </x14:dataValidation>
        <x14:dataValidation type="list" allowBlank="1" showInputMessage="1" showErrorMessage="1" xr:uid="{00000000-0002-0000-0300-0000A0120000}">
          <x14:formula1>
            <xm:f>項目!C17:$P$720897</xm:f>
          </x14:formula1>
          <xm:sqref>W720901:W720924</xm:sqref>
        </x14:dataValidation>
        <x14:dataValidation type="list" allowBlank="1" showInputMessage="1" showErrorMessage="1" xr:uid="{00000000-0002-0000-0300-0000A1120000}">
          <x14:formula1>
            <xm:f>項目!C17:$JK$720897</xm:f>
          </x14:formula1>
          <xm:sqref>JS720901:JS720924</xm:sqref>
        </x14:dataValidation>
        <x14:dataValidation type="list" allowBlank="1" showInputMessage="1" showErrorMessage="1" xr:uid="{00000000-0002-0000-0300-0000A2120000}">
          <x14:formula1>
            <xm:f>項目!C17:$TG$720897</xm:f>
          </x14:formula1>
          <xm:sqref>TO720901:TO720924</xm:sqref>
        </x14:dataValidation>
        <x14:dataValidation type="list" allowBlank="1" showInputMessage="1" showErrorMessage="1" xr:uid="{00000000-0002-0000-0300-0000A3120000}">
          <x14:formula1>
            <xm:f>項目!C17:$ADC$720897</xm:f>
          </x14:formula1>
          <xm:sqref>ADK720901:ADK720924</xm:sqref>
        </x14:dataValidation>
        <x14:dataValidation type="list" allowBlank="1" showInputMessage="1" showErrorMessage="1" xr:uid="{00000000-0002-0000-0300-0000A4120000}">
          <x14:formula1>
            <xm:f>項目!C17:$AMY$720897</xm:f>
          </x14:formula1>
          <xm:sqref>ANG720901:ANG720924</xm:sqref>
        </x14:dataValidation>
        <x14:dataValidation type="list" allowBlank="1" showInputMessage="1" showErrorMessage="1" xr:uid="{00000000-0002-0000-0300-0000A5120000}">
          <x14:formula1>
            <xm:f>項目!C17:$AWU$720897</xm:f>
          </x14:formula1>
          <xm:sqref>AXC720901:AXC720924</xm:sqref>
        </x14:dataValidation>
        <x14:dataValidation type="list" allowBlank="1" showInputMessage="1" showErrorMessage="1" xr:uid="{00000000-0002-0000-0300-0000A6120000}">
          <x14:formula1>
            <xm:f>項目!C17:$BGQ$720897</xm:f>
          </x14:formula1>
          <xm:sqref>BGY720901:BGY720924</xm:sqref>
        </x14:dataValidation>
        <x14:dataValidation type="list" allowBlank="1" showInputMessage="1" showErrorMessage="1" xr:uid="{00000000-0002-0000-0300-0000A7120000}">
          <x14:formula1>
            <xm:f>項目!C17:$BQM$720897</xm:f>
          </x14:formula1>
          <xm:sqref>BQU720901:BQU720924</xm:sqref>
        </x14:dataValidation>
        <x14:dataValidation type="list" allowBlank="1" showInputMessage="1" showErrorMessage="1" xr:uid="{00000000-0002-0000-0300-0000A8120000}">
          <x14:formula1>
            <xm:f>項目!C17:$CAI$720897</xm:f>
          </x14:formula1>
          <xm:sqref>CAQ720901:CAQ720924</xm:sqref>
        </x14:dataValidation>
        <x14:dataValidation type="list" allowBlank="1" showInputMessage="1" showErrorMessage="1" xr:uid="{00000000-0002-0000-0300-0000A9120000}">
          <x14:formula1>
            <xm:f>項目!C17:$CKE$720897</xm:f>
          </x14:formula1>
          <xm:sqref>CKM720901:CKM720924</xm:sqref>
        </x14:dataValidation>
        <x14:dataValidation type="list" allowBlank="1" showInputMessage="1" showErrorMessage="1" xr:uid="{00000000-0002-0000-0300-0000AA120000}">
          <x14:formula1>
            <xm:f>項目!C17:$CUA$720897</xm:f>
          </x14:formula1>
          <xm:sqref>CUI720901:CUI720924</xm:sqref>
        </x14:dataValidation>
        <x14:dataValidation type="list" allowBlank="1" showInputMessage="1" showErrorMessage="1" xr:uid="{00000000-0002-0000-0300-0000AB120000}">
          <x14:formula1>
            <xm:f>項目!C17:$DDW$720897</xm:f>
          </x14:formula1>
          <xm:sqref>DEE720901:DEE720924</xm:sqref>
        </x14:dataValidation>
        <x14:dataValidation type="list" allowBlank="1" showInputMessage="1" showErrorMessage="1" xr:uid="{00000000-0002-0000-0300-0000AC120000}">
          <x14:formula1>
            <xm:f>項目!C17:$DNS$720897</xm:f>
          </x14:formula1>
          <xm:sqref>DOA720901:DOA720924</xm:sqref>
        </x14:dataValidation>
        <x14:dataValidation type="list" allowBlank="1" showInputMessage="1" showErrorMessage="1" xr:uid="{00000000-0002-0000-0300-0000AD120000}">
          <x14:formula1>
            <xm:f>項目!C17:$DXO$720897</xm:f>
          </x14:formula1>
          <xm:sqref>DXW720901:DXW720924</xm:sqref>
        </x14:dataValidation>
        <x14:dataValidation type="list" allowBlank="1" showInputMessage="1" showErrorMessage="1" xr:uid="{00000000-0002-0000-0300-0000AE120000}">
          <x14:formula1>
            <xm:f>項目!C17:$EHK$720897</xm:f>
          </x14:formula1>
          <xm:sqref>EHS720901:EHS720924</xm:sqref>
        </x14:dataValidation>
        <x14:dataValidation type="list" allowBlank="1" showInputMessage="1" showErrorMessage="1" xr:uid="{00000000-0002-0000-0300-0000AF120000}">
          <x14:formula1>
            <xm:f>項目!C17:$ERG$720897</xm:f>
          </x14:formula1>
          <xm:sqref>ERO720901:ERO720924</xm:sqref>
        </x14:dataValidation>
        <x14:dataValidation type="list" allowBlank="1" showInputMessage="1" showErrorMessage="1" xr:uid="{00000000-0002-0000-0300-0000B0120000}">
          <x14:formula1>
            <xm:f>項目!C17:$FBC$720897</xm:f>
          </x14:formula1>
          <xm:sqref>FBK720901:FBK720924</xm:sqref>
        </x14:dataValidation>
        <x14:dataValidation type="list" allowBlank="1" showInputMessage="1" showErrorMessage="1" xr:uid="{00000000-0002-0000-0300-0000B1120000}">
          <x14:formula1>
            <xm:f>項目!C17:$FKY$720897</xm:f>
          </x14:formula1>
          <xm:sqref>FLG720901:FLG720924</xm:sqref>
        </x14:dataValidation>
        <x14:dataValidation type="list" allowBlank="1" showInputMessage="1" showErrorMessage="1" xr:uid="{00000000-0002-0000-0300-0000B2120000}">
          <x14:formula1>
            <xm:f>項目!C17:$FUU$720897</xm:f>
          </x14:formula1>
          <xm:sqref>FVC720901:FVC720924</xm:sqref>
        </x14:dataValidation>
        <x14:dataValidation type="list" allowBlank="1" showInputMessage="1" showErrorMessage="1" xr:uid="{00000000-0002-0000-0300-0000B3120000}">
          <x14:formula1>
            <xm:f>項目!C17:$GEQ$720897</xm:f>
          </x14:formula1>
          <xm:sqref>GEY720901:GEY720924</xm:sqref>
        </x14:dataValidation>
        <x14:dataValidation type="list" allowBlank="1" showInputMessage="1" showErrorMessage="1" xr:uid="{00000000-0002-0000-0300-0000B4120000}">
          <x14:formula1>
            <xm:f>項目!C17:$GOM$720897</xm:f>
          </x14:formula1>
          <xm:sqref>GOU720901:GOU720924</xm:sqref>
        </x14:dataValidation>
        <x14:dataValidation type="list" allowBlank="1" showInputMessage="1" showErrorMessage="1" xr:uid="{00000000-0002-0000-0300-0000B5120000}">
          <x14:formula1>
            <xm:f>項目!C17:$GYI$720897</xm:f>
          </x14:formula1>
          <xm:sqref>GYQ720901:GYQ720924</xm:sqref>
        </x14:dataValidation>
        <x14:dataValidation type="list" allowBlank="1" showInputMessage="1" showErrorMessage="1" xr:uid="{00000000-0002-0000-0300-0000B6120000}">
          <x14:formula1>
            <xm:f>項目!C17:$HIE$720897</xm:f>
          </x14:formula1>
          <xm:sqref>HIM720901:HIM720924</xm:sqref>
        </x14:dataValidation>
        <x14:dataValidation type="list" allowBlank="1" showInputMessage="1" showErrorMessage="1" xr:uid="{00000000-0002-0000-0300-0000B7120000}">
          <x14:formula1>
            <xm:f>項目!C17:$HSA$720897</xm:f>
          </x14:formula1>
          <xm:sqref>HSI720901:HSI720924</xm:sqref>
        </x14:dataValidation>
        <x14:dataValidation type="list" allowBlank="1" showInputMessage="1" showErrorMessage="1" xr:uid="{00000000-0002-0000-0300-0000B8120000}">
          <x14:formula1>
            <xm:f>項目!C17:$IBW$720897</xm:f>
          </x14:formula1>
          <xm:sqref>ICE720901:ICE720924</xm:sqref>
        </x14:dataValidation>
        <x14:dataValidation type="list" allowBlank="1" showInputMessage="1" showErrorMessage="1" xr:uid="{00000000-0002-0000-0300-0000B9120000}">
          <x14:formula1>
            <xm:f>項目!C17:$ILS$720897</xm:f>
          </x14:formula1>
          <xm:sqref>IMA720901:IMA720924</xm:sqref>
        </x14:dataValidation>
        <x14:dataValidation type="list" allowBlank="1" showInputMessage="1" showErrorMessage="1" xr:uid="{00000000-0002-0000-0300-0000BA120000}">
          <x14:formula1>
            <xm:f>項目!C17:$IVO$720897</xm:f>
          </x14:formula1>
          <xm:sqref>IVW720901:IVW720924</xm:sqref>
        </x14:dataValidation>
        <x14:dataValidation type="list" allowBlank="1" showInputMessage="1" showErrorMessage="1" xr:uid="{00000000-0002-0000-0300-0000BB120000}">
          <x14:formula1>
            <xm:f>項目!C17:$JFK$720897</xm:f>
          </x14:formula1>
          <xm:sqref>JFS720901:JFS720924</xm:sqref>
        </x14:dataValidation>
        <x14:dataValidation type="list" allowBlank="1" showInputMessage="1" showErrorMessage="1" xr:uid="{00000000-0002-0000-0300-0000BC120000}">
          <x14:formula1>
            <xm:f>項目!C17:$JPG$720897</xm:f>
          </x14:formula1>
          <xm:sqref>JPO720901:JPO720924</xm:sqref>
        </x14:dataValidation>
        <x14:dataValidation type="list" allowBlank="1" showInputMessage="1" showErrorMessage="1" xr:uid="{00000000-0002-0000-0300-0000BD120000}">
          <x14:formula1>
            <xm:f>項目!C17:$JZC$720897</xm:f>
          </x14:formula1>
          <xm:sqref>JZK720901:JZK720924</xm:sqref>
        </x14:dataValidation>
        <x14:dataValidation type="list" allowBlank="1" showInputMessage="1" showErrorMessage="1" xr:uid="{00000000-0002-0000-0300-0000BE120000}">
          <x14:formula1>
            <xm:f>項目!C17:$KIY$720897</xm:f>
          </x14:formula1>
          <xm:sqref>KJG720901:KJG720924</xm:sqref>
        </x14:dataValidation>
        <x14:dataValidation type="list" allowBlank="1" showInputMessage="1" showErrorMessage="1" xr:uid="{00000000-0002-0000-0300-0000BF120000}">
          <x14:formula1>
            <xm:f>項目!C17:$KSU$720897</xm:f>
          </x14:formula1>
          <xm:sqref>KTC720901:KTC720924</xm:sqref>
        </x14:dataValidation>
        <x14:dataValidation type="list" allowBlank="1" showInputMessage="1" showErrorMessage="1" xr:uid="{00000000-0002-0000-0300-0000C0120000}">
          <x14:formula1>
            <xm:f>項目!C17:$LCQ$720897</xm:f>
          </x14:formula1>
          <xm:sqref>LCY720901:LCY720924</xm:sqref>
        </x14:dataValidation>
        <x14:dataValidation type="list" allowBlank="1" showInputMessage="1" showErrorMessage="1" xr:uid="{00000000-0002-0000-0300-0000C1120000}">
          <x14:formula1>
            <xm:f>項目!C17:$LMM$720897</xm:f>
          </x14:formula1>
          <xm:sqref>LMU720901:LMU720924</xm:sqref>
        </x14:dataValidation>
        <x14:dataValidation type="list" allowBlank="1" showInputMessage="1" showErrorMessage="1" xr:uid="{00000000-0002-0000-0300-0000C2120000}">
          <x14:formula1>
            <xm:f>項目!C17:$LWI$720897</xm:f>
          </x14:formula1>
          <xm:sqref>LWQ720901:LWQ720924</xm:sqref>
        </x14:dataValidation>
        <x14:dataValidation type="list" allowBlank="1" showInputMessage="1" showErrorMessage="1" xr:uid="{00000000-0002-0000-0300-0000C3120000}">
          <x14:formula1>
            <xm:f>項目!C17:$MGE$720897</xm:f>
          </x14:formula1>
          <xm:sqref>MGM720901:MGM720924</xm:sqref>
        </x14:dataValidation>
        <x14:dataValidation type="list" allowBlank="1" showInputMessage="1" showErrorMessage="1" xr:uid="{00000000-0002-0000-0300-0000C4120000}">
          <x14:formula1>
            <xm:f>項目!C17:$MQA$720897</xm:f>
          </x14:formula1>
          <xm:sqref>MQI720901:MQI720924</xm:sqref>
        </x14:dataValidation>
        <x14:dataValidation type="list" allowBlank="1" showInputMessage="1" showErrorMessage="1" xr:uid="{00000000-0002-0000-0300-0000C5120000}">
          <x14:formula1>
            <xm:f>項目!C17:$MZW$720897</xm:f>
          </x14:formula1>
          <xm:sqref>NAE720901:NAE720924</xm:sqref>
        </x14:dataValidation>
        <x14:dataValidation type="list" allowBlank="1" showInputMessage="1" showErrorMessage="1" xr:uid="{00000000-0002-0000-0300-0000C6120000}">
          <x14:formula1>
            <xm:f>項目!C17:$NJS$720897</xm:f>
          </x14:formula1>
          <xm:sqref>NKA720901:NKA720924</xm:sqref>
        </x14:dataValidation>
        <x14:dataValidation type="list" allowBlank="1" showInputMessage="1" showErrorMessage="1" xr:uid="{00000000-0002-0000-0300-0000C7120000}">
          <x14:formula1>
            <xm:f>項目!C17:$NTO$720897</xm:f>
          </x14:formula1>
          <xm:sqref>NTW720901:NTW720924</xm:sqref>
        </x14:dataValidation>
        <x14:dataValidation type="list" allowBlank="1" showInputMessage="1" showErrorMessage="1" xr:uid="{00000000-0002-0000-0300-0000C8120000}">
          <x14:formula1>
            <xm:f>項目!C17:$ODK$720897</xm:f>
          </x14:formula1>
          <xm:sqref>ODS720901:ODS720924</xm:sqref>
        </x14:dataValidation>
        <x14:dataValidation type="list" allowBlank="1" showInputMessage="1" showErrorMessage="1" xr:uid="{00000000-0002-0000-0300-0000C9120000}">
          <x14:formula1>
            <xm:f>項目!C17:$ONG$720897</xm:f>
          </x14:formula1>
          <xm:sqref>ONO720901:ONO720924</xm:sqref>
        </x14:dataValidation>
        <x14:dataValidation type="list" allowBlank="1" showInputMessage="1" showErrorMessage="1" xr:uid="{00000000-0002-0000-0300-0000CA120000}">
          <x14:formula1>
            <xm:f>項目!C17:$OXC$720897</xm:f>
          </x14:formula1>
          <xm:sqref>OXK720901:OXK720924</xm:sqref>
        </x14:dataValidation>
        <x14:dataValidation type="list" allowBlank="1" showInputMessage="1" showErrorMessage="1" xr:uid="{00000000-0002-0000-0300-0000CB120000}">
          <x14:formula1>
            <xm:f>項目!C17:$PGY$720897</xm:f>
          </x14:formula1>
          <xm:sqref>PHG720901:PHG720924</xm:sqref>
        </x14:dataValidation>
        <x14:dataValidation type="list" allowBlank="1" showInputMessage="1" showErrorMessage="1" xr:uid="{00000000-0002-0000-0300-0000CC120000}">
          <x14:formula1>
            <xm:f>項目!C17:$PQU$720897</xm:f>
          </x14:formula1>
          <xm:sqref>PRC720901:PRC720924</xm:sqref>
        </x14:dataValidation>
        <x14:dataValidation type="list" allowBlank="1" showInputMessage="1" showErrorMessage="1" xr:uid="{00000000-0002-0000-0300-0000CD120000}">
          <x14:formula1>
            <xm:f>項目!C17:$QAQ$720897</xm:f>
          </x14:formula1>
          <xm:sqref>QAY720901:QAY720924</xm:sqref>
        </x14:dataValidation>
        <x14:dataValidation type="list" allowBlank="1" showInputMessage="1" showErrorMessage="1" xr:uid="{00000000-0002-0000-0300-0000CE120000}">
          <x14:formula1>
            <xm:f>項目!C17:$QKM$720897</xm:f>
          </x14:formula1>
          <xm:sqref>QKU720901:QKU720924</xm:sqref>
        </x14:dataValidation>
        <x14:dataValidation type="list" allowBlank="1" showInputMessage="1" showErrorMessage="1" xr:uid="{00000000-0002-0000-0300-0000CF120000}">
          <x14:formula1>
            <xm:f>項目!C17:$QUI$720897</xm:f>
          </x14:formula1>
          <xm:sqref>QUQ720901:QUQ720924</xm:sqref>
        </x14:dataValidation>
        <x14:dataValidation type="list" allowBlank="1" showInputMessage="1" showErrorMessage="1" xr:uid="{00000000-0002-0000-0300-0000D0120000}">
          <x14:formula1>
            <xm:f>項目!C17:$REE$720897</xm:f>
          </x14:formula1>
          <xm:sqref>REM720901:REM720924</xm:sqref>
        </x14:dataValidation>
        <x14:dataValidation type="list" allowBlank="1" showInputMessage="1" showErrorMessage="1" xr:uid="{00000000-0002-0000-0300-0000D1120000}">
          <x14:formula1>
            <xm:f>項目!C17:$ROA$720897</xm:f>
          </x14:formula1>
          <xm:sqref>ROI720901:ROI720924</xm:sqref>
        </x14:dataValidation>
        <x14:dataValidation type="list" allowBlank="1" showInputMessage="1" showErrorMessage="1" xr:uid="{00000000-0002-0000-0300-0000D2120000}">
          <x14:formula1>
            <xm:f>項目!C17:$RXW$720897</xm:f>
          </x14:formula1>
          <xm:sqref>RYE720901:RYE720924</xm:sqref>
        </x14:dataValidation>
        <x14:dataValidation type="list" allowBlank="1" showInputMessage="1" showErrorMessage="1" xr:uid="{00000000-0002-0000-0300-0000D3120000}">
          <x14:formula1>
            <xm:f>項目!C17:$SHS$720897</xm:f>
          </x14:formula1>
          <xm:sqref>SIA720901:SIA720924</xm:sqref>
        </x14:dataValidation>
        <x14:dataValidation type="list" allowBlank="1" showInputMessage="1" showErrorMessage="1" xr:uid="{00000000-0002-0000-0300-0000D4120000}">
          <x14:formula1>
            <xm:f>項目!C17:$SRO$720897</xm:f>
          </x14:formula1>
          <xm:sqref>SRW720901:SRW720924</xm:sqref>
        </x14:dataValidation>
        <x14:dataValidation type="list" allowBlank="1" showInputMessage="1" showErrorMessage="1" xr:uid="{00000000-0002-0000-0300-0000D5120000}">
          <x14:formula1>
            <xm:f>項目!C17:$TBK$720897</xm:f>
          </x14:formula1>
          <xm:sqref>TBS720901:TBS720924</xm:sqref>
        </x14:dataValidation>
        <x14:dataValidation type="list" allowBlank="1" showInputMessage="1" showErrorMessage="1" xr:uid="{00000000-0002-0000-0300-0000D6120000}">
          <x14:formula1>
            <xm:f>項目!C17:$TLG$720897</xm:f>
          </x14:formula1>
          <xm:sqref>TLO720901:TLO720924</xm:sqref>
        </x14:dataValidation>
        <x14:dataValidation type="list" allowBlank="1" showInputMessage="1" showErrorMessage="1" xr:uid="{00000000-0002-0000-0300-0000D7120000}">
          <x14:formula1>
            <xm:f>項目!C17:$TVC$720897</xm:f>
          </x14:formula1>
          <xm:sqref>TVK720901:TVK720924</xm:sqref>
        </x14:dataValidation>
        <x14:dataValidation type="list" allowBlank="1" showInputMessage="1" showErrorMessage="1" xr:uid="{00000000-0002-0000-0300-0000D8120000}">
          <x14:formula1>
            <xm:f>項目!C17:$UEY$720897</xm:f>
          </x14:formula1>
          <xm:sqref>UFG720901:UFG720924</xm:sqref>
        </x14:dataValidation>
        <x14:dataValidation type="list" allowBlank="1" showInputMessage="1" showErrorMessage="1" xr:uid="{00000000-0002-0000-0300-0000D9120000}">
          <x14:formula1>
            <xm:f>項目!C17:$UOU$720897</xm:f>
          </x14:formula1>
          <xm:sqref>UPC720901:UPC720924</xm:sqref>
        </x14:dataValidation>
        <x14:dataValidation type="list" allowBlank="1" showInputMessage="1" showErrorMessage="1" xr:uid="{00000000-0002-0000-0300-0000DA120000}">
          <x14:formula1>
            <xm:f>項目!C17:$UYQ$720897</xm:f>
          </x14:formula1>
          <xm:sqref>UYY720901:UYY720924</xm:sqref>
        </x14:dataValidation>
        <x14:dataValidation type="list" allowBlank="1" showInputMessage="1" showErrorMessage="1" xr:uid="{00000000-0002-0000-0300-0000DB120000}">
          <x14:formula1>
            <xm:f>項目!C17:$VIM$720897</xm:f>
          </x14:formula1>
          <xm:sqref>VIU720901:VIU720924</xm:sqref>
        </x14:dataValidation>
        <x14:dataValidation type="list" allowBlank="1" showInputMessage="1" showErrorMessage="1" xr:uid="{00000000-0002-0000-0300-0000DC120000}">
          <x14:formula1>
            <xm:f>項目!C17:$VSI$720897</xm:f>
          </x14:formula1>
          <xm:sqref>VSQ720901:VSQ720924</xm:sqref>
        </x14:dataValidation>
        <x14:dataValidation type="list" allowBlank="1" showInputMessage="1" showErrorMessage="1" xr:uid="{00000000-0002-0000-0300-0000DD120000}">
          <x14:formula1>
            <xm:f>項目!C17:$WCE$720897</xm:f>
          </x14:formula1>
          <xm:sqref>WCM720901:WCM720924</xm:sqref>
        </x14:dataValidation>
        <x14:dataValidation type="list" allowBlank="1" showInputMessage="1" showErrorMessage="1" xr:uid="{00000000-0002-0000-0300-0000DE120000}">
          <x14:formula1>
            <xm:f>項目!C17:$WMA$720897</xm:f>
          </x14:formula1>
          <xm:sqref>WMI720901:WMI720924</xm:sqref>
        </x14:dataValidation>
        <x14:dataValidation type="list" allowBlank="1" showInputMessage="1" showErrorMessage="1" xr:uid="{00000000-0002-0000-0300-0000DF120000}">
          <x14:formula1>
            <xm:f>項目!C17:$WVW$720897</xm:f>
          </x14:formula1>
          <xm:sqref>WWE720901:WWE720924</xm:sqref>
        </x14:dataValidation>
        <x14:dataValidation type="list" allowBlank="1" showInputMessage="1" showErrorMessage="1" xr:uid="{00000000-0002-0000-0300-0000E0120000}">
          <x14:formula1>
            <xm:f>項目!C17:$P$786433</xm:f>
          </x14:formula1>
          <xm:sqref>W786437:W786460</xm:sqref>
        </x14:dataValidation>
        <x14:dataValidation type="list" allowBlank="1" showInputMessage="1" showErrorMessage="1" xr:uid="{00000000-0002-0000-0300-0000E1120000}">
          <x14:formula1>
            <xm:f>項目!C17:$JK$786433</xm:f>
          </x14:formula1>
          <xm:sqref>JS786437:JS786460</xm:sqref>
        </x14:dataValidation>
        <x14:dataValidation type="list" allowBlank="1" showInputMessage="1" showErrorMessage="1" xr:uid="{00000000-0002-0000-0300-0000E2120000}">
          <x14:formula1>
            <xm:f>項目!C17:$TG$786433</xm:f>
          </x14:formula1>
          <xm:sqref>TO786437:TO786460</xm:sqref>
        </x14:dataValidation>
        <x14:dataValidation type="list" allowBlank="1" showInputMessage="1" showErrorMessage="1" xr:uid="{00000000-0002-0000-0300-0000E3120000}">
          <x14:formula1>
            <xm:f>項目!C17:$ADC$786433</xm:f>
          </x14:formula1>
          <xm:sqref>ADK786437:ADK786460</xm:sqref>
        </x14:dataValidation>
        <x14:dataValidation type="list" allowBlank="1" showInputMessage="1" showErrorMessage="1" xr:uid="{00000000-0002-0000-0300-0000E4120000}">
          <x14:formula1>
            <xm:f>項目!C17:$AMY$786433</xm:f>
          </x14:formula1>
          <xm:sqref>ANG786437:ANG786460</xm:sqref>
        </x14:dataValidation>
        <x14:dataValidation type="list" allowBlank="1" showInputMessage="1" showErrorMessage="1" xr:uid="{00000000-0002-0000-0300-0000E5120000}">
          <x14:formula1>
            <xm:f>項目!C17:$AWU$786433</xm:f>
          </x14:formula1>
          <xm:sqref>AXC786437:AXC786460</xm:sqref>
        </x14:dataValidation>
        <x14:dataValidation type="list" allowBlank="1" showInputMessage="1" showErrorMessage="1" xr:uid="{00000000-0002-0000-0300-0000E6120000}">
          <x14:formula1>
            <xm:f>項目!C17:$BGQ$786433</xm:f>
          </x14:formula1>
          <xm:sqref>BGY786437:BGY786460</xm:sqref>
        </x14:dataValidation>
        <x14:dataValidation type="list" allowBlank="1" showInputMessage="1" showErrorMessage="1" xr:uid="{00000000-0002-0000-0300-0000E7120000}">
          <x14:formula1>
            <xm:f>項目!C17:$BQM$786433</xm:f>
          </x14:formula1>
          <xm:sqref>BQU786437:BQU786460</xm:sqref>
        </x14:dataValidation>
        <x14:dataValidation type="list" allowBlank="1" showInputMessage="1" showErrorMessage="1" xr:uid="{00000000-0002-0000-0300-0000E8120000}">
          <x14:formula1>
            <xm:f>項目!C17:$CAI$786433</xm:f>
          </x14:formula1>
          <xm:sqref>CAQ786437:CAQ786460</xm:sqref>
        </x14:dataValidation>
        <x14:dataValidation type="list" allowBlank="1" showInputMessage="1" showErrorMessage="1" xr:uid="{00000000-0002-0000-0300-0000E9120000}">
          <x14:formula1>
            <xm:f>項目!C17:$CKE$786433</xm:f>
          </x14:formula1>
          <xm:sqref>CKM786437:CKM786460</xm:sqref>
        </x14:dataValidation>
        <x14:dataValidation type="list" allowBlank="1" showInputMessage="1" showErrorMessage="1" xr:uid="{00000000-0002-0000-0300-0000EA120000}">
          <x14:formula1>
            <xm:f>項目!C17:$CUA$786433</xm:f>
          </x14:formula1>
          <xm:sqref>CUI786437:CUI786460</xm:sqref>
        </x14:dataValidation>
        <x14:dataValidation type="list" allowBlank="1" showInputMessage="1" showErrorMessage="1" xr:uid="{00000000-0002-0000-0300-0000EB120000}">
          <x14:formula1>
            <xm:f>項目!C17:$DDW$786433</xm:f>
          </x14:formula1>
          <xm:sqref>DEE786437:DEE786460</xm:sqref>
        </x14:dataValidation>
        <x14:dataValidation type="list" allowBlank="1" showInputMessage="1" showErrorMessage="1" xr:uid="{00000000-0002-0000-0300-0000EC120000}">
          <x14:formula1>
            <xm:f>項目!C17:$DNS$786433</xm:f>
          </x14:formula1>
          <xm:sqref>DOA786437:DOA786460</xm:sqref>
        </x14:dataValidation>
        <x14:dataValidation type="list" allowBlank="1" showInputMessage="1" showErrorMessage="1" xr:uid="{00000000-0002-0000-0300-0000ED120000}">
          <x14:formula1>
            <xm:f>項目!C17:$DXO$786433</xm:f>
          </x14:formula1>
          <xm:sqref>DXW786437:DXW786460</xm:sqref>
        </x14:dataValidation>
        <x14:dataValidation type="list" allowBlank="1" showInputMessage="1" showErrorMessage="1" xr:uid="{00000000-0002-0000-0300-0000EE120000}">
          <x14:formula1>
            <xm:f>項目!C17:$EHK$786433</xm:f>
          </x14:formula1>
          <xm:sqref>EHS786437:EHS786460</xm:sqref>
        </x14:dataValidation>
        <x14:dataValidation type="list" allowBlank="1" showInputMessage="1" showErrorMessage="1" xr:uid="{00000000-0002-0000-0300-0000EF120000}">
          <x14:formula1>
            <xm:f>項目!C17:$ERG$786433</xm:f>
          </x14:formula1>
          <xm:sqref>ERO786437:ERO786460</xm:sqref>
        </x14:dataValidation>
        <x14:dataValidation type="list" allowBlank="1" showInputMessage="1" showErrorMessage="1" xr:uid="{00000000-0002-0000-0300-0000F0120000}">
          <x14:formula1>
            <xm:f>項目!C17:$FBC$786433</xm:f>
          </x14:formula1>
          <xm:sqref>FBK786437:FBK786460</xm:sqref>
        </x14:dataValidation>
        <x14:dataValidation type="list" allowBlank="1" showInputMessage="1" showErrorMessage="1" xr:uid="{00000000-0002-0000-0300-0000F1120000}">
          <x14:formula1>
            <xm:f>項目!C17:$FKY$786433</xm:f>
          </x14:formula1>
          <xm:sqref>FLG786437:FLG786460</xm:sqref>
        </x14:dataValidation>
        <x14:dataValidation type="list" allowBlank="1" showInputMessage="1" showErrorMessage="1" xr:uid="{00000000-0002-0000-0300-0000F2120000}">
          <x14:formula1>
            <xm:f>項目!C17:$FUU$786433</xm:f>
          </x14:formula1>
          <xm:sqref>FVC786437:FVC786460</xm:sqref>
        </x14:dataValidation>
        <x14:dataValidation type="list" allowBlank="1" showInputMessage="1" showErrorMessage="1" xr:uid="{00000000-0002-0000-0300-0000F3120000}">
          <x14:formula1>
            <xm:f>項目!C17:$GEQ$786433</xm:f>
          </x14:formula1>
          <xm:sqref>GEY786437:GEY786460</xm:sqref>
        </x14:dataValidation>
        <x14:dataValidation type="list" allowBlank="1" showInputMessage="1" showErrorMessage="1" xr:uid="{00000000-0002-0000-0300-0000F4120000}">
          <x14:formula1>
            <xm:f>項目!C17:$GOM$786433</xm:f>
          </x14:formula1>
          <xm:sqref>GOU786437:GOU786460</xm:sqref>
        </x14:dataValidation>
        <x14:dataValidation type="list" allowBlank="1" showInputMessage="1" showErrorMessage="1" xr:uid="{00000000-0002-0000-0300-0000F5120000}">
          <x14:formula1>
            <xm:f>項目!C17:$GYI$786433</xm:f>
          </x14:formula1>
          <xm:sqref>GYQ786437:GYQ786460</xm:sqref>
        </x14:dataValidation>
        <x14:dataValidation type="list" allowBlank="1" showInputMessage="1" showErrorMessage="1" xr:uid="{00000000-0002-0000-0300-0000F6120000}">
          <x14:formula1>
            <xm:f>項目!C17:$HIE$786433</xm:f>
          </x14:formula1>
          <xm:sqref>HIM786437:HIM786460</xm:sqref>
        </x14:dataValidation>
        <x14:dataValidation type="list" allowBlank="1" showInputMessage="1" showErrorMessage="1" xr:uid="{00000000-0002-0000-0300-0000F7120000}">
          <x14:formula1>
            <xm:f>項目!C17:$HSA$786433</xm:f>
          </x14:formula1>
          <xm:sqref>HSI786437:HSI786460</xm:sqref>
        </x14:dataValidation>
        <x14:dataValidation type="list" allowBlank="1" showInputMessage="1" showErrorMessage="1" xr:uid="{00000000-0002-0000-0300-0000F8120000}">
          <x14:formula1>
            <xm:f>項目!C17:$IBW$786433</xm:f>
          </x14:formula1>
          <xm:sqref>ICE786437:ICE786460</xm:sqref>
        </x14:dataValidation>
        <x14:dataValidation type="list" allowBlank="1" showInputMessage="1" showErrorMessage="1" xr:uid="{00000000-0002-0000-0300-0000F9120000}">
          <x14:formula1>
            <xm:f>項目!C17:$ILS$786433</xm:f>
          </x14:formula1>
          <xm:sqref>IMA786437:IMA786460</xm:sqref>
        </x14:dataValidation>
        <x14:dataValidation type="list" allowBlank="1" showInputMessage="1" showErrorMessage="1" xr:uid="{00000000-0002-0000-0300-0000FA120000}">
          <x14:formula1>
            <xm:f>項目!C17:$IVO$786433</xm:f>
          </x14:formula1>
          <xm:sqref>IVW786437:IVW786460</xm:sqref>
        </x14:dataValidation>
        <x14:dataValidation type="list" allowBlank="1" showInputMessage="1" showErrorMessage="1" xr:uid="{00000000-0002-0000-0300-0000FB120000}">
          <x14:formula1>
            <xm:f>項目!C17:$JFK$786433</xm:f>
          </x14:formula1>
          <xm:sqref>JFS786437:JFS786460</xm:sqref>
        </x14:dataValidation>
        <x14:dataValidation type="list" allowBlank="1" showInputMessage="1" showErrorMessage="1" xr:uid="{00000000-0002-0000-0300-0000FC120000}">
          <x14:formula1>
            <xm:f>項目!C17:$JPG$786433</xm:f>
          </x14:formula1>
          <xm:sqref>JPO786437:JPO786460</xm:sqref>
        </x14:dataValidation>
        <x14:dataValidation type="list" allowBlank="1" showInputMessage="1" showErrorMessage="1" xr:uid="{00000000-0002-0000-0300-0000FD120000}">
          <x14:formula1>
            <xm:f>項目!C17:$JZC$786433</xm:f>
          </x14:formula1>
          <xm:sqref>JZK786437:JZK786460</xm:sqref>
        </x14:dataValidation>
        <x14:dataValidation type="list" allowBlank="1" showInputMessage="1" showErrorMessage="1" xr:uid="{00000000-0002-0000-0300-0000FE120000}">
          <x14:formula1>
            <xm:f>項目!C17:$KIY$786433</xm:f>
          </x14:formula1>
          <xm:sqref>KJG786437:KJG786460</xm:sqref>
        </x14:dataValidation>
        <x14:dataValidation type="list" allowBlank="1" showInputMessage="1" showErrorMessage="1" xr:uid="{00000000-0002-0000-0300-0000FF120000}">
          <x14:formula1>
            <xm:f>項目!C17:$KSU$786433</xm:f>
          </x14:formula1>
          <xm:sqref>KTC786437:KTC786460</xm:sqref>
        </x14:dataValidation>
        <x14:dataValidation type="list" allowBlank="1" showInputMessage="1" showErrorMessage="1" xr:uid="{00000000-0002-0000-0300-000000130000}">
          <x14:formula1>
            <xm:f>項目!C17:$LCQ$786433</xm:f>
          </x14:formula1>
          <xm:sqref>LCY786437:LCY786460</xm:sqref>
        </x14:dataValidation>
        <x14:dataValidation type="list" allowBlank="1" showInputMessage="1" showErrorMessage="1" xr:uid="{00000000-0002-0000-0300-000001130000}">
          <x14:formula1>
            <xm:f>項目!C17:$LMM$786433</xm:f>
          </x14:formula1>
          <xm:sqref>LMU786437:LMU786460</xm:sqref>
        </x14:dataValidation>
        <x14:dataValidation type="list" allowBlank="1" showInputMessage="1" showErrorMessage="1" xr:uid="{00000000-0002-0000-0300-000002130000}">
          <x14:formula1>
            <xm:f>項目!C17:$LWI$786433</xm:f>
          </x14:formula1>
          <xm:sqref>LWQ786437:LWQ786460</xm:sqref>
        </x14:dataValidation>
        <x14:dataValidation type="list" allowBlank="1" showInputMessage="1" showErrorMessage="1" xr:uid="{00000000-0002-0000-0300-000003130000}">
          <x14:formula1>
            <xm:f>項目!C17:$MGE$786433</xm:f>
          </x14:formula1>
          <xm:sqref>MGM786437:MGM786460</xm:sqref>
        </x14:dataValidation>
        <x14:dataValidation type="list" allowBlank="1" showInputMessage="1" showErrorMessage="1" xr:uid="{00000000-0002-0000-0300-000004130000}">
          <x14:formula1>
            <xm:f>項目!C17:$MQA$786433</xm:f>
          </x14:formula1>
          <xm:sqref>MQI786437:MQI786460</xm:sqref>
        </x14:dataValidation>
        <x14:dataValidation type="list" allowBlank="1" showInputMessage="1" showErrorMessage="1" xr:uid="{00000000-0002-0000-0300-000005130000}">
          <x14:formula1>
            <xm:f>項目!C17:$MZW$786433</xm:f>
          </x14:formula1>
          <xm:sqref>NAE786437:NAE786460</xm:sqref>
        </x14:dataValidation>
        <x14:dataValidation type="list" allowBlank="1" showInputMessage="1" showErrorMessage="1" xr:uid="{00000000-0002-0000-0300-000006130000}">
          <x14:formula1>
            <xm:f>項目!C17:$NJS$786433</xm:f>
          </x14:formula1>
          <xm:sqref>NKA786437:NKA786460</xm:sqref>
        </x14:dataValidation>
        <x14:dataValidation type="list" allowBlank="1" showInputMessage="1" showErrorMessage="1" xr:uid="{00000000-0002-0000-0300-000007130000}">
          <x14:formula1>
            <xm:f>項目!C17:$NTO$786433</xm:f>
          </x14:formula1>
          <xm:sqref>NTW786437:NTW786460</xm:sqref>
        </x14:dataValidation>
        <x14:dataValidation type="list" allowBlank="1" showInputMessage="1" showErrorMessage="1" xr:uid="{00000000-0002-0000-0300-000008130000}">
          <x14:formula1>
            <xm:f>項目!C17:$ODK$786433</xm:f>
          </x14:formula1>
          <xm:sqref>ODS786437:ODS786460</xm:sqref>
        </x14:dataValidation>
        <x14:dataValidation type="list" allowBlank="1" showInputMessage="1" showErrorMessage="1" xr:uid="{00000000-0002-0000-0300-000009130000}">
          <x14:formula1>
            <xm:f>項目!C17:$ONG$786433</xm:f>
          </x14:formula1>
          <xm:sqref>ONO786437:ONO786460</xm:sqref>
        </x14:dataValidation>
        <x14:dataValidation type="list" allowBlank="1" showInputMessage="1" showErrorMessage="1" xr:uid="{00000000-0002-0000-0300-00000A130000}">
          <x14:formula1>
            <xm:f>項目!C17:$OXC$786433</xm:f>
          </x14:formula1>
          <xm:sqref>OXK786437:OXK786460</xm:sqref>
        </x14:dataValidation>
        <x14:dataValidation type="list" allowBlank="1" showInputMessage="1" showErrorMessage="1" xr:uid="{00000000-0002-0000-0300-00000B130000}">
          <x14:formula1>
            <xm:f>項目!C17:$PGY$786433</xm:f>
          </x14:formula1>
          <xm:sqref>PHG786437:PHG786460</xm:sqref>
        </x14:dataValidation>
        <x14:dataValidation type="list" allowBlank="1" showInputMessage="1" showErrorMessage="1" xr:uid="{00000000-0002-0000-0300-00000C130000}">
          <x14:formula1>
            <xm:f>項目!C17:$PQU$786433</xm:f>
          </x14:formula1>
          <xm:sqref>PRC786437:PRC786460</xm:sqref>
        </x14:dataValidation>
        <x14:dataValidation type="list" allowBlank="1" showInputMessage="1" showErrorMessage="1" xr:uid="{00000000-0002-0000-0300-00000D130000}">
          <x14:formula1>
            <xm:f>項目!C17:$QAQ$786433</xm:f>
          </x14:formula1>
          <xm:sqref>QAY786437:QAY786460</xm:sqref>
        </x14:dataValidation>
        <x14:dataValidation type="list" allowBlank="1" showInputMessage="1" showErrorMessage="1" xr:uid="{00000000-0002-0000-0300-00000E130000}">
          <x14:formula1>
            <xm:f>項目!C17:$QKM$786433</xm:f>
          </x14:formula1>
          <xm:sqref>QKU786437:QKU786460</xm:sqref>
        </x14:dataValidation>
        <x14:dataValidation type="list" allowBlank="1" showInputMessage="1" showErrorMessage="1" xr:uid="{00000000-0002-0000-0300-00000F130000}">
          <x14:formula1>
            <xm:f>項目!C17:$QUI$786433</xm:f>
          </x14:formula1>
          <xm:sqref>QUQ786437:QUQ786460</xm:sqref>
        </x14:dataValidation>
        <x14:dataValidation type="list" allowBlank="1" showInputMessage="1" showErrorMessage="1" xr:uid="{00000000-0002-0000-0300-000010130000}">
          <x14:formula1>
            <xm:f>項目!C17:$REE$786433</xm:f>
          </x14:formula1>
          <xm:sqref>REM786437:REM786460</xm:sqref>
        </x14:dataValidation>
        <x14:dataValidation type="list" allowBlank="1" showInputMessage="1" showErrorMessage="1" xr:uid="{00000000-0002-0000-0300-000011130000}">
          <x14:formula1>
            <xm:f>項目!C17:$ROA$786433</xm:f>
          </x14:formula1>
          <xm:sqref>ROI786437:ROI786460</xm:sqref>
        </x14:dataValidation>
        <x14:dataValidation type="list" allowBlank="1" showInputMessage="1" showErrorMessage="1" xr:uid="{00000000-0002-0000-0300-000012130000}">
          <x14:formula1>
            <xm:f>項目!C17:$RXW$786433</xm:f>
          </x14:formula1>
          <xm:sqref>RYE786437:RYE786460</xm:sqref>
        </x14:dataValidation>
        <x14:dataValidation type="list" allowBlank="1" showInputMessage="1" showErrorMessage="1" xr:uid="{00000000-0002-0000-0300-000013130000}">
          <x14:formula1>
            <xm:f>項目!C17:$SHS$786433</xm:f>
          </x14:formula1>
          <xm:sqref>SIA786437:SIA786460</xm:sqref>
        </x14:dataValidation>
        <x14:dataValidation type="list" allowBlank="1" showInputMessage="1" showErrorMessage="1" xr:uid="{00000000-0002-0000-0300-000014130000}">
          <x14:formula1>
            <xm:f>項目!C17:$SRO$786433</xm:f>
          </x14:formula1>
          <xm:sqref>SRW786437:SRW786460</xm:sqref>
        </x14:dataValidation>
        <x14:dataValidation type="list" allowBlank="1" showInputMessage="1" showErrorMessage="1" xr:uid="{00000000-0002-0000-0300-000015130000}">
          <x14:formula1>
            <xm:f>項目!C17:$TBK$786433</xm:f>
          </x14:formula1>
          <xm:sqref>TBS786437:TBS786460</xm:sqref>
        </x14:dataValidation>
        <x14:dataValidation type="list" allowBlank="1" showInputMessage="1" showErrorMessage="1" xr:uid="{00000000-0002-0000-0300-000016130000}">
          <x14:formula1>
            <xm:f>項目!C17:$TLG$786433</xm:f>
          </x14:formula1>
          <xm:sqref>TLO786437:TLO786460</xm:sqref>
        </x14:dataValidation>
        <x14:dataValidation type="list" allowBlank="1" showInputMessage="1" showErrorMessage="1" xr:uid="{00000000-0002-0000-0300-000017130000}">
          <x14:formula1>
            <xm:f>項目!C17:$TVC$786433</xm:f>
          </x14:formula1>
          <xm:sqref>TVK786437:TVK786460</xm:sqref>
        </x14:dataValidation>
        <x14:dataValidation type="list" allowBlank="1" showInputMessage="1" showErrorMessage="1" xr:uid="{00000000-0002-0000-0300-000018130000}">
          <x14:formula1>
            <xm:f>項目!C17:$UEY$786433</xm:f>
          </x14:formula1>
          <xm:sqref>UFG786437:UFG786460</xm:sqref>
        </x14:dataValidation>
        <x14:dataValidation type="list" allowBlank="1" showInputMessage="1" showErrorMessage="1" xr:uid="{00000000-0002-0000-0300-000019130000}">
          <x14:formula1>
            <xm:f>項目!C17:$UOU$786433</xm:f>
          </x14:formula1>
          <xm:sqref>UPC786437:UPC786460</xm:sqref>
        </x14:dataValidation>
        <x14:dataValidation type="list" allowBlank="1" showInputMessage="1" showErrorMessage="1" xr:uid="{00000000-0002-0000-0300-00001A130000}">
          <x14:formula1>
            <xm:f>項目!C17:$UYQ$786433</xm:f>
          </x14:formula1>
          <xm:sqref>UYY786437:UYY786460</xm:sqref>
        </x14:dataValidation>
        <x14:dataValidation type="list" allowBlank="1" showInputMessage="1" showErrorMessage="1" xr:uid="{00000000-0002-0000-0300-00001B130000}">
          <x14:formula1>
            <xm:f>項目!C17:$VIM$786433</xm:f>
          </x14:formula1>
          <xm:sqref>VIU786437:VIU786460</xm:sqref>
        </x14:dataValidation>
        <x14:dataValidation type="list" allowBlank="1" showInputMessage="1" showErrorMessage="1" xr:uid="{00000000-0002-0000-0300-00001C130000}">
          <x14:formula1>
            <xm:f>項目!C17:$VSI$786433</xm:f>
          </x14:formula1>
          <xm:sqref>VSQ786437:VSQ786460</xm:sqref>
        </x14:dataValidation>
        <x14:dataValidation type="list" allowBlank="1" showInputMessage="1" showErrorMessage="1" xr:uid="{00000000-0002-0000-0300-00001D130000}">
          <x14:formula1>
            <xm:f>項目!C17:$WCE$786433</xm:f>
          </x14:formula1>
          <xm:sqref>WCM786437:WCM786460</xm:sqref>
        </x14:dataValidation>
        <x14:dataValidation type="list" allowBlank="1" showInputMessage="1" showErrorMessage="1" xr:uid="{00000000-0002-0000-0300-00001E130000}">
          <x14:formula1>
            <xm:f>項目!C17:$WMA$786433</xm:f>
          </x14:formula1>
          <xm:sqref>WMI786437:WMI786460</xm:sqref>
        </x14:dataValidation>
        <x14:dataValidation type="list" allowBlank="1" showInputMessage="1" showErrorMessage="1" xr:uid="{00000000-0002-0000-0300-00001F130000}">
          <x14:formula1>
            <xm:f>項目!C17:$WVW$786433</xm:f>
          </x14:formula1>
          <xm:sqref>WWE786437:WWE786460</xm:sqref>
        </x14:dataValidation>
        <x14:dataValidation type="list" allowBlank="1" showInputMessage="1" showErrorMessage="1" xr:uid="{00000000-0002-0000-0300-000020130000}">
          <x14:formula1>
            <xm:f>項目!C17:$P$851969</xm:f>
          </x14:formula1>
          <xm:sqref>W851973:W851996</xm:sqref>
        </x14:dataValidation>
        <x14:dataValidation type="list" allowBlank="1" showInputMessage="1" showErrorMessage="1" xr:uid="{00000000-0002-0000-0300-000021130000}">
          <x14:formula1>
            <xm:f>項目!C17:$JK$851969</xm:f>
          </x14:formula1>
          <xm:sqref>JS851973:JS851996</xm:sqref>
        </x14:dataValidation>
        <x14:dataValidation type="list" allowBlank="1" showInputMessage="1" showErrorMessage="1" xr:uid="{00000000-0002-0000-0300-000022130000}">
          <x14:formula1>
            <xm:f>項目!C17:$TG$851969</xm:f>
          </x14:formula1>
          <xm:sqref>TO851973:TO851996</xm:sqref>
        </x14:dataValidation>
        <x14:dataValidation type="list" allowBlank="1" showInputMessage="1" showErrorMessage="1" xr:uid="{00000000-0002-0000-0300-000023130000}">
          <x14:formula1>
            <xm:f>項目!C17:$ADC$851969</xm:f>
          </x14:formula1>
          <xm:sqref>ADK851973:ADK851996</xm:sqref>
        </x14:dataValidation>
        <x14:dataValidation type="list" allowBlank="1" showInputMessage="1" showErrorMessage="1" xr:uid="{00000000-0002-0000-0300-000024130000}">
          <x14:formula1>
            <xm:f>項目!C17:$AMY$851969</xm:f>
          </x14:formula1>
          <xm:sqref>ANG851973:ANG851996</xm:sqref>
        </x14:dataValidation>
        <x14:dataValidation type="list" allowBlank="1" showInputMessage="1" showErrorMessage="1" xr:uid="{00000000-0002-0000-0300-000025130000}">
          <x14:formula1>
            <xm:f>項目!C17:$AWU$851969</xm:f>
          </x14:formula1>
          <xm:sqref>AXC851973:AXC851996</xm:sqref>
        </x14:dataValidation>
        <x14:dataValidation type="list" allowBlank="1" showInputMessage="1" showErrorMessage="1" xr:uid="{00000000-0002-0000-0300-000026130000}">
          <x14:formula1>
            <xm:f>項目!C17:$BGQ$851969</xm:f>
          </x14:formula1>
          <xm:sqref>BGY851973:BGY851996</xm:sqref>
        </x14:dataValidation>
        <x14:dataValidation type="list" allowBlank="1" showInputMessage="1" showErrorMessage="1" xr:uid="{00000000-0002-0000-0300-000027130000}">
          <x14:formula1>
            <xm:f>項目!C17:$BQM$851969</xm:f>
          </x14:formula1>
          <xm:sqref>BQU851973:BQU851996</xm:sqref>
        </x14:dataValidation>
        <x14:dataValidation type="list" allowBlank="1" showInputMessage="1" showErrorMessage="1" xr:uid="{00000000-0002-0000-0300-000028130000}">
          <x14:formula1>
            <xm:f>項目!C17:$CAI$851969</xm:f>
          </x14:formula1>
          <xm:sqref>CAQ851973:CAQ851996</xm:sqref>
        </x14:dataValidation>
        <x14:dataValidation type="list" allowBlank="1" showInputMessage="1" showErrorMessage="1" xr:uid="{00000000-0002-0000-0300-000029130000}">
          <x14:formula1>
            <xm:f>項目!C17:$CKE$851969</xm:f>
          </x14:formula1>
          <xm:sqref>CKM851973:CKM851996</xm:sqref>
        </x14:dataValidation>
        <x14:dataValidation type="list" allowBlank="1" showInputMessage="1" showErrorMessage="1" xr:uid="{00000000-0002-0000-0300-00002A130000}">
          <x14:formula1>
            <xm:f>項目!C17:$CUA$851969</xm:f>
          </x14:formula1>
          <xm:sqref>CUI851973:CUI851996</xm:sqref>
        </x14:dataValidation>
        <x14:dataValidation type="list" allowBlank="1" showInputMessage="1" showErrorMessage="1" xr:uid="{00000000-0002-0000-0300-00002B130000}">
          <x14:formula1>
            <xm:f>項目!C17:$DDW$851969</xm:f>
          </x14:formula1>
          <xm:sqref>DEE851973:DEE851996</xm:sqref>
        </x14:dataValidation>
        <x14:dataValidation type="list" allowBlank="1" showInputMessage="1" showErrorMessage="1" xr:uid="{00000000-0002-0000-0300-00002C130000}">
          <x14:formula1>
            <xm:f>項目!C17:$DNS$851969</xm:f>
          </x14:formula1>
          <xm:sqref>DOA851973:DOA851996</xm:sqref>
        </x14:dataValidation>
        <x14:dataValidation type="list" allowBlank="1" showInputMessage="1" showErrorMessage="1" xr:uid="{00000000-0002-0000-0300-00002D130000}">
          <x14:formula1>
            <xm:f>項目!C17:$DXO$851969</xm:f>
          </x14:formula1>
          <xm:sqref>DXW851973:DXW851996</xm:sqref>
        </x14:dataValidation>
        <x14:dataValidation type="list" allowBlank="1" showInputMessage="1" showErrorMessage="1" xr:uid="{00000000-0002-0000-0300-00002E130000}">
          <x14:formula1>
            <xm:f>項目!C17:$EHK$851969</xm:f>
          </x14:formula1>
          <xm:sqref>EHS851973:EHS851996</xm:sqref>
        </x14:dataValidation>
        <x14:dataValidation type="list" allowBlank="1" showInputMessage="1" showErrorMessage="1" xr:uid="{00000000-0002-0000-0300-00002F130000}">
          <x14:formula1>
            <xm:f>項目!C17:$ERG$851969</xm:f>
          </x14:formula1>
          <xm:sqref>ERO851973:ERO851996</xm:sqref>
        </x14:dataValidation>
        <x14:dataValidation type="list" allowBlank="1" showInputMessage="1" showErrorMessage="1" xr:uid="{00000000-0002-0000-0300-000030130000}">
          <x14:formula1>
            <xm:f>項目!C17:$FBC$851969</xm:f>
          </x14:formula1>
          <xm:sqref>FBK851973:FBK851996</xm:sqref>
        </x14:dataValidation>
        <x14:dataValidation type="list" allowBlank="1" showInputMessage="1" showErrorMessage="1" xr:uid="{00000000-0002-0000-0300-000031130000}">
          <x14:formula1>
            <xm:f>項目!C17:$FKY$851969</xm:f>
          </x14:formula1>
          <xm:sqref>FLG851973:FLG851996</xm:sqref>
        </x14:dataValidation>
        <x14:dataValidation type="list" allowBlank="1" showInputMessage="1" showErrorMessage="1" xr:uid="{00000000-0002-0000-0300-000032130000}">
          <x14:formula1>
            <xm:f>項目!C17:$FUU$851969</xm:f>
          </x14:formula1>
          <xm:sqref>FVC851973:FVC851996</xm:sqref>
        </x14:dataValidation>
        <x14:dataValidation type="list" allowBlank="1" showInputMessage="1" showErrorMessage="1" xr:uid="{00000000-0002-0000-0300-000033130000}">
          <x14:formula1>
            <xm:f>項目!C17:$GEQ$851969</xm:f>
          </x14:formula1>
          <xm:sqref>GEY851973:GEY851996</xm:sqref>
        </x14:dataValidation>
        <x14:dataValidation type="list" allowBlank="1" showInputMessage="1" showErrorMessage="1" xr:uid="{00000000-0002-0000-0300-000034130000}">
          <x14:formula1>
            <xm:f>項目!C17:$GOM$851969</xm:f>
          </x14:formula1>
          <xm:sqref>GOU851973:GOU851996</xm:sqref>
        </x14:dataValidation>
        <x14:dataValidation type="list" allowBlank="1" showInputMessage="1" showErrorMessage="1" xr:uid="{00000000-0002-0000-0300-000035130000}">
          <x14:formula1>
            <xm:f>項目!C17:$GYI$851969</xm:f>
          </x14:formula1>
          <xm:sqref>GYQ851973:GYQ851996</xm:sqref>
        </x14:dataValidation>
        <x14:dataValidation type="list" allowBlank="1" showInputMessage="1" showErrorMessage="1" xr:uid="{00000000-0002-0000-0300-000036130000}">
          <x14:formula1>
            <xm:f>項目!C17:$HIE$851969</xm:f>
          </x14:formula1>
          <xm:sqref>HIM851973:HIM851996</xm:sqref>
        </x14:dataValidation>
        <x14:dataValidation type="list" allowBlank="1" showInputMessage="1" showErrorMessage="1" xr:uid="{00000000-0002-0000-0300-000037130000}">
          <x14:formula1>
            <xm:f>項目!C17:$HSA$851969</xm:f>
          </x14:formula1>
          <xm:sqref>HSI851973:HSI851996</xm:sqref>
        </x14:dataValidation>
        <x14:dataValidation type="list" allowBlank="1" showInputMessage="1" showErrorMessage="1" xr:uid="{00000000-0002-0000-0300-000038130000}">
          <x14:formula1>
            <xm:f>項目!C17:$IBW$851969</xm:f>
          </x14:formula1>
          <xm:sqref>ICE851973:ICE851996</xm:sqref>
        </x14:dataValidation>
        <x14:dataValidation type="list" allowBlank="1" showInputMessage="1" showErrorMessage="1" xr:uid="{00000000-0002-0000-0300-000039130000}">
          <x14:formula1>
            <xm:f>項目!C17:$ILS$851969</xm:f>
          </x14:formula1>
          <xm:sqref>IMA851973:IMA851996</xm:sqref>
        </x14:dataValidation>
        <x14:dataValidation type="list" allowBlank="1" showInputMessage="1" showErrorMessage="1" xr:uid="{00000000-0002-0000-0300-00003A130000}">
          <x14:formula1>
            <xm:f>項目!C17:$IVO$851969</xm:f>
          </x14:formula1>
          <xm:sqref>IVW851973:IVW851996</xm:sqref>
        </x14:dataValidation>
        <x14:dataValidation type="list" allowBlank="1" showInputMessage="1" showErrorMessage="1" xr:uid="{00000000-0002-0000-0300-00003B130000}">
          <x14:formula1>
            <xm:f>項目!C17:$JFK$851969</xm:f>
          </x14:formula1>
          <xm:sqref>JFS851973:JFS851996</xm:sqref>
        </x14:dataValidation>
        <x14:dataValidation type="list" allowBlank="1" showInputMessage="1" showErrorMessage="1" xr:uid="{00000000-0002-0000-0300-00003C130000}">
          <x14:formula1>
            <xm:f>項目!C17:$JPG$851969</xm:f>
          </x14:formula1>
          <xm:sqref>JPO851973:JPO851996</xm:sqref>
        </x14:dataValidation>
        <x14:dataValidation type="list" allowBlank="1" showInputMessage="1" showErrorMessage="1" xr:uid="{00000000-0002-0000-0300-00003D130000}">
          <x14:formula1>
            <xm:f>項目!C17:$JZC$851969</xm:f>
          </x14:formula1>
          <xm:sqref>JZK851973:JZK851996</xm:sqref>
        </x14:dataValidation>
        <x14:dataValidation type="list" allowBlank="1" showInputMessage="1" showErrorMessage="1" xr:uid="{00000000-0002-0000-0300-00003E130000}">
          <x14:formula1>
            <xm:f>項目!C17:$KIY$851969</xm:f>
          </x14:formula1>
          <xm:sqref>KJG851973:KJG851996</xm:sqref>
        </x14:dataValidation>
        <x14:dataValidation type="list" allowBlank="1" showInputMessage="1" showErrorMessage="1" xr:uid="{00000000-0002-0000-0300-00003F130000}">
          <x14:formula1>
            <xm:f>項目!C17:$KSU$851969</xm:f>
          </x14:formula1>
          <xm:sqref>KTC851973:KTC851996</xm:sqref>
        </x14:dataValidation>
        <x14:dataValidation type="list" allowBlank="1" showInputMessage="1" showErrorMessage="1" xr:uid="{00000000-0002-0000-0300-000040130000}">
          <x14:formula1>
            <xm:f>項目!C17:$LCQ$851969</xm:f>
          </x14:formula1>
          <xm:sqref>LCY851973:LCY851996</xm:sqref>
        </x14:dataValidation>
        <x14:dataValidation type="list" allowBlank="1" showInputMessage="1" showErrorMessage="1" xr:uid="{00000000-0002-0000-0300-000041130000}">
          <x14:formula1>
            <xm:f>項目!C17:$LMM$851969</xm:f>
          </x14:formula1>
          <xm:sqref>LMU851973:LMU851996</xm:sqref>
        </x14:dataValidation>
        <x14:dataValidation type="list" allowBlank="1" showInputMessage="1" showErrorMessage="1" xr:uid="{00000000-0002-0000-0300-000042130000}">
          <x14:formula1>
            <xm:f>項目!C17:$LWI$851969</xm:f>
          </x14:formula1>
          <xm:sqref>LWQ851973:LWQ851996</xm:sqref>
        </x14:dataValidation>
        <x14:dataValidation type="list" allowBlank="1" showInputMessage="1" showErrorMessage="1" xr:uid="{00000000-0002-0000-0300-000043130000}">
          <x14:formula1>
            <xm:f>項目!C17:$MGE$851969</xm:f>
          </x14:formula1>
          <xm:sqref>MGM851973:MGM851996</xm:sqref>
        </x14:dataValidation>
        <x14:dataValidation type="list" allowBlank="1" showInputMessage="1" showErrorMessage="1" xr:uid="{00000000-0002-0000-0300-000044130000}">
          <x14:formula1>
            <xm:f>項目!C17:$MQA$851969</xm:f>
          </x14:formula1>
          <xm:sqref>MQI851973:MQI851996</xm:sqref>
        </x14:dataValidation>
        <x14:dataValidation type="list" allowBlank="1" showInputMessage="1" showErrorMessage="1" xr:uid="{00000000-0002-0000-0300-000045130000}">
          <x14:formula1>
            <xm:f>項目!C17:$MZW$851969</xm:f>
          </x14:formula1>
          <xm:sqref>NAE851973:NAE851996</xm:sqref>
        </x14:dataValidation>
        <x14:dataValidation type="list" allowBlank="1" showInputMessage="1" showErrorMessage="1" xr:uid="{00000000-0002-0000-0300-000046130000}">
          <x14:formula1>
            <xm:f>項目!C17:$NJS$851969</xm:f>
          </x14:formula1>
          <xm:sqref>NKA851973:NKA851996</xm:sqref>
        </x14:dataValidation>
        <x14:dataValidation type="list" allowBlank="1" showInputMessage="1" showErrorMessage="1" xr:uid="{00000000-0002-0000-0300-000047130000}">
          <x14:formula1>
            <xm:f>項目!C17:$NTO$851969</xm:f>
          </x14:formula1>
          <xm:sqref>NTW851973:NTW851996</xm:sqref>
        </x14:dataValidation>
        <x14:dataValidation type="list" allowBlank="1" showInputMessage="1" showErrorMessage="1" xr:uid="{00000000-0002-0000-0300-000048130000}">
          <x14:formula1>
            <xm:f>項目!C17:$ODK$851969</xm:f>
          </x14:formula1>
          <xm:sqref>ODS851973:ODS851996</xm:sqref>
        </x14:dataValidation>
        <x14:dataValidation type="list" allowBlank="1" showInputMessage="1" showErrorMessage="1" xr:uid="{00000000-0002-0000-0300-000049130000}">
          <x14:formula1>
            <xm:f>項目!C17:$ONG$851969</xm:f>
          </x14:formula1>
          <xm:sqref>ONO851973:ONO851996</xm:sqref>
        </x14:dataValidation>
        <x14:dataValidation type="list" allowBlank="1" showInputMessage="1" showErrorMessage="1" xr:uid="{00000000-0002-0000-0300-00004A130000}">
          <x14:formula1>
            <xm:f>項目!C17:$OXC$851969</xm:f>
          </x14:formula1>
          <xm:sqref>OXK851973:OXK851996</xm:sqref>
        </x14:dataValidation>
        <x14:dataValidation type="list" allowBlank="1" showInputMessage="1" showErrorMessage="1" xr:uid="{00000000-0002-0000-0300-00004B130000}">
          <x14:formula1>
            <xm:f>項目!C17:$PGY$851969</xm:f>
          </x14:formula1>
          <xm:sqref>PHG851973:PHG851996</xm:sqref>
        </x14:dataValidation>
        <x14:dataValidation type="list" allowBlank="1" showInputMessage="1" showErrorMessage="1" xr:uid="{00000000-0002-0000-0300-00004C130000}">
          <x14:formula1>
            <xm:f>項目!C17:$PQU$851969</xm:f>
          </x14:formula1>
          <xm:sqref>PRC851973:PRC851996</xm:sqref>
        </x14:dataValidation>
        <x14:dataValidation type="list" allowBlank="1" showInputMessage="1" showErrorMessage="1" xr:uid="{00000000-0002-0000-0300-00004D130000}">
          <x14:formula1>
            <xm:f>項目!C17:$QAQ$851969</xm:f>
          </x14:formula1>
          <xm:sqref>QAY851973:QAY851996</xm:sqref>
        </x14:dataValidation>
        <x14:dataValidation type="list" allowBlank="1" showInputMessage="1" showErrorMessage="1" xr:uid="{00000000-0002-0000-0300-00004E130000}">
          <x14:formula1>
            <xm:f>項目!C17:$QKM$851969</xm:f>
          </x14:formula1>
          <xm:sqref>QKU851973:QKU851996</xm:sqref>
        </x14:dataValidation>
        <x14:dataValidation type="list" allowBlank="1" showInputMessage="1" showErrorMessage="1" xr:uid="{00000000-0002-0000-0300-00004F130000}">
          <x14:formula1>
            <xm:f>項目!C17:$QUI$851969</xm:f>
          </x14:formula1>
          <xm:sqref>QUQ851973:QUQ851996</xm:sqref>
        </x14:dataValidation>
        <x14:dataValidation type="list" allowBlank="1" showInputMessage="1" showErrorMessage="1" xr:uid="{00000000-0002-0000-0300-000050130000}">
          <x14:formula1>
            <xm:f>項目!C17:$REE$851969</xm:f>
          </x14:formula1>
          <xm:sqref>REM851973:REM851996</xm:sqref>
        </x14:dataValidation>
        <x14:dataValidation type="list" allowBlank="1" showInputMessage="1" showErrorMessage="1" xr:uid="{00000000-0002-0000-0300-000051130000}">
          <x14:formula1>
            <xm:f>項目!C17:$ROA$851969</xm:f>
          </x14:formula1>
          <xm:sqref>ROI851973:ROI851996</xm:sqref>
        </x14:dataValidation>
        <x14:dataValidation type="list" allowBlank="1" showInputMessage="1" showErrorMessage="1" xr:uid="{00000000-0002-0000-0300-000052130000}">
          <x14:formula1>
            <xm:f>項目!C17:$RXW$851969</xm:f>
          </x14:formula1>
          <xm:sqref>RYE851973:RYE851996</xm:sqref>
        </x14:dataValidation>
        <x14:dataValidation type="list" allowBlank="1" showInputMessage="1" showErrorMessage="1" xr:uid="{00000000-0002-0000-0300-000053130000}">
          <x14:formula1>
            <xm:f>項目!C17:$SHS$851969</xm:f>
          </x14:formula1>
          <xm:sqref>SIA851973:SIA851996</xm:sqref>
        </x14:dataValidation>
        <x14:dataValidation type="list" allowBlank="1" showInputMessage="1" showErrorMessage="1" xr:uid="{00000000-0002-0000-0300-000054130000}">
          <x14:formula1>
            <xm:f>項目!C17:$SRO$851969</xm:f>
          </x14:formula1>
          <xm:sqref>SRW851973:SRW851996</xm:sqref>
        </x14:dataValidation>
        <x14:dataValidation type="list" allowBlank="1" showInputMessage="1" showErrorMessage="1" xr:uid="{00000000-0002-0000-0300-000055130000}">
          <x14:formula1>
            <xm:f>項目!C17:$TBK$851969</xm:f>
          </x14:formula1>
          <xm:sqref>TBS851973:TBS851996</xm:sqref>
        </x14:dataValidation>
        <x14:dataValidation type="list" allowBlank="1" showInputMessage="1" showErrorMessage="1" xr:uid="{00000000-0002-0000-0300-000056130000}">
          <x14:formula1>
            <xm:f>項目!C17:$TLG$851969</xm:f>
          </x14:formula1>
          <xm:sqref>TLO851973:TLO851996</xm:sqref>
        </x14:dataValidation>
        <x14:dataValidation type="list" allowBlank="1" showInputMessage="1" showErrorMessage="1" xr:uid="{00000000-0002-0000-0300-000057130000}">
          <x14:formula1>
            <xm:f>項目!C17:$TVC$851969</xm:f>
          </x14:formula1>
          <xm:sqref>TVK851973:TVK851996</xm:sqref>
        </x14:dataValidation>
        <x14:dataValidation type="list" allowBlank="1" showInputMessage="1" showErrorMessage="1" xr:uid="{00000000-0002-0000-0300-000058130000}">
          <x14:formula1>
            <xm:f>項目!C17:$UEY$851969</xm:f>
          </x14:formula1>
          <xm:sqref>UFG851973:UFG851996</xm:sqref>
        </x14:dataValidation>
        <x14:dataValidation type="list" allowBlank="1" showInputMessage="1" showErrorMessage="1" xr:uid="{00000000-0002-0000-0300-000059130000}">
          <x14:formula1>
            <xm:f>項目!C17:$UOU$851969</xm:f>
          </x14:formula1>
          <xm:sqref>UPC851973:UPC851996</xm:sqref>
        </x14:dataValidation>
        <x14:dataValidation type="list" allowBlank="1" showInputMessage="1" showErrorMessage="1" xr:uid="{00000000-0002-0000-0300-00005A130000}">
          <x14:formula1>
            <xm:f>項目!C17:$UYQ$851969</xm:f>
          </x14:formula1>
          <xm:sqref>UYY851973:UYY851996</xm:sqref>
        </x14:dataValidation>
        <x14:dataValidation type="list" allowBlank="1" showInputMessage="1" showErrorMessage="1" xr:uid="{00000000-0002-0000-0300-00005B130000}">
          <x14:formula1>
            <xm:f>項目!C17:$VIM$851969</xm:f>
          </x14:formula1>
          <xm:sqref>VIU851973:VIU851996</xm:sqref>
        </x14:dataValidation>
        <x14:dataValidation type="list" allowBlank="1" showInputMessage="1" showErrorMessage="1" xr:uid="{00000000-0002-0000-0300-00005C130000}">
          <x14:formula1>
            <xm:f>項目!C17:$VSI$851969</xm:f>
          </x14:formula1>
          <xm:sqref>VSQ851973:VSQ851996</xm:sqref>
        </x14:dataValidation>
        <x14:dataValidation type="list" allowBlank="1" showInputMessage="1" showErrorMessage="1" xr:uid="{00000000-0002-0000-0300-00005D130000}">
          <x14:formula1>
            <xm:f>項目!C17:$WCE$851969</xm:f>
          </x14:formula1>
          <xm:sqref>WCM851973:WCM851996</xm:sqref>
        </x14:dataValidation>
        <x14:dataValidation type="list" allowBlank="1" showInputMessage="1" showErrorMessage="1" xr:uid="{00000000-0002-0000-0300-00005E130000}">
          <x14:formula1>
            <xm:f>項目!C17:$WMA$851969</xm:f>
          </x14:formula1>
          <xm:sqref>WMI851973:WMI851996</xm:sqref>
        </x14:dataValidation>
        <x14:dataValidation type="list" allowBlank="1" showInputMessage="1" showErrorMessage="1" xr:uid="{00000000-0002-0000-0300-00005F130000}">
          <x14:formula1>
            <xm:f>項目!C17:$WVW$851969</xm:f>
          </x14:formula1>
          <xm:sqref>WWE851973:WWE851996</xm:sqref>
        </x14:dataValidation>
        <x14:dataValidation type="list" allowBlank="1" showInputMessage="1" showErrorMessage="1" xr:uid="{00000000-0002-0000-0300-000060130000}">
          <x14:formula1>
            <xm:f>項目!C17:$P$917505</xm:f>
          </x14:formula1>
          <xm:sqref>W917509:W917532</xm:sqref>
        </x14:dataValidation>
        <x14:dataValidation type="list" allowBlank="1" showInputMessage="1" showErrorMessage="1" xr:uid="{00000000-0002-0000-0300-000061130000}">
          <x14:formula1>
            <xm:f>項目!C17:$JK$917505</xm:f>
          </x14:formula1>
          <xm:sqref>JS917509:JS917532</xm:sqref>
        </x14:dataValidation>
        <x14:dataValidation type="list" allowBlank="1" showInputMessage="1" showErrorMessage="1" xr:uid="{00000000-0002-0000-0300-000062130000}">
          <x14:formula1>
            <xm:f>項目!C17:$TG$917505</xm:f>
          </x14:formula1>
          <xm:sqref>TO917509:TO917532</xm:sqref>
        </x14:dataValidation>
        <x14:dataValidation type="list" allowBlank="1" showInputMessage="1" showErrorMessage="1" xr:uid="{00000000-0002-0000-0300-000063130000}">
          <x14:formula1>
            <xm:f>項目!C17:$ADC$917505</xm:f>
          </x14:formula1>
          <xm:sqref>ADK917509:ADK917532</xm:sqref>
        </x14:dataValidation>
        <x14:dataValidation type="list" allowBlank="1" showInputMessage="1" showErrorMessage="1" xr:uid="{00000000-0002-0000-0300-000064130000}">
          <x14:formula1>
            <xm:f>項目!C17:$AMY$917505</xm:f>
          </x14:formula1>
          <xm:sqref>ANG917509:ANG917532</xm:sqref>
        </x14:dataValidation>
        <x14:dataValidation type="list" allowBlank="1" showInputMessage="1" showErrorMessage="1" xr:uid="{00000000-0002-0000-0300-000065130000}">
          <x14:formula1>
            <xm:f>項目!C17:$AWU$917505</xm:f>
          </x14:formula1>
          <xm:sqref>AXC917509:AXC917532</xm:sqref>
        </x14:dataValidation>
        <x14:dataValidation type="list" allowBlank="1" showInputMessage="1" showErrorMessage="1" xr:uid="{00000000-0002-0000-0300-000066130000}">
          <x14:formula1>
            <xm:f>項目!C17:$BGQ$917505</xm:f>
          </x14:formula1>
          <xm:sqref>BGY917509:BGY917532</xm:sqref>
        </x14:dataValidation>
        <x14:dataValidation type="list" allowBlank="1" showInputMessage="1" showErrorMessage="1" xr:uid="{00000000-0002-0000-0300-000067130000}">
          <x14:formula1>
            <xm:f>項目!C17:$BQM$917505</xm:f>
          </x14:formula1>
          <xm:sqref>BQU917509:BQU917532</xm:sqref>
        </x14:dataValidation>
        <x14:dataValidation type="list" allowBlank="1" showInputMessage="1" showErrorMessage="1" xr:uid="{00000000-0002-0000-0300-000068130000}">
          <x14:formula1>
            <xm:f>項目!C17:$CAI$917505</xm:f>
          </x14:formula1>
          <xm:sqref>CAQ917509:CAQ917532</xm:sqref>
        </x14:dataValidation>
        <x14:dataValidation type="list" allowBlank="1" showInputMessage="1" showErrorMessage="1" xr:uid="{00000000-0002-0000-0300-000069130000}">
          <x14:formula1>
            <xm:f>項目!C17:$CKE$917505</xm:f>
          </x14:formula1>
          <xm:sqref>CKM917509:CKM917532</xm:sqref>
        </x14:dataValidation>
        <x14:dataValidation type="list" allowBlank="1" showInputMessage="1" showErrorMessage="1" xr:uid="{00000000-0002-0000-0300-00006A130000}">
          <x14:formula1>
            <xm:f>項目!C17:$CUA$917505</xm:f>
          </x14:formula1>
          <xm:sqref>CUI917509:CUI917532</xm:sqref>
        </x14:dataValidation>
        <x14:dataValidation type="list" allowBlank="1" showInputMessage="1" showErrorMessage="1" xr:uid="{00000000-0002-0000-0300-00006B130000}">
          <x14:formula1>
            <xm:f>項目!C17:$DDW$917505</xm:f>
          </x14:formula1>
          <xm:sqref>DEE917509:DEE917532</xm:sqref>
        </x14:dataValidation>
        <x14:dataValidation type="list" allowBlank="1" showInputMessage="1" showErrorMessage="1" xr:uid="{00000000-0002-0000-0300-00006C130000}">
          <x14:formula1>
            <xm:f>項目!C17:$DNS$917505</xm:f>
          </x14:formula1>
          <xm:sqref>DOA917509:DOA917532</xm:sqref>
        </x14:dataValidation>
        <x14:dataValidation type="list" allowBlank="1" showInputMessage="1" showErrorMessage="1" xr:uid="{00000000-0002-0000-0300-00006D130000}">
          <x14:formula1>
            <xm:f>項目!C17:$DXO$917505</xm:f>
          </x14:formula1>
          <xm:sqref>DXW917509:DXW917532</xm:sqref>
        </x14:dataValidation>
        <x14:dataValidation type="list" allowBlank="1" showInputMessage="1" showErrorMessage="1" xr:uid="{00000000-0002-0000-0300-00006E130000}">
          <x14:formula1>
            <xm:f>項目!C17:$EHK$917505</xm:f>
          </x14:formula1>
          <xm:sqref>EHS917509:EHS917532</xm:sqref>
        </x14:dataValidation>
        <x14:dataValidation type="list" allowBlank="1" showInputMessage="1" showErrorMessage="1" xr:uid="{00000000-0002-0000-0300-00006F130000}">
          <x14:formula1>
            <xm:f>項目!C17:$ERG$917505</xm:f>
          </x14:formula1>
          <xm:sqref>ERO917509:ERO917532</xm:sqref>
        </x14:dataValidation>
        <x14:dataValidation type="list" allowBlank="1" showInputMessage="1" showErrorMessage="1" xr:uid="{00000000-0002-0000-0300-000070130000}">
          <x14:formula1>
            <xm:f>項目!C17:$FBC$917505</xm:f>
          </x14:formula1>
          <xm:sqref>FBK917509:FBK917532</xm:sqref>
        </x14:dataValidation>
        <x14:dataValidation type="list" allowBlank="1" showInputMessage="1" showErrorMessage="1" xr:uid="{00000000-0002-0000-0300-000071130000}">
          <x14:formula1>
            <xm:f>項目!C17:$FKY$917505</xm:f>
          </x14:formula1>
          <xm:sqref>FLG917509:FLG917532</xm:sqref>
        </x14:dataValidation>
        <x14:dataValidation type="list" allowBlank="1" showInputMessage="1" showErrorMessage="1" xr:uid="{00000000-0002-0000-0300-000072130000}">
          <x14:formula1>
            <xm:f>項目!C17:$FUU$917505</xm:f>
          </x14:formula1>
          <xm:sqref>FVC917509:FVC917532</xm:sqref>
        </x14:dataValidation>
        <x14:dataValidation type="list" allowBlank="1" showInputMessage="1" showErrorMessage="1" xr:uid="{00000000-0002-0000-0300-000073130000}">
          <x14:formula1>
            <xm:f>項目!C17:$GEQ$917505</xm:f>
          </x14:formula1>
          <xm:sqref>GEY917509:GEY917532</xm:sqref>
        </x14:dataValidation>
        <x14:dataValidation type="list" allowBlank="1" showInputMessage="1" showErrorMessage="1" xr:uid="{00000000-0002-0000-0300-000074130000}">
          <x14:formula1>
            <xm:f>項目!C17:$GOM$917505</xm:f>
          </x14:formula1>
          <xm:sqref>GOU917509:GOU917532</xm:sqref>
        </x14:dataValidation>
        <x14:dataValidation type="list" allowBlank="1" showInputMessage="1" showErrorMessage="1" xr:uid="{00000000-0002-0000-0300-000075130000}">
          <x14:formula1>
            <xm:f>項目!C17:$GYI$917505</xm:f>
          </x14:formula1>
          <xm:sqref>GYQ917509:GYQ917532</xm:sqref>
        </x14:dataValidation>
        <x14:dataValidation type="list" allowBlank="1" showInputMessage="1" showErrorMessage="1" xr:uid="{00000000-0002-0000-0300-000076130000}">
          <x14:formula1>
            <xm:f>項目!C17:$HIE$917505</xm:f>
          </x14:formula1>
          <xm:sqref>HIM917509:HIM917532</xm:sqref>
        </x14:dataValidation>
        <x14:dataValidation type="list" allowBlank="1" showInputMessage="1" showErrorMessage="1" xr:uid="{00000000-0002-0000-0300-000077130000}">
          <x14:formula1>
            <xm:f>項目!C17:$HSA$917505</xm:f>
          </x14:formula1>
          <xm:sqref>HSI917509:HSI917532</xm:sqref>
        </x14:dataValidation>
        <x14:dataValidation type="list" allowBlank="1" showInputMessage="1" showErrorMessage="1" xr:uid="{00000000-0002-0000-0300-000078130000}">
          <x14:formula1>
            <xm:f>項目!C17:$IBW$917505</xm:f>
          </x14:formula1>
          <xm:sqref>ICE917509:ICE917532</xm:sqref>
        </x14:dataValidation>
        <x14:dataValidation type="list" allowBlank="1" showInputMessage="1" showErrorMessage="1" xr:uid="{00000000-0002-0000-0300-000079130000}">
          <x14:formula1>
            <xm:f>項目!C17:$ILS$917505</xm:f>
          </x14:formula1>
          <xm:sqref>IMA917509:IMA917532</xm:sqref>
        </x14:dataValidation>
        <x14:dataValidation type="list" allowBlank="1" showInputMessage="1" showErrorMessage="1" xr:uid="{00000000-0002-0000-0300-00007A130000}">
          <x14:formula1>
            <xm:f>項目!C17:$IVO$917505</xm:f>
          </x14:formula1>
          <xm:sqref>IVW917509:IVW917532</xm:sqref>
        </x14:dataValidation>
        <x14:dataValidation type="list" allowBlank="1" showInputMessage="1" showErrorMessage="1" xr:uid="{00000000-0002-0000-0300-00007B130000}">
          <x14:formula1>
            <xm:f>項目!C17:$JFK$917505</xm:f>
          </x14:formula1>
          <xm:sqref>JFS917509:JFS917532</xm:sqref>
        </x14:dataValidation>
        <x14:dataValidation type="list" allowBlank="1" showInputMessage="1" showErrorMessage="1" xr:uid="{00000000-0002-0000-0300-00007C130000}">
          <x14:formula1>
            <xm:f>項目!C17:$JPG$917505</xm:f>
          </x14:formula1>
          <xm:sqref>JPO917509:JPO917532</xm:sqref>
        </x14:dataValidation>
        <x14:dataValidation type="list" allowBlank="1" showInputMessage="1" showErrorMessage="1" xr:uid="{00000000-0002-0000-0300-00007D130000}">
          <x14:formula1>
            <xm:f>項目!C17:$JZC$917505</xm:f>
          </x14:formula1>
          <xm:sqref>JZK917509:JZK917532</xm:sqref>
        </x14:dataValidation>
        <x14:dataValidation type="list" allowBlank="1" showInputMessage="1" showErrorMessage="1" xr:uid="{00000000-0002-0000-0300-00007E130000}">
          <x14:formula1>
            <xm:f>項目!C17:$KIY$917505</xm:f>
          </x14:formula1>
          <xm:sqref>KJG917509:KJG917532</xm:sqref>
        </x14:dataValidation>
        <x14:dataValidation type="list" allowBlank="1" showInputMessage="1" showErrorMessage="1" xr:uid="{00000000-0002-0000-0300-00007F130000}">
          <x14:formula1>
            <xm:f>項目!C17:$KSU$917505</xm:f>
          </x14:formula1>
          <xm:sqref>KTC917509:KTC917532</xm:sqref>
        </x14:dataValidation>
        <x14:dataValidation type="list" allowBlank="1" showInputMessage="1" showErrorMessage="1" xr:uid="{00000000-0002-0000-0300-000080130000}">
          <x14:formula1>
            <xm:f>項目!C17:$LCQ$917505</xm:f>
          </x14:formula1>
          <xm:sqref>LCY917509:LCY917532</xm:sqref>
        </x14:dataValidation>
        <x14:dataValidation type="list" allowBlank="1" showInputMessage="1" showErrorMessage="1" xr:uid="{00000000-0002-0000-0300-000081130000}">
          <x14:formula1>
            <xm:f>項目!C17:$LMM$917505</xm:f>
          </x14:formula1>
          <xm:sqref>LMU917509:LMU917532</xm:sqref>
        </x14:dataValidation>
        <x14:dataValidation type="list" allowBlank="1" showInputMessage="1" showErrorMessage="1" xr:uid="{00000000-0002-0000-0300-000082130000}">
          <x14:formula1>
            <xm:f>項目!C17:$LWI$917505</xm:f>
          </x14:formula1>
          <xm:sqref>LWQ917509:LWQ917532</xm:sqref>
        </x14:dataValidation>
        <x14:dataValidation type="list" allowBlank="1" showInputMessage="1" showErrorMessage="1" xr:uid="{00000000-0002-0000-0300-000083130000}">
          <x14:formula1>
            <xm:f>項目!C17:$MGE$917505</xm:f>
          </x14:formula1>
          <xm:sqref>MGM917509:MGM917532</xm:sqref>
        </x14:dataValidation>
        <x14:dataValidation type="list" allowBlank="1" showInputMessage="1" showErrorMessage="1" xr:uid="{00000000-0002-0000-0300-000084130000}">
          <x14:formula1>
            <xm:f>項目!C17:$MQA$917505</xm:f>
          </x14:formula1>
          <xm:sqref>MQI917509:MQI917532</xm:sqref>
        </x14:dataValidation>
        <x14:dataValidation type="list" allowBlank="1" showInputMessage="1" showErrorMessage="1" xr:uid="{00000000-0002-0000-0300-000085130000}">
          <x14:formula1>
            <xm:f>項目!C17:$MZW$917505</xm:f>
          </x14:formula1>
          <xm:sqref>NAE917509:NAE917532</xm:sqref>
        </x14:dataValidation>
        <x14:dataValidation type="list" allowBlank="1" showInputMessage="1" showErrorMessage="1" xr:uid="{00000000-0002-0000-0300-000086130000}">
          <x14:formula1>
            <xm:f>項目!C17:$NJS$917505</xm:f>
          </x14:formula1>
          <xm:sqref>NKA917509:NKA917532</xm:sqref>
        </x14:dataValidation>
        <x14:dataValidation type="list" allowBlank="1" showInputMessage="1" showErrorMessage="1" xr:uid="{00000000-0002-0000-0300-000087130000}">
          <x14:formula1>
            <xm:f>項目!C17:$NTO$917505</xm:f>
          </x14:formula1>
          <xm:sqref>NTW917509:NTW917532</xm:sqref>
        </x14:dataValidation>
        <x14:dataValidation type="list" allowBlank="1" showInputMessage="1" showErrorMessage="1" xr:uid="{00000000-0002-0000-0300-000088130000}">
          <x14:formula1>
            <xm:f>項目!C17:$ODK$917505</xm:f>
          </x14:formula1>
          <xm:sqref>ODS917509:ODS917532</xm:sqref>
        </x14:dataValidation>
        <x14:dataValidation type="list" allowBlank="1" showInputMessage="1" showErrorMessage="1" xr:uid="{00000000-0002-0000-0300-000089130000}">
          <x14:formula1>
            <xm:f>項目!C17:$ONG$917505</xm:f>
          </x14:formula1>
          <xm:sqref>ONO917509:ONO917532</xm:sqref>
        </x14:dataValidation>
        <x14:dataValidation type="list" allowBlank="1" showInputMessage="1" showErrorMessage="1" xr:uid="{00000000-0002-0000-0300-00008A130000}">
          <x14:formula1>
            <xm:f>項目!C17:$OXC$917505</xm:f>
          </x14:formula1>
          <xm:sqref>OXK917509:OXK917532</xm:sqref>
        </x14:dataValidation>
        <x14:dataValidation type="list" allowBlank="1" showInputMessage="1" showErrorMessage="1" xr:uid="{00000000-0002-0000-0300-00008B130000}">
          <x14:formula1>
            <xm:f>項目!C17:$PGY$917505</xm:f>
          </x14:formula1>
          <xm:sqref>PHG917509:PHG917532</xm:sqref>
        </x14:dataValidation>
        <x14:dataValidation type="list" allowBlank="1" showInputMessage="1" showErrorMessage="1" xr:uid="{00000000-0002-0000-0300-00008C130000}">
          <x14:formula1>
            <xm:f>項目!C17:$PQU$917505</xm:f>
          </x14:formula1>
          <xm:sqref>PRC917509:PRC917532</xm:sqref>
        </x14:dataValidation>
        <x14:dataValidation type="list" allowBlank="1" showInputMessage="1" showErrorMessage="1" xr:uid="{00000000-0002-0000-0300-00008D130000}">
          <x14:formula1>
            <xm:f>項目!C17:$QAQ$917505</xm:f>
          </x14:formula1>
          <xm:sqref>QAY917509:QAY917532</xm:sqref>
        </x14:dataValidation>
        <x14:dataValidation type="list" allowBlank="1" showInputMessage="1" showErrorMessage="1" xr:uid="{00000000-0002-0000-0300-00008E130000}">
          <x14:formula1>
            <xm:f>項目!C17:$QKM$917505</xm:f>
          </x14:formula1>
          <xm:sqref>QKU917509:QKU917532</xm:sqref>
        </x14:dataValidation>
        <x14:dataValidation type="list" allowBlank="1" showInputMessage="1" showErrorMessage="1" xr:uid="{00000000-0002-0000-0300-00008F130000}">
          <x14:formula1>
            <xm:f>項目!C17:$QUI$917505</xm:f>
          </x14:formula1>
          <xm:sqref>QUQ917509:QUQ917532</xm:sqref>
        </x14:dataValidation>
        <x14:dataValidation type="list" allowBlank="1" showInputMessage="1" showErrorMessage="1" xr:uid="{00000000-0002-0000-0300-000090130000}">
          <x14:formula1>
            <xm:f>項目!C17:$REE$917505</xm:f>
          </x14:formula1>
          <xm:sqref>REM917509:REM917532</xm:sqref>
        </x14:dataValidation>
        <x14:dataValidation type="list" allowBlank="1" showInputMessage="1" showErrorMessage="1" xr:uid="{00000000-0002-0000-0300-000091130000}">
          <x14:formula1>
            <xm:f>項目!C17:$ROA$917505</xm:f>
          </x14:formula1>
          <xm:sqref>ROI917509:ROI917532</xm:sqref>
        </x14:dataValidation>
        <x14:dataValidation type="list" allowBlank="1" showInputMessage="1" showErrorMessage="1" xr:uid="{00000000-0002-0000-0300-000092130000}">
          <x14:formula1>
            <xm:f>項目!C17:$RXW$917505</xm:f>
          </x14:formula1>
          <xm:sqref>RYE917509:RYE917532</xm:sqref>
        </x14:dataValidation>
        <x14:dataValidation type="list" allowBlank="1" showInputMessage="1" showErrorMessage="1" xr:uid="{00000000-0002-0000-0300-000093130000}">
          <x14:formula1>
            <xm:f>項目!C17:$SHS$917505</xm:f>
          </x14:formula1>
          <xm:sqref>SIA917509:SIA917532</xm:sqref>
        </x14:dataValidation>
        <x14:dataValidation type="list" allowBlank="1" showInputMessage="1" showErrorMessage="1" xr:uid="{00000000-0002-0000-0300-000094130000}">
          <x14:formula1>
            <xm:f>項目!C17:$SRO$917505</xm:f>
          </x14:formula1>
          <xm:sqref>SRW917509:SRW917532</xm:sqref>
        </x14:dataValidation>
        <x14:dataValidation type="list" allowBlank="1" showInputMessage="1" showErrorMessage="1" xr:uid="{00000000-0002-0000-0300-000095130000}">
          <x14:formula1>
            <xm:f>項目!C17:$TBK$917505</xm:f>
          </x14:formula1>
          <xm:sqref>TBS917509:TBS917532</xm:sqref>
        </x14:dataValidation>
        <x14:dataValidation type="list" allowBlank="1" showInputMessage="1" showErrorMessage="1" xr:uid="{00000000-0002-0000-0300-000096130000}">
          <x14:formula1>
            <xm:f>項目!C17:$TLG$917505</xm:f>
          </x14:formula1>
          <xm:sqref>TLO917509:TLO917532</xm:sqref>
        </x14:dataValidation>
        <x14:dataValidation type="list" allowBlank="1" showInputMessage="1" showErrorMessage="1" xr:uid="{00000000-0002-0000-0300-000097130000}">
          <x14:formula1>
            <xm:f>項目!C17:$TVC$917505</xm:f>
          </x14:formula1>
          <xm:sqref>TVK917509:TVK917532</xm:sqref>
        </x14:dataValidation>
        <x14:dataValidation type="list" allowBlank="1" showInputMessage="1" showErrorMessage="1" xr:uid="{00000000-0002-0000-0300-000098130000}">
          <x14:formula1>
            <xm:f>項目!C17:$UEY$917505</xm:f>
          </x14:formula1>
          <xm:sqref>UFG917509:UFG917532</xm:sqref>
        </x14:dataValidation>
        <x14:dataValidation type="list" allowBlank="1" showInputMessage="1" showErrorMessage="1" xr:uid="{00000000-0002-0000-0300-000099130000}">
          <x14:formula1>
            <xm:f>項目!C17:$UOU$917505</xm:f>
          </x14:formula1>
          <xm:sqref>UPC917509:UPC917532</xm:sqref>
        </x14:dataValidation>
        <x14:dataValidation type="list" allowBlank="1" showInputMessage="1" showErrorMessage="1" xr:uid="{00000000-0002-0000-0300-00009A130000}">
          <x14:formula1>
            <xm:f>項目!C17:$UYQ$917505</xm:f>
          </x14:formula1>
          <xm:sqref>UYY917509:UYY917532</xm:sqref>
        </x14:dataValidation>
        <x14:dataValidation type="list" allowBlank="1" showInputMessage="1" showErrorMessage="1" xr:uid="{00000000-0002-0000-0300-00009B130000}">
          <x14:formula1>
            <xm:f>項目!C17:$VIM$917505</xm:f>
          </x14:formula1>
          <xm:sqref>VIU917509:VIU917532</xm:sqref>
        </x14:dataValidation>
        <x14:dataValidation type="list" allowBlank="1" showInputMessage="1" showErrorMessage="1" xr:uid="{00000000-0002-0000-0300-00009C130000}">
          <x14:formula1>
            <xm:f>項目!C17:$VSI$917505</xm:f>
          </x14:formula1>
          <xm:sqref>VSQ917509:VSQ917532</xm:sqref>
        </x14:dataValidation>
        <x14:dataValidation type="list" allowBlank="1" showInputMessage="1" showErrorMessage="1" xr:uid="{00000000-0002-0000-0300-00009D130000}">
          <x14:formula1>
            <xm:f>項目!C17:$WCE$917505</xm:f>
          </x14:formula1>
          <xm:sqref>WCM917509:WCM917532</xm:sqref>
        </x14:dataValidation>
        <x14:dataValidation type="list" allowBlank="1" showInputMessage="1" showErrorMessage="1" xr:uid="{00000000-0002-0000-0300-00009E130000}">
          <x14:formula1>
            <xm:f>項目!C17:$WMA$917505</xm:f>
          </x14:formula1>
          <xm:sqref>WMI917509:WMI917532</xm:sqref>
        </x14:dataValidation>
        <x14:dataValidation type="list" allowBlank="1" showInputMessage="1" showErrorMessage="1" xr:uid="{00000000-0002-0000-0300-00009F130000}">
          <x14:formula1>
            <xm:f>項目!C17:$WVW$917505</xm:f>
          </x14:formula1>
          <xm:sqref>WWE917509:WWE917532</xm:sqref>
        </x14:dataValidation>
        <x14:dataValidation type="list" allowBlank="1" showInputMessage="1" showErrorMessage="1" xr:uid="{00000000-0002-0000-0300-0000A0130000}">
          <x14:formula1>
            <xm:f>項目!C17:$P$983041</xm:f>
          </x14:formula1>
          <xm:sqref>W983045:W983068</xm:sqref>
        </x14:dataValidation>
        <x14:dataValidation type="list" allowBlank="1" showInputMessage="1" showErrorMessage="1" xr:uid="{00000000-0002-0000-0300-0000A1130000}">
          <x14:formula1>
            <xm:f>項目!C17:$JK$983041</xm:f>
          </x14:formula1>
          <xm:sqref>JS983045:JS983068</xm:sqref>
        </x14:dataValidation>
        <x14:dataValidation type="list" allowBlank="1" showInputMessage="1" showErrorMessage="1" xr:uid="{00000000-0002-0000-0300-0000A2130000}">
          <x14:formula1>
            <xm:f>項目!C17:$TG$983041</xm:f>
          </x14:formula1>
          <xm:sqref>TO983045:TO983068</xm:sqref>
        </x14:dataValidation>
        <x14:dataValidation type="list" allowBlank="1" showInputMessage="1" showErrorMessage="1" xr:uid="{00000000-0002-0000-0300-0000A3130000}">
          <x14:formula1>
            <xm:f>項目!C17:$ADC$983041</xm:f>
          </x14:formula1>
          <xm:sqref>ADK983045:ADK983068</xm:sqref>
        </x14:dataValidation>
        <x14:dataValidation type="list" allowBlank="1" showInputMessage="1" showErrorMessage="1" xr:uid="{00000000-0002-0000-0300-0000A4130000}">
          <x14:formula1>
            <xm:f>項目!C17:$AMY$983041</xm:f>
          </x14:formula1>
          <xm:sqref>ANG983045:ANG983068</xm:sqref>
        </x14:dataValidation>
        <x14:dataValidation type="list" allowBlank="1" showInputMessage="1" showErrorMessage="1" xr:uid="{00000000-0002-0000-0300-0000A5130000}">
          <x14:formula1>
            <xm:f>項目!C17:$AWU$983041</xm:f>
          </x14:formula1>
          <xm:sqref>AXC983045:AXC983068</xm:sqref>
        </x14:dataValidation>
        <x14:dataValidation type="list" allowBlank="1" showInputMessage="1" showErrorMessage="1" xr:uid="{00000000-0002-0000-0300-0000A6130000}">
          <x14:formula1>
            <xm:f>項目!C17:$BGQ$983041</xm:f>
          </x14:formula1>
          <xm:sqref>BGY983045:BGY983068</xm:sqref>
        </x14:dataValidation>
        <x14:dataValidation type="list" allowBlank="1" showInputMessage="1" showErrorMessage="1" xr:uid="{00000000-0002-0000-0300-0000A7130000}">
          <x14:formula1>
            <xm:f>項目!C17:$BQM$983041</xm:f>
          </x14:formula1>
          <xm:sqref>BQU983045:BQU983068</xm:sqref>
        </x14:dataValidation>
        <x14:dataValidation type="list" allowBlank="1" showInputMessage="1" showErrorMessage="1" xr:uid="{00000000-0002-0000-0300-0000A8130000}">
          <x14:formula1>
            <xm:f>項目!C17:$CAI$983041</xm:f>
          </x14:formula1>
          <xm:sqref>CAQ983045:CAQ983068</xm:sqref>
        </x14:dataValidation>
        <x14:dataValidation type="list" allowBlank="1" showInputMessage="1" showErrorMessage="1" xr:uid="{00000000-0002-0000-0300-0000A9130000}">
          <x14:formula1>
            <xm:f>項目!C17:$CKE$983041</xm:f>
          </x14:formula1>
          <xm:sqref>CKM983045:CKM983068</xm:sqref>
        </x14:dataValidation>
        <x14:dataValidation type="list" allowBlank="1" showInputMessage="1" showErrorMessage="1" xr:uid="{00000000-0002-0000-0300-0000AA130000}">
          <x14:formula1>
            <xm:f>項目!C17:$CUA$983041</xm:f>
          </x14:formula1>
          <xm:sqref>CUI983045:CUI983068</xm:sqref>
        </x14:dataValidation>
        <x14:dataValidation type="list" allowBlank="1" showInputMessage="1" showErrorMessage="1" xr:uid="{00000000-0002-0000-0300-0000AB130000}">
          <x14:formula1>
            <xm:f>項目!C17:$DDW$983041</xm:f>
          </x14:formula1>
          <xm:sqref>DEE983045:DEE983068</xm:sqref>
        </x14:dataValidation>
        <x14:dataValidation type="list" allowBlank="1" showInputMessage="1" showErrorMessage="1" xr:uid="{00000000-0002-0000-0300-0000AC130000}">
          <x14:formula1>
            <xm:f>項目!C17:$DNS$983041</xm:f>
          </x14:formula1>
          <xm:sqref>DOA983045:DOA983068</xm:sqref>
        </x14:dataValidation>
        <x14:dataValidation type="list" allowBlank="1" showInputMessage="1" showErrorMessage="1" xr:uid="{00000000-0002-0000-0300-0000AD130000}">
          <x14:formula1>
            <xm:f>項目!C17:$DXO$983041</xm:f>
          </x14:formula1>
          <xm:sqref>DXW983045:DXW983068</xm:sqref>
        </x14:dataValidation>
        <x14:dataValidation type="list" allowBlank="1" showInputMessage="1" showErrorMessage="1" xr:uid="{00000000-0002-0000-0300-0000AE130000}">
          <x14:formula1>
            <xm:f>項目!C17:$EHK$983041</xm:f>
          </x14:formula1>
          <xm:sqref>EHS983045:EHS983068</xm:sqref>
        </x14:dataValidation>
        <x14:dataValidation type="list" allowBlank="1" showInputMessage="1" showErrorMessage="1" xr:uid="{00000000-0002-0000-0300-0000AF130000}">
          <x14:formula1>
            <xm:f>項目!C17:$ERG$983041</xm:f>
          </x14:formula1>
          <xm:sqref>ERO983045:ERO983068</xm:sqref>
        </x14:dataValidation>
        <x14:dataValidation type="list" allowBlank="1" showInputMessage="1" showErrorMessage="1" xr:uid="{00000000-0002-0000-0300-0000B0130000}">
          <x14:formula1>
            <xm:f>項目!C17:$FBC$983041</xm:f>
          </x14:formula1>
          <xm:sqref>FBK983045:FBK983068</xm:sqref>
        </x14:dataValidation>
        <x14:dataValidation type="list" allowBlank="1" showInputMessage="1" showErrorMessage="1" xr:uid="{00000000-0002-0000-0300-0000B1130000}">
          <x14:formula1>
            <xm:f>項目!C17:$FKY$983041</xm:f>
          </x14:formula1>
          <xm:sqref>FLG983045:FLG983068</xm:sqref>
        </x14:dataValidation>
        <x14:dataValidation type="list" allowBlank="1" showInputMessage="1" showErrorMessage="1" xr:uid="{00000000-0002-0000-0300-0000B2130000}">
          <x14:formula1>
            <xm:f>項目!C17:$FUU$983041</xm:f>
          </x14:formula1>
          <xm:sqref>FVC983045:FVC983068</xm:sqref>
        </x14:dataValidation>
        <x14:dataValidation type="list" allowBlank="1" showInputMessage="1" showErrorMessage="1" xr:uid="{00000000-0002-0000-0300-0000B3130000}">
          <x14:formula1>
            <xm:f>項目!C17:$GEQ$983041</xm:f>
          </x14:formula1>
          <xm:sqref>GEY983045:GEY983068</xm:sqref>
        </x14:dataValidation>
        <x14:dataValidation type="list" allowBlank="1" showInputMessage="1" showErrorMessage="1" xr:uid="{00000000-0002-0000-0300-0000B4130000}">
          <x14:formula1>
            <xm:f>項目!C17:$GOM$983041</xm:f>
          </x14:formula1>
          <xm:sqref>GOU983045:GOU983068</xm:sqref>
        </x14:dataValidation>
        <x14:dataValidation type="list" allowBlank="1" showInputMessage="1" showErrorMessage="1" xr:uid="{00000000-0002-0000-0300-0000B5130000}">
          <x14:formula1>
            <xm:f>項目!C17:$GYI$983041</xm:f>
          </x14:formula1>
          <xm:sqref>GYQ983045:GYQ983068</xm:sqref>
        </x14:dataValidation>
        <x14:dataValidation type="list" allowBlank="1" showInputMessage="1" showErrorMessage="1" xr:uid="{00000000-0002-0000-0300-0000B6130000}">
          <x14:formula1>
            <xm:f>項目!C17:$HIE$983041</xm:f>
          </x14:formula1>
          <xm:sqref>HIM983045:HIM983068</xm:sqref>
        </x14:dataValidation>
        <x14:dataValidation type="list" allowBlank="1" showInputMessage="1" showErrorMessage="1" xr:uid="{00000000-0002-0000-0300-0000B7130000}">
          <x14:formula1>
            <xm:f>項目!C17:$HSA$983041</xm:f>
          </x14:formula1>
          <xm:sqref>HSI983045:HSI983068</xm:sqref>
        </x14:dataValidation>
        <x14:dataValidation type="list" allowBlank="1" showInputMessage="1" showErrorMessage="1" xr:uid="{00000000-0002-0000-0300-0000B8130000}">
          <x14:formula1>
            <xm:f>項目!C17:$IBW$983041</xm:f>
          </x14:formula1>
          <xm:sqref>ICE983045:ICE983068</xm:sqref>
        </x14:dataValidation>
        <x14:dataValidation type="list" allowBlank="1" showInputMessage="1" showErrorMessage="1" xr:uid="{00000000-0002-0000-0300-0000B9130000}">
          <x14:formula1>
            <xm:f>項目!C17:$ILS$983041</xm:f>
          </x14:formula1>
          <xm:sqref>IMA983045:IMA983068</xm:sqref>
        </x14:dataValidation>
        <x14:dataValidation type="list" allowBlank="1" showInputMessage="1" showErrorMessage="1" xr:uid="{00000000-0002-0000-0300-0000BA130000}">
          <x14:formula1>
            <xm:f>項目!C17:$IVO$983041</xm:f>
          </x14:formula1>
          <xm:sqref>IVW983045:IVW983068</xm:sqref>
        </x14:dataValidation>
        <x14:dataValidation type="list" allowBlank="1" showInputMessage="1" showErrorMessage="1" xr:uid="{00000000-0002-0000-0300-0000BB130000}">
          <x14:formula1>
            <xm:f>項目!C17:$JFK$983041</xm:f>
          </x14:formula1>
          <xm:sqref>JFS983045:JFS983068</xm:sqref>
        </x14:dataValidation>
        <x14:dataValidation type="list" allowBlank="1" showInputMessage="1" showErrorMessage="1" xr:uid="{00000000-0002-0000-0300-0000BC130000}">
          <x14:formula1>
            <xm:f>項目!C17:$JPG$983041</xm:f>
          </x14:formula1>
          <xm:sqref>JPO983045:JPO983068</xm:sqref>
        </x14:dataValidation>
        <x14:dataValidation type="list" allowBlank="1" showInputMessage="1" showErrorMessage="1" xr:uid="{00000000-0002-0000-0300-0000BD130000}">
          <x14:formula1>
            <xm:f>項目!C17:$JZC$983041</xm:f>
          </x14:formula1>
          <xm:sqref>JZK983045:JZK983068</xm:sqref>
        </x14:dataValidation>
        <x14:dataValidation type="list" allowBlank="1" showInputMessage="1" showErrorMessage="1" xr:uid="{00000000-0002-0000-0300-0000BE130000}">
          <x14:formula1>
            <xm:f>項目!C17:$KIY$983041</xm:f>
          </x14:formula1>
          <xm:sqref>KJG983045:KJG983068</xm:sqref>
        </x14:dataValidation>
        <x14:dataValidation type="list" allowBlank="1" showInputMessage="1" showErrorMessage="1" xr:uid="{00000000-0002-0000-0300-0000BF130000}">
          <x14:formula1>
            <xm:f>項目!C17:$KSU$983041</xm:f>
          </x14:formula1>
          <xm:sqref>KTC983045:KTC983068</xm:sqref>
        </x14:dataValidation>
        <x14:dataValidation type="list" allowBlank="1" showInputMessage="1" showErrorMessage="1" xr:uid="{00000000-0002-0000-0300-0000C0130000}">
          <x14:formula1>
            <xm:f>項目!C17:$LCQ$983041</xm:f>
          </x14:formula1>
          <xm:sqref>LCY983045:LCY983068</xm:sqref>
        </x14:dataValidation>
        <x14:dataValidation type="list" allowBlank="1" showInputMessage="1" showErrorMessage="1" xr:uid="{00000000-0002-0000-0300-0000C1130000}">
          <x14:formula1>
            <xm:f>項目!C17:$LMM$983041</xm:f>
          </x14:formula1>
          <xm:sqref>LMU983045:LMU983068</xm:sqref>
        </x14:dataValidation>
        <x14:dataValidation type="list" allowBlank="1" showInputMessage="1" showErrorMessage="1" xr:uid="{00000000-0002-0000-0300-0000C2130000}">
          <x14:formula1>
            <xm:f>項目!C17:$LWI$983041</xm:f>
          </x14:formula1>
          <xm:sqref>LWQ983045:LWQ983068</xm:sqref>
        </x14:dataValidation>
        <x14:dataValidation type="list" allowBlank="1" showInputMessage="1" showErrorMessage="1" xr:uid="{00000000-0002-0000-0300-0000C3130000}">
          <x14:formula1>
            <xm:f>項目!C17:$MGE$983041</xm:f>
          </x14:formula1>
          <xm:sqref>MGM983045:MGM983068</xm:sqref>
        </x14:dataValidation>
        <x14:dataValidation type="list" allowBlank="1" showInputMessage="1" showErrorMessage="1" xr:uid="{00000000-0002-0000-0300-0000C4130000}">
          <x14:formula1>
            <xm:f>項目!C17:$MQA$983041</xm:f>
          </x14:formula1>
          <xm:sqref>MQI983045:MQI983068</xm:sqref>
        </x14:dataValidation>
        <x14:dataValidation type="list" allowBlank="1" showInputMessage="1" showErrorMessage="1" xr:uid="{00000000-0002-0000-0300-0000C5130000}">
          <x14:formula1>
            <xm:f>項目!C17:$MZW$983041</xm:f>
          </x14:formula1>
          <xm:sqref>NAE983045:NAE983068</xm:sqref>
        </x14:dataValidation>
        <x14:dataValidation type="list" allowBlank="1" showInputMessage="1" showErrorMessage="1" xr:uid="{00000000-0002-0000-0300-0000C6130000}">
          <x14:formula1>
            <xm:f>項目!C17:$NJS$983041</xm:f>
          </x14:formula1>
          <xm:sqref>NKA983045:NKA983068</xm:sqref>
        </x14:dataValidation>
        <x14:dataValidation type="list" allowBlank="1" showInputMessage="1" showErrorMessage="1" xr:uid="{00000000-0002-0000-0300-0000C7130000}">
          <x14:formula1>
            <xm:f>項目!C17:$NTO$983041</xm:f>
          </x14:formula1>
          <xm:sqref>NTW983045:NTW983068</xm:sqref>
        </x14:dataValidation>
        <x14:dataValidation type="list" allowBlank="1" showInputMessage="1" showErrorMessage="1" xr:uid="{00000000-0002-0000-0300-0000C8130000}">
          <x14:formula1>
            <xm:f>項目!C17:$ODK$983041</xm:f>
          </x14:formula1>
          <xm:sqref>ODS983045:ODS983068</xm:sqref>
        </x14:dataValidation>
        <x14:dataValidation type="list" allowBlank="1" showInputMessage="1" showErrorMessage="1" xr:uid="{00000000-0002-0000-0300-0000C9130000}">
          <x14:formula1>
            <xm:f>項目!C17:$ONG$983041</xm:f>
          </x14:formula1>
          <xm:sqref>ONO983045:ONO983068</xm:sqref>
        </x14:dataValidation>
        <x14:dataValidation type="list" allowBlank="1" showInputMessage="1" showErrorMessage="1" xr:uid="{00000000-0002-0000-0300-0000CA130000}">
          <x14:formula1>
            <xm:f>項目!C17:$OXC$983041</xm:f>
          </x14:formula1>
          <xm:sqref>OXK983045:OXK983068</xm:sqref>
        </x14:dataValidation>
        <x14:dataValidation type="list" allowBlank="1" showInputMessage="1" showErrorMessage="1" xr:uid="{00000000-0002-0000-0300-0000CB130000}">
          <x14:formula1>
            <xm:f>項目!C17:$PGY$983041</xm:f>
          </x14:formula1>
          <xm:sqref>PHG983045:PHG983068</xm:sqref>
        </x14:dataValidation>
        <x14:dataValidation type="list" allowBlank="1" showInputMessage="1" showErrorMessage="1" xr:uid="{00000000-0002-0000-0300-0000CC130000}">
          <x14:formula1>
            <xm:f>項目!C17:$PQU$983041</xm:f>
          </x14:formula1>
          <xm:sqref>PRC983045:PRC983068</xm:sqref>
        </x14:dataValidation>
        <x14:dataValidation type="list" allowBlank="1" showInputMessage="1" showErrorMessage="1" xr:uid="{00000000-0002-0000-0300-0000CD130000}">
          <x14:formula1>
            <xm:f>項目!C17:$QAQ$983041</xm:f>
          </x14:formula1>
          <xm:sqref>QAY983045:QAY983068</xm:sqref>
        </x14:dataValidation>
        <x14:dataValidation type="list" allowBlank="1" showInputMessage="1" showErrorMessage="1" xr:uid="{00000000-0002-0000-0300-0000CE130000}">
          <x14:formula1>
            <xm:f>項目!C17:$QKM$983041</xm:f>
          </x14:formula1>
          <xm:sqref>QKU983045:QKU983068</xm:sqref>
        </x14:dataValidation>
        <x14:dataValidation type="list" allowBlank="1" showInputMessage="1" showErrorMessage="1" xr:uid="{00000000-0002-0000-0300-0000CF130000}">
          <x14:formula1>
            <xm:f>項目!C17:$QUI$983041</xm:f>
          </x14:formula1>
          <xm:sqref>QUQ983045:QUQ983068</xm:sqref>
        </x14:dataValidation>
        <x14:dataValidation type="list" allowBlank="1" showInputMessage="1" showErrorMessage="1" xr:uid="{00000000-0002-0000-0300-0000D0130000}">
          <x14:formula1>
            <xm:f>項目!C17:$REE$983041</xm:f>
          </x14:formula1>
          <xm:sqref>REM983045:REM983068</xm:sqref>
        </x14:dataValidation>
        <x14:dataValidation type="list" allowBlank="1" showInputMessage="1" showErrorMessage="1" xr:uid="{00000000-0002-0000-0300-0000D1130000}">
          <x14:formula1>
            <xm:f>項目!C17:$ROA$983041</xm:f>
          </x14:formula1>
          <xm:sqref>ROI983045:ROI983068</xm:sqref>
        </x14:dataValidation>
        <x14:dataValidation type="list" allowBlank="1" showInputMessage="1" showErrorMessage="1" xr:uid="{00000000-0002-0000-0300-0000D2130000}">
          <x14:formula1>
            <xm:f>項目!C17:$RXW$983041</xm:f>
          </x14:formula1>
          <xm:sqref>RYE983045:RYE983068</xm:sqref>
        </x14:dataValidation>
        <x14:dataValidation type="list" allowBlank="1" showInputMessage="1" showErrorMessage="1" xr:uid="{00000000-0002-0000-0300-0000D3130000}">
          <x14:formula1>
            <xm:f>項目!C17:$SHS$983041</xm:f>
          </x14:formula1>
          <xm:sqref>SIA983045:SIA983068</xm:sqref>
        </x14:dataValidation>
        <x14:dataValidation type="list" allowBlank="1" showInputMessage="1" showErrorMessage="1" xr:uid="{00000000-0002-0000-0300-0000D4130000}">
          <x14:formula1>
            <xm:f>項目!C17:$SRO$983041</xm:f>
          </x14:formula1>
          <xm:sqref>SRW983045:SRW983068</xm:sqref>
        </x14:dataValidation>
        <x14:dataValidation type="list" allowBlank="1" showInputMessage="1" showErrorMessage="1" xr:uid="{00000000-0002-0000-0300-0000D5130000}">
          <x14:formula1>
            <xm:f>項目!C17:$TBK$983041</xm:f>
          </x14:formula1>
          <xm:sqref>TBS983045:TBS983068</xm:sqref>
        </x14:dataValidation>
        <x14:dataValidation type="list" allowBlank="1" showInputMessage="1" showErrorMessage="1" xr:uid="{00000000-0002-0000-0300-0000D6130000}">
          <x14:formula1>
            <xm:f>項目!C17:$TLG$983041</xm:f>
          </x14:formula1>
          <xm:sqref>TLO983045:TLO983068</xm:sqref>
        </x14:dataValidation>
        <x14:dataValidation type="list" allowBlank="1" showInputMessage="1" showErrorMessage="1" xr:uid="{00000000-0002-0000-0300-0000D7130000}">
          <x14:formula1>
            <xm:f>項目!C17:$TVC$983041</xm:f>
          </x14:formula1>
          <xm:sqref>TVK983045:TVK983068</xm:sqref>
        </x14:dataValidation>
        <x14:dataValidation type="list" allowBlank="1" showInputMessage="1" showErrorMessage="1" xr:uid="{00000000-0002-0000-0300-0000D8130000}">
          <x14:formula1>
            <xm:f>項目!C17:$UEY$983041</xm:f>
          </x14:formula1>
          <xm:sqref>UFG983045:UFG983068</xm:sqref>
        </x14:dataValidation>
        <x14:dataValidation type="list" allowBlank="1" showInputMessage="1" showErrorMessage="1" xr:uid="{00000000-0002-0000-0300-0000D9130000}">
          <x14:formula1>
            <xm:f>項目!C17:$UOU$983041</xm:f>
          </x14:formula1>
          <xm:sqref>UPC983045:UPC983068</xm:sqref>
        </x14:dataValidation>
        <x14:dataValidation type="list" allowBlank="1" showInputMessage="1" showErrorMessage="1" xr:uid="{00000000-0002-0000-0300-0000DA130000}">
          <x14:formula1>
            <xm:f>項目!C17:$UYQ$983041</xm:f>
          </x14:formula1>
          <xm:sqref>UYY983045:UYY983068</xm:sqref>
        </x14:dataValidation>
        <x14:dataValidation type="list" allowBlank="1" showInputMessage="1" showErrorMessage="1" xr:uid="{00000000-0002-0000-0300-0000DB130000}">
          <x14:formula1>
            <xm:f>項目!C17:$VIM$983041</xm:f>
          </x14:formula1>
          <xm:sqref>VIU983045:VIU983068</xm:sqref>
        </x14:dataValidation>
        <x14:dataValidation type="list" allowBlank="1" showInputMessage="1" showErrorMessage="1" xr:uid="{00000000-0002-0000-0300-0000DC130000}">
          <x14:formula1>
            <xm:f>項目!C17:$VSI$983041</xm:f>
          </x14:formula1>
          <xm:sqref>VSQ983045:VSQ983068</xm:sqref>
        </x14:dataValidation>
        <x14:dataValidation type="list" allowBlank="1" showInputMessage="1" showErrorMessage="1" xr:uid="{00000000-0002-0000-0300-0000DD130000}">
          <x14:formula1>
            <xm:f>項目!C17:$WCE$983041</xm:f>
          </x14:formula1>
          <xm:sqref>WCM983045:WCM983068</xm:sqref>
        </x14:dataValidation>
        <x14:dataValidation type="list" allowBlank="1" showInputMessage="1" showErrorMessage="1" xr:uid="{00000000-0002-0000-0300-0000DE130000}">
          <x14:formula1>
            <xm:f>項目!C17:$WMA$983041</xm:f>
          </x14:formula1>
          <xm:sqref>WMI983045:WMI983068</xm:sqref>
        </x14:dataValidation>
        <x14:dataValidation type="list" allowBlank="1" showInputMessage="1" showErrorMessage="1" xr:uid="{00000000-0002-0000-0300-0000DF130000}">
          <x14:formula1>
            <xm:f>項目!C17:$WVW$983041</xm:f>
          </x14:formula1>
          <xm:sqref>WWE983045:WWE983068</xm:sqref>
        </x14:dataValidation>
        <x14:dataValidation type="list" allowBlank="1" showInputMessage="1" showErrorMessage="1" xr:uid="{00000000-0002-0000-0300-0000E0130000}">
          <x14:formula1>
            <xm:f>項目!C17:$G$983041</xm:f>
          </x14:formula1>
          <xm:sqref>K983045:K983068</xm:sqref>
        </x14:dataValidation>
        <x14:dataValidation type="list" allowBlank="1" showInputMessage="1" showErrorMessage="1" xr:uid="{00000000-0002-0000-0300-0000E1130000}">
          <x14:formula1>
            <xm:f>項目!C17:$G$917505</xm:f>
          </x14:formula1>
          <xm:sqref>K917509:K917532</xm:sqref>
        </x14:dataValidation>
        <x14:dataValidation type="list" allowBlank="1" showInputMessage="1" showErrorMessage="1" xr:uid="{00000000-0002-0000-0300-0000E2130000}">
          <x14:formula1>
            <xm:f>項目!C17:$G$851969</xm:f>
          </x14:formula1>
          <xm:sqref>K851973:K851996</xm:sqref>
        </x14:dataValidation>
        <x14:dataValidation type="list" allowBlank="1" showInputMessage="1" showErrorMessage="1" xr:uid="{00000000-0002-0000-0300-0000E3130000}">
          <x14:formula1>
            <xm:f>項目!C17:$G$786433</xm:f>
          </x14:formula1>
          <xm:sqref>K786437:K786460</xm:sqref>
        </x14:dataValidation>
        <x14:dataValidation type="list" allowBlank="1" showInputMessage="1" showErrorMessage="1" xr:uid="{00000000-0002-0000-0300-0000E4130000}">
          <x14:formula1>
            <xm:f>項目!C17:$G$720897</xm:f>
          </x14:formula1>
          <xm:sqref>K720901:K720924</xm:sqref>
        </x14:dataValidation>
        <x14:dataValidation type="list" allowBlank="1" showInputMessage="1" showErrorMessage="1" xr:uid="{00000000-0002-0000-0300-0000E5130000}">
          <x14:formula1>
            <xm:f>項目!C17:$G$655361</xm:f>
          </x14:formula1>
          <xm:sqref>K655365:K655388</xm:sqref>
        </x14:dataValidation>
        <x14:dataValidation type="list" allowBlank="1" showInputMessage="1" showErrorMessage="1" xr:uid="{00000000-0002-0000-0300-0000E6130000}">
          <x14:formula1>
            <xm:f>項目!C17:$G$589825</xm:f>
          </x14:formula1>
          <xm:sqref>K589829:K589852</xm:sqref>
        </x14:dataValidation>
        <x14:dataValidation type="list" allowBlank="1" showInputMessage="1" showErrorMessage="1" xr:uid="{00000000-0002-0000-0300-0000E7130000}">
          <x14:formula1>
            <xm:f>項目!C17:$G$524289</xm:f>
          </x14:formula1>
          <xm:sqref>K524293:K524316</xm:sqref>
        </x14:dataValidation>
        <x14:dataValidation type="list" allowBlank="1" showInputMessage="1" showErrorMessage="1" xr:uid="{00000000-0002-0000-0300-0000E8130000}">
          <x14:formula1>
            <xm:f>項目!C17:$G$458753</xm:f>
          </x14:formula1>
          <xm:sqref>K458757:K458780</xm:sqref>
        </x14:dataValidation>
        <x14:dataValidation type="list" allowBlank="1" showInputMessage="1" showErrorMessage="1" xr:uid="{00000000-0002-0000-0300-0000E9130000}">
          <x14:formula1>
            <xm:f>項目!C17:$G$393217</xm:f>
          </x14:formula1>
          <xm:sqref>K393221:K393244</xm:sqref>
        </x14:dataValidation>
        <x14:dataValidation type="list" allowBlank="1" showInputMessage="1" showErrorMessage="1" xr:uid="{00000000-0002-0000-0300-0000EA130000}">
          <x14:formula1>
            <xm:f>項目!C17:$G$327681</xm:f>
          </x14:formula1>
          <xm:sqref>K327685:K327708</xm:sqref>
        </x14:dataValidation>
        <x14:dataValidation type="list" allowBlank="1" showInputMessage="1" showErrorMessage="1" xr:uid="{00000000-0002-0000-0300-0000EB130000}">
          <x14:formula1>
            <xm:f>項目!C17:$G$262145</xm:f>
          </x14:formula1>
          <xm:sqref>K262149:K262172</xm:sqref>
        </x14:dataValidation>
        <x14:dataValidation type="list" allowBlank="1" showInputMessage="1" showErrorMessage="1" xr:uid="{00000000-0002-0000-0300-0000EC130000}">
          <x14:formula1>
            <xm:f>項目!C17:$G$196609</xm:f>
          </x14:formula1>
          <xm:sqref>K196613:K196636</xm:sqref>
        </x14:dataValidation>
        <x14:dataValidation type="list" allowBlank="1" showInputMessage="1" showErrorMessage="1" xr:uid="{00000000-0002-0000-0300-0000ED130000}">
          <x14:formula1>
            <xm:f>項目!C17:$G$131073</xm:f>
          </x14:formula1>
          <xm:sqref>K131077:K131100</xm:sqref>
        </x14:dataValidation>
        <x14:dataValidation type="list" allowBlank="1" showInputMessage="1" showErrorMessage="1" xr:uid="{00000000-0002-0000-0300-0000EE130000}">
          <x14:formula1>
            <xm:f>項目!C17:$G$65537</xm:f>
          </x14:formula1>
          <xm:sqref>K65541:K65564</xm:sqref>
        </x14:dataValidation>
        <x14:dataValidation type="list" allowBlank="1" showInputMessage="1" showErrorMessage="1" xr:uid="{00000000-0002-0000-0300-0000EF130000}">
          <x14:formula1>
            <xm:f>項目!A$4:$A65538</xm:f>
          </x14:formula1>
          <xm:sqref>F131077:F131100 F196613:F196636 F262149:F262172 F327685:F327708 F393221:F393244 F458757:F458780 F524293:F524316 F589829:F589852 F655365:F655388 F720901:F720924 F786437:F786460 F851973:F851996 F917509:F917532 F983045:F983068 F65541:F65564 J65541:J65564 J131077:J131100 J196613:J196636 J262149:J262172 J327685:J327708 J393221:J393244 J458757:J458780 J524293:J524316 J589829:J589852 J655365:J655388 J720901:J720924 J786437:J786460 J851973:J851996 J917509:J917532 J983045:J983068</xm:sqref>
        </x14:dataValidation>
        <x14:dataValidation type="list" allowBlank="1" showInputMessage="1" showErrorMessage="1" xr:uid="{00000000-0002-0000-0300-0000F0130000}">
          <x14:formula1>
            <xm:f>項目!A$4:$I65538</xm:f>
          </x14:formula1>
          <xm:sqref>N65541:N65564 N131077:N131100 N196613:N196636 N262149:N262172 N327685:N327708 N393221:N393244 N458757:N458780 N524293:N524316 N589829:N589852 N655365:N655388 N720901:N720924 N786437:N786460 N851973:N851996 N917509:N917532 N983045:N983068</xm:sqref>
        </x14:dataValidation>
        <x14:dataValidation type="list" allowBlank="1" showInputMessage="1" showErrorMessage="1" xr:uid="{00000000-0002-0000-0300-0000F1130000}">
          <x14:formula1>
            <xm:f>項目!A2:$AMG$4</xm:f>
          </x14:formula1>
          <xm:sqref>AMP5:AMP28</xm:sqref>
        </x14:dataValidation>
        <x14:dataValidation type="list" allowBlank="1" showInputMessage="1" showErrorMessage="1" xr:uid="{00000000-0002-0000-0300-0000F2130000}">
          <x14:formula1>
            <xm:f>項目!A2:$AWC$4</xm:f>
          </x14:formula1>
          <xm:sqref>AWL5:AWL28</xm:sqref>
        </x14:dataValidation>
        <x14:dataValidation type="list" allowBlank="1" showInputMessage="1" showErrorMessage="1" xr:uid="{00000000-0002-0000-0300-0000F3130000}">
          <x14:formula1>
            <xm:f>項目!A2:$BFY$4</xm:f>
          </x14:formula1>
          <xm:sqref>BGH5:BGH28</xm:sqref>
        </x14:dataValidation>
        <x14:dataValidation type="list" allowBlank="1" showInputMessage="1" showErrorMessage="1" xr:uid="{00000000-0002-0000-0300-0000F4130000}">
          <x14:formula1>
            <xm:f>項目!A2:$BPU$4</xm:f>
          </x14:formula1>
          <xm:sqref>BQD5:BQD28</xm:sqref>
        </x14:dataValidation>
        <x14:dataValidation type="list" allowBlank="1" showInputMessage="1" showErrorMessage="1" xr:uid="{00000000-0002-0000-0300-0000F5130000}">
          <x14:formula1>
            <xm:f>項目!A2:$BZQ$4</xm:f>
          </x14:formula1>
          <xm:sqref>BZZ5:BZZ28</xm:sqref>
        </x14:dataValidation>
        <x14:dataValidation type="list" allowBlank="1" showInputMessage="1" showErrorMessage="1" xr:uid="{00000000-0002-0000-0300-0000F6130000}">
          <x14:formula1>
            <xm:f>項目!A2:$CJM$4</xm:f>
          </x14:formula1>
          <xm:sqref>CJV5:CJV28</xm:sqref>
        </x14:dataValidation>
        <x14:dataValidation type="list" allowBlank="1" showInputMessage="1" showErrorMessage="1" xr:uid="{00000000-0002-0000-0300-0000F7130000}">
          <x14:formula1>
            <xm:f>項目!A2:$CTI$4</xm:f>
          </x14:formula1>
          <xm:sqref>CTR5:CTR28</xm:sqref>
        </x14:dataValidation>
        <x14:dataValidation type="list" allowBlank="1" showInputMessage="1" showErrorMessage="1" xr:uid="{00000000-0002-0000-0300-0000F8130000}">
          <x14:formula1>
            <xm:f>項目!A2:$DDE$4</xm:f>
          </x14:formula1>
          <xm:sqref>DDN5:DDN28</xm:sqref>
        </x14:dataValidation>
        <x14:dataValidation type="list" allowBlank="1" showInputMessage="1" showErrorMessage="1" xr:uid="{00000000-0002-0000-0300-0000F9130000}">
          <x14:formula1>
            <xm:f>項目!A2:$DNA$4</xm:f>
          </x14:formula1>
          <xm:sqref>DNJ5:DNJ28</xm:sqref>
        </x14:dataValidation>
        <x14:dataValidation type="list" allowBlank="1" showInputMessage="1" showErrorMessage="1" xr:uid="{00000000-0002-0000-0300-0000FA130000}">
          <x14:formula1>
            <xm:f>項目!A2:$DWW$4</xm:f>
          </x14:formula1>
          <xm:sqref>DXF5:DXF28</xm:sqref>
        </x14:dataValidation>
        <x14:dataValidation type="list" allowBlank="1" showInputMessage="1" showErrorMessage="1" xr:uid="{00000000-0002-0000-0300-0000FB130000}">
          <x14:formula1>
            <xm:f>項目!A2:$EGS$4</xm:f>
          </x14:formula1>
          <xm:sqref>EHB5:EHB28</xm:sqref>
        </x14:dataValidation>
        <x14:dataValidation type="list" allowBlank="1" showInputMessage="1" showErrorMessage="1" xr:uid="{00000000-0002-0000-0300-0000FC130000}">
          <x14:formula1>
            <xm:f>項目!A2:$EQO$4</xm:f>
          </x14:formula1>
          <xm:sqref>EQX5:EQX28</xm:sqref>
        </x14:dataValidation>
        <x14:dataValidation type="list" allowBlank="1" showInputMessage="1" showErrorMessage="1" xr:uid="{00000000-0002-0000-0300-0000FD130000}">
          <x14:formula1>
            <xm:f>項目!A2:$FAK$4</xm:f>
          </x14:formula1>
          <xm:sqref>FAT5:FAT28</xm:sqref>
        </x14:dataValidation>
        <x14:dataValidation type="list" allowBlank="1" showInputMessage="1" showErrorMessage="1" xr:uid="{00000000-0002-0000-0300-0000FE130000}">
          <x14:formula1>
            <xm:f>項目!A2:$FKG$4</xm:f>
          </x14:formula1>
          <xm:sqref>FKP5:FKP28</xm:sqref>
        </x14:dataValidation>
        <x14:dataValidation type="list" allowBlank="1" showInputMessage="1" showErrorMessage="1" xr:uid="{00000000-0002-0000-0300-0000FF130000}">
          <x14:formula1>
            <xm:f>項目!A2:$FUC$4</xm:f>
          </x14:formula1>
          <xm:sqref>FUL5:FUL28</xm:sqref>
        </x14:dataValidation>
        <x14:dataValidation type="list" allowBlank="1" showInputMessage="1" showErrorMessage="1" xr:uid="{00000000-0002-0000-0300-000000140000}">
          <x14:formula1>
            <xm:f>項目!A2:$GDY$4</xm:f>
          </x14:formula1>
          <xm:sqref>GEH5:GEH28</xm:sqref>
        </x14:dataValidation>
        <x14:dataValidation type="list" allowBlank="1" showInputMessage="1" showErrorMessage="1" xr:uid="{00000000-0002-0000-0300-000001140000}">
          <x14:formula1>
            <xm:f>項目!A2:$GNU$4</xm:f>
          </x14:formula1>
          <xm:sqref>GOD5:GOD28</xm:sqref>
        </x14:dataValidation>
        <x14:dataValidation type="list" allowBlank="1" showInputMessage="1" showErrorMessage="1" xr:uid="{00000000-0002-0000-0300-000002140000}">
          <x14:formula1>
            <xm:f>項目!A2:$GXQ$4</xm:f>
          </x14:formula1>
          <xm:sqref>GXZ5:GXZ28</xm:sqref>
        </x14:dataValidation>
        <x14:dataValidation type="list" allowBlank="1" showInputMessage="1" showErrorMessage="1" xr:uid="{00000000-0002-0000-0300-000003140000}">
          <x14:formula1>
            <xm:f>項目!A2:$HHM$4</xm:f>
          </x14:formula1>
          <xm:sqref>HHV5:HHV28</xm:sqref>
        </x14:dataValidation>
        <x14:dataValidation type="list" allowBlank="1" showInputMessage="1" showErrorMessage="1" xr:uid="{00000000-0002-0000-0300-000004140000}">
          <x14:formula1>
            <xm:f>項目!A2:$HRI$4</xm:f>
          </x14:formula1>
          <xm:sqref>HRR5:HRR28</xm:sqref>
        </x14:dataValidation>
        <x14:dataValidation type="list" allowBlank="1" showInputMessage="1" showErrorMessage="1" xr:uid="{00000000-0002-0000-0300-000005140000}">
          <x14:formula1>
            <xm:f>項目!A2:$IBE$4</xm:f>
          </x14:formula1>
          <xm:sqref>IBN5:IBN28</xm:sqref>
        </x14:dataValidation>
        <x14:dataValidation type="list" allowBlank="1" showInputMessage="1" showErrorMessage="1" xr:uid="{00000000-0002-0000-0300-000006140000}">
          <x14:formula1>
            <xm:f>項目!A2:$ILA$4</xm:f>
          </x14:formula1>
          <xm:sqref>ILJ5:ILJ28</xm:sqref>
        </x14:dataValidation>
        <x14:dataValidation type="list" allowBlank="1" showInputMessage="1" showErrorMessage="1" xr:uid="{00000000-0002-0000-0300-000007140000}">
          <x14:formula1>
            <xm:f>項目!A2:$IUW$4</xm:f>
          </x14:formula1>
          <xm:sqref>IVF5:IVF28</xm:sqref>
        </x14:dataValidation>
        <x14:dataValidation type="list" allowBlank="1" showInputMessage="1" showErrorMessage="1" xr:uid="{00000000-0002-0000-0300-000008140000}">
          <x14:formula1>
            <xm:f>項目!A2:$JES$4</xm:f>
          </x14:formula1>
          <xm:sqref>JFB5:JFB28</xm:sqref>
        </x14:dataValidation>
        <x14:dataValidation type="list" allowBlank="1" showInputMessage="1" showErrorMessage="1" xr:uid="{00000000-0002-0000-0300-000009140000}">
          <x14:formula1>
            <xm:f>項目!A2:$JOO$4</xm:f>
          </x14:formula1>
          <xm:sqref>JOX5:JOX28</xm:sqref>
        </x14:dataValidation>
        <x14:dataValidation type="list" allowBlank="1" showInputMessage="1" showErrorMessage="1" xr:uid="{00000000-0002-0000-0300-00000A140000}">
          <x14:formula1>
            <xm:f>項目!A2:$JYK$4</xm:f>
          </x14:formula1>
          <xm:sqref>JYT5:JYT28</xm:sqref>
        </x14:dataValidation>
        <x14:dataValidation type="list" allowBlank="1" showInputMessage="1" showErrorMessage="1" xr:uid="{00000000-0002-0000-0300-00000B140000}">
          <x14:formula1>
            <xm:f>項目!A2:$KIG$4</xm:f>
          </x14:formula1>
          <xm:sqref>KIP5:KIP28</xm:sqref>
        </x14:dataValidation>
        <x14:dataValidation type="list" allowBlank="1" showInputMessage="1" showErrorMessage="1" xr:uid="{00000000-0002-0000-0300-00000C140000}">
          <x14:formula1>
            <xm:f>項目!A2:$KSC$4</xm:f>
          </x14:formula1>
          <xm:sqref>KSL5:KSL28</xm:sqref>
        </x14:dataValidation>
        <x14:dataValidation type="list" allowBlank="1" showInputMessage="1" showErrorMessage="1" xr:uid="{00000000-0002-0000-0300-00000D140000}">
          <x14:formula1>
            <xm:f>項目!A2:$LBY$4</xm:f>
          </x14:formula1>
          <xm:sqref>LCH5:LCH28</xm:sqref>
        </x14:dataValidation>
        <x14:dataValidation type="list" allowBlank="1" showInputMessage="1" showErrorMessage="1" xr:uid="{00000000-0002-0000-0300-00000E140000}">
          <x14:formula1>
            <xm:f>項目!A2:$LLU$4</xm:f>
          </x14:formula1>
          <xm:sqref>LMD5:LMD28</xm:sqref>
        </x14:dataValidation>
        <x14:dataValidation type="list" allowBlank="1" showInputMessage="1" showErrorMessage="1" xr:uid="{00000000-0002-0000-0300-00000F140000}">
          <x14:formula1>
            <xm:f>項目!A2:$LVQ$4</xm:f>
          </x14:formula1>
          <xm:sqref>LVZ5:LVZ28</xm:sqref>
        </x14:dataValidation>
        <x14:dataValidation type="list" allowBlank="1" showInputMessage="1" showErrorMessage="1" xr:uid="{00000000-0002-0000-0300-000010140000}">
          <x14:formula1>
            <xm:f>項目!A2:$MFM$4</xm:f>
          </x14:formula1>
          <xm:sqref>MFV5:MFV28</xm:sqref>
        </x14:dataValidation>
        <x14:dataValidation type="list" allowBlank="1" showInputMessage="1" showErrorMessage="1" xr:uid="{00000000-0002-0000-0300-000011140000}">
          <x14:formula1>
            <xm:f>項目!A2:$MPI$4</xm:f>
          </x14:formula1>
          <xm:sqref>MPR5:MPR28</xm:sqref>
        </x14:dataValidation>
        <x14:dataValidation type="list" allowBlank="1" showInputMessage="1" showErrorMessage="1" xr:uid="{00000000-0002-0000-0300-000012140000}">
          <x14:formula1>
            <xm:f>項目!A2:$MZE$4</xm:f>
          </x14:formula1>
          <xm:sqref>MZN5:MZN28</xm:sqref>
        </x14:dataValidation>
        <x14:dataValidation type="list" allowBlank="1" showInputMessage="1" showErrorMessage="1" xr:uid="{00000000-0002-0000-0300-000013140000}">
          <x14:formula1>
            <xm:f>項目!A2:$NJA$4</xm:f>
          </x14:formula1>
          <xm:sqref>NJJ5:NJJ28</xm:sqref>
        </x14:dataValidation>
        <x14:dataValidation type="list" allowBlank="1" showInputMessage="1" showErrorMessage="1" xr:uid="{00000000-0002-0000-0300-000014140000}">
          <x14:formula1>
            <xm:f>項目!A2:$NSW$4</xm:f>
          </x14:formula1>
          <xm:sqref>NTF5:NTF28</xm:sqref>
        </x14:dataValidation>
        <x14:dataValidation type="list" allowBlank="1" showInputMessage="1" showErrorMessage="1" xr:uid="{00000000-0002-0000-0300-000015140000}">
          <x14:formula1>
            <xm:f>項目!A2:$OCS$4</xm:f>
          </x14:formula1>
          <xm:sqref>ODB5:ODB28</xm:sqref>
        </x14:dataValidation>
        <x14:dataValidation type="list" allowBlank="1" showInputMessage="1" showErrorMessage="1" xr:uid="{00000000-0002-0000-0300-000016140000}">
          <x14:formula1>
            <xm:f>項目!A2:$OMO$4</xm:f>
          </x14:formula1>
          <xm:sqref>OMX5:OMX28</xm:sqref>
        </x14:dataValidation>
        <x14:dataValidation type="list" allowBlank="1" showInputMessage="1" showErrorMessage="1" xr:uid="{00000000-0002-0000-0300-000017140000}">
          <x14:formula1>
            <xm:f>項目!A2:$OWK$4</xm:f>
          </x14:formula1>
          <xm:sqref>OWT5:OWT28</xm:sqref>
        </x14:dataValidation>
        <x14:dataValidation type="list" allowBlank="1" showInputMessage="1" showErrorMessage="1" xr:uid="{00000000-0002-0000-0300-000018140000}">
          <x14:formula1>
            <xm:f>項目!A2:$PGG$4</xm:f>
          </x14:formula1>
          <xm:sqref>PGP5:PGP28</xm:sqref>
        </x14:dataValidation>
        <x14:dataValidation type="list" allowBlank="1" showInputMessage="1" showErrorMessage="1" xr:uid="{00000000-0002-0000-0300-000019140000}">
          <x14:formula1>
            <xm:f>項目!A2:$PQC$4</xm:f>
          </x14:formula1>
          <xm:sqref>PQL5:PQL28</xm:sqref>
        </x14:dataValidation>
        <x14:dataValidation type="list" allowBlank="1" showInputMessage="1" showErrorMessage="1" xr:uid="{00000000-0002-0000-0300-00001A140000}">
          <x14:formula1>
            <xm:f>項目!A2:$PZY$4</xm:f>
          </x14:formula1>
          <xm:sqref>QAH5:QAH28</xm:sqref>
        </x14:dataValidation>
        <x14:dataValidation type="list" allowBlank="1" showInputMessage="1" showErrorMessage="1" xr:uid="{00000000-0002-0000-0300-00001B140000}">
          <x14:formula1>
            <xm:f>項目!A2:$QJU$4</xm:f>
          </x14:formula1>
          <xm:sqref>QKD5:QKD28</xm:sqref>
        </x14:dataValidation>
        <x14:dataValidation type="list" allowBlank="1" showInputMessage="1" showErrorMessage="1" xr:uid="{00000000-0002-0000-0300-00001C140000}">
          <x14:formula1>
            <xm:f>項目!A2:$QTQ$4</xm:f>
          </x14:formula1>
          <xm:sqref>QTZ5:QTZ28</xm:sqref>
        </x14:dataValidation>
        <x14:dataValidation type="list" allowBlank="1" showInputMessage="1" showErrorMessage="1" xr:uid="{00000000-0002-0000-0300-00001D140000}">
          <x14:formula1>
            <xm:f>項目!A2:$RDM$4</xm:f>
          </x14:formula1>
          <xm:sqref>RDV5:RDV28</xm:sqref>
        </x14:dataValidation>
        <x14:dataValidation type="list" allowBlank="1" showInputMessage="1" showErrorMessage="1" xr:uid="{00000000-0002-0000-0300-00001E140000}">
          <x14:formula1>
            <xm:f>項目!A2:$RNI$4</xm:f>
          </x14:formula1>
          <xm:sqref>RNR5:RNR28</xm:sqref>
        </x14:dataValidation>
        <x14:dataValidation type="list" allowBlank="1" showInputMessage="1" showErrorMessage="1" xr:uid="{00000000-0002-0000-0300-00001F140000}">
          <x14:formula1>
            <xm:f>項目!A2:$RXE$4</xm:f>
          </x14:formula1>
          <xm:sqref>RXN5:RXN28</xm:sqref>
        </x14:dataValidation>
        <x14:dataValidation type="list" allowBlank="1" showInputMessage="1" showErrorMessage="1" xr:uid="{00000000-0002-0000-0300-000020140000}">
          <x14:formula1>
            <xm:f>項目!A2:$SHA$4</xm:f>
          </x14:formula1>
          <xm:sqref>SHJ5:SHJ28</xm:sqref>
        </x14:dataValidation>
        <x14:dataValidation type="list" allowBlank="1" showInputMessage="1" showErrorMessage="1" xr:uid="{00000000-0002-0000-0300-000021140000}">
          <x14:formula1>
            <xm:f>項目!A2:$SQW$4</xm:f>
          </x14:formula1>
          <xm:sqref>SRF5:SRF28</xm:sqref>
        </x14:dataValidation>
        <x14:dataValidation type="list" allowBlank="1" showInputMessage="1" showErrorMessage="1" xr:uid="{00000000-0002-0000-0300-000022140000}">
          <x14:formula1>
            <xm:f>項目!A2:$TAS$4</xm:f>
          </x14:formula1>
          <xm:sqref>TBB5:TBB28</xm:sqref>
        </x14:dataValidation>
        <x14:dataValidation type="list" allowBlank="1" showInputMessage="1" showErrorMessage="1" xr:uid="{00000000-0002-0000-0300-000023140000}">
          <x14:formula1>
            <xm:f>項目!A2:$TKO$4</xm:f>
          </x14:formula1>
          <xm:sqref>TKX5:TKX28</xm:sqref>
        </x14:dataValidation>
        <x14:dataValidation type="list" allowBlank="1" showInputMessage="1" showErrorMessage="1" xr:uid="{00000000-0002-0000-0300-000024140000}">
          <x14:formula1>
            <xm:f>項目!A2:$TUK$4</xm:f>
          </x14:formula1>
          <xm:sqref>TUT5:TUT28</xm:sqref>
        </x14:dataValidation>
        <x14:dataValidation type="list" allowBlank="1" showInputMessage="1" showErrorMessage="1" xr:uid="{00000000-0002-0000-0300-000025140000}">
          <x14:formula1>
            <xm:f>項目!A2:$UEG$4</xm:f>
          </x14:formula1>
          <xm:sqref>UEP5:UEP28</xm:sqref>
        </x14:dataValidation>
        <x14:dataValidation type="list" allowBlank="1" showInputMessage="1" showErrorMessage="1" xr:uid="{00000000-0002-0000-0300-000026140000}">
          <x14:formula1>
            <xm:f>項目!A2:$UOC$4</xm:f>
          </x14:formula1>
          <xm:sqref>UOL5:UOL28</xm:sqref>
        </x14:dataValidation>
        <x14:dataValidation type="list" allowBlank="1" showInputMessage="1" showErrorMessage="1" xr:uid="{00000000-0002-0000-0300-000027140000}">
          <x14:formula1>
            <xm:f>項目!A2:$UXY$4</xm:f>
          </x14:formula1>
          <xm:sqref>UYH5:UYH28</xm:sqref>
        </x14:dataValidation>
        <x14:dataValidation type="list" allowBlank="1" showInputMessage="1" showErrorMessage="1" xr:uid="{00000000-0002-0000-0300-000028140000}">
          <x14:formula1>
            <xm:f>項目!A2:$VHU$4</xm:f>
          </x14:formula1>
          <xm:sqref>VID5:VID28</xm:sqref>
        </x14:dataValidation>
        <x14:dataValidation type="list" allowBlank="1" showInputMessage="1" showErrorMessage="1" xr:uid="{00000000-0002-0000-0300-000029140000}">
          <x14:formula1>
            <xm:f>項目!A2:$VRQ$4</xm:f>
          </x14:formula1>
          <xm:sqref>VRZ5:VRZ28</xm:sqref>
        </x14:dataValidation>
        <x14:dataValidation type="list" allowBlank="1" showInputMessage="1" showErrorMessage="1" xr:uid="{00000000-0002-0000-0300-00002A140000}">
          <x14:formula1>
            <xm:f>項目!A2:$WBM$4</xm:f>
          </x14:formula1>
          <xm:sqref>WBV5:WBV28</xm:sqref>
        </x14:dataValidation>
        <x14:dataValidation type="list" allowBlank="1" showInputMessage="1" showErrorMessage="1" xr:uid="{00000000-0002-0000-0300-00002B140000}">
          <x14:formula1>
            <xm:f>項目!A2:$WLI$4</xm:f>
          </x14:formula1>
          <xm:sqref>WLR5:WLR28</xm:sqref>
        </x14:dataValidation>
        <x14:dataValidation type="list" allowBlank="1" showInputMessage="1" showErrorMessage="1" xr:uid="{00000000-0002-0000-0300-00002C140000}">
          <x14:formula1>
            <xm:f>項目!A2:$WVE$4</xm:f>
          </x14:formula1>
          <xm:sqref>WVN5:WVN28</xm:sqref>
        </x14:dataValidation>
        <x14:dataValidation type="list" allowBlank="1" showInputMessage="1" showErrorMessage="1" xr:uid="{00000000-0002-0000-0300-00002D140000}">
          <x14:formula1>
            <xm:f>項目!A4:$IS$65538</xm:f>
          </x14:formula1>
          <xm:sqref>JB65541:JB65564</xm:sqref>
        </x14:dataValidation>
        <x14:dataValidation type="list" allowBlank="1" showInputMessage="1" showErrorMessage="1" xr:uid="{00000000-0002-0000-0300-00002E140000}">
          <x14:formula1>
            <xm:f>項目!A4:$SO$65538</xm:f>
          </x14:formula1>
          <xm:sqref>SX65541:SX65564</xm:sqref>
        </x14:dataValidation>
        <x14:dataValidation type="list" allowBlank="1" showInputMessage="1" showErrorMessage="1" xr:uid="{00000000-0002-0000-0300-00002F140000}">
          <x14:formula1>
            <xm:f>項目!A4:$ACK$65538</xm:f>
          </x14:formula1>
          <xm:sqref>ACT65541:ACT65564</xm:sqref>
        </x14:dataValidation>
        <x14:dataValidation type="list" allowBlank="1" showInputMessage="1" showErrorMessage="1" xr:uid="{00000000-0002-0000-0300-000030140000}">
          <x14:formula1>
            <xm:f>項目!A4:$AMG$65538</xm:f>
          </x14:formula1>
          <xm:sqref>AMP65541:AMP65564</xm:sqref>
        </x14:dataValidation>
        <x14:dataValidation type="list" allowBlank="1" showInputMessage="1" showErrorMessage="1" xr:uid="{00000000-0002-0000-0300-000031140000}">
          <x14:formula1>
            <xm:f>項目!A4:$AWC$65538</xm:f>
          </x14:formula1>
          <xm:sqref>AWL65541:AWL65564</xm:sqref>
        </x14:dataValidation>
        <x14:dataValidation type="list" allowBlank="1" showInputMessage="1" showErrorMessage="1" xr:uid="{00000000-0002-0000-0300-000032140000}">
          <x14:formula1>
            <xm:f>項目!A4:$BFY$65538</xm:f>
          </x14:formula1>
          <xm:sqref>BGH65541:BGH65564</xm:sqref>
        </x14:dataValidation>
        <x14:dataValidation type="list" allowBlank="1" showInputMessage="1" showErrorMessage="1" xr:uid="{00000000-0002-0000-0300-000033140000}">
          <x14:formula1>
            <xm:f>項目!A4:$BPU$65538</xm:f>
          </x14:formula1>
          <xm:sqref>BQD65541:BQD65564</xm:sqref>
        </x14:dataValidation>
        <x14:dataValidation type="list" allowBlank="1" showInputMessage="1" showErrorMessage="1" xr:uid="{00000000-0002-0000-0300-000034140000}">
          <x14:formula1>
            <xm:f>項目!A4:$BZQ$65538</xm:f>
          </x14:formula1>
          <xm:sqref>BZZ65541:BZZ65564</xm:sqref>
        </x14:dataValidation>
        <x14:dataValidation type="list" allowBlank="1" showInputMessage="1" showErrorMessage="1" xr:uid="{00000000-0002-0000-0300-000035140000}">
          <x14:formula1>
            <xm:f>項目!A4:$CJM$65538</xm:f>
          </x14:formula1>
          <xm:sqref>CJV65541:CJV65564</xm:sqref>
        </x14:dataValidation>
        <x14:dataValidation type="list" allowBlank="1" showInputMessage="1" showErrorMessage="1" xr:uid="{00000000-0002-0000-0300-000036140000}">
          <x14:formula1>
            <xm:f>項目!A4:$CTI$65538</xm:f>
          </x14:formula1>
          <xm:sqref>CTR65541:CTR65564</xm:sqref>
        </x14:dataValidation>
        <x14:dataValidation type="list" allowBlank="1" showInputMessage="1" showErrorMessage="1" xr:uid="{00000000-0002-0000-0300-000037140000}">
          <x14:formula1>
            <xm:f>項目!A4:$DDE$65538</xm:f>
          </x14:formula1>
          <xm:sqref>DDN65541:DDN65564</xm:sqref>
        </x14:dataValidation>
        <x14:dataValidation type="list" allowBlank="1" showInputMessage="1" showErrorMessage="1" xr:uid="{00000000-0002-0000-0300-000038140000}">
          <x14:formula1>
            <xm:f>項目!A4:$DNA$65538</xm:f>
          </x14:formula1>
          <xm:sqref>DNJ65541:DNJ65564</xm:sqref>
        </x14:dataValidation>
        <x14:dataValidation type="list" allowBlank="1" showInputMessage="1" showErrorMessage="1" xr:uid="{00000000-0002-0000-0300-000039140000}">
          <x14:formula1>
            <xm:f>項目!A4:$DWW$65538</xm:f>
          </x14:formula1>
          <xm:sqref>DXF65541:DXF65564</xm:sqref>
        </x14:dataValidation>
        <x14:dataValidation type="list" allowBlank="1" showInputMessage="1" showErrorMessage="1" xr:uid="{00000000-0002-0000-0300-00003A140000}">
          <x14:formula1>
            <xm:f>項目!A4:$EGS$65538</xm:f>
          </x14:formula1>
          <xm:sqref>EHB65541:EHB65564</xm:sqref>
        </x14:dataValidation>
        <x14:dataValidation type="list" allowBlank="1" showInputMessage="1" showErrorMessage="1" xr:uid="{00000000-0002-0000-0300-00003B140000}">
          <x14:formula1>
            <xm:f>項目!A4:$EQO$65538</xm:f>
          </x14:formula1>
          <xm:sqref>EQX65541:EQX65564</xm:sqref>
        </x14:dataValidation>
        <x14:dataValidation type="list" allowBlank="1" showInputMessage="1" showErrorMessage="1" xr:uid="{00000000-0002-0000-0300-00003C140000}">
          <x14:formula1>
            <xm:f>項目!A4:$FAK$65538</xm:f>
          </x14:formula1>
          <xm:sqref>FAT65541:FAT65564</xm:sqref>
        </x14:dataValidation>
        <x14:dataValidation type="list" allowBlank="1" showInputMessage="1" showErrorMessage="1" xr:uid="{00000000-0002-0000-0300-00003D140000}">
          <x14:formula1>
            <xm:f>項目!A4:$FKG$65538</xm:f>
          </x14:formula1>
          <xm:sqref>FKP65541:FKP65564</xm:sqref>
        </x14:dataValidation>
        <x14:dataValidation type="list" allowBlank="1" showInputMessage="1" showErrorMessage="1" xr:uid="{00000000-0002-0000-0300-00003E140000}">
          <x14:formula1>
            <xm:f>項目!A4:$FUC$65538</xm:f>
          </x14:formula1>
          <xm:sqref>FUL65541:FUL65564</xm:sqref>
        </x14:dataValidation>
        <x14:dataValidation type="list" allowBlank="1" showInputMessage="1" showErrorMessage="1" xr:uid="{00000000-0002-0000-0300-00003F140000}">
          <x14:formula1>
            <xm:f>項目!A4:$GDY$65538</xm:f>
          </x14:formula1>
          <xm:sqref>GEH65541:GEH65564</xm:sqref>
        </x14:dataValidation>
        <x14:dataValidation type="list" allowBlank="1" showInputMessage="1" showErrorMessage="1" xr:uid="{00000000-0002-0000-0300-000040140000}">
          <x14:formula1>
            <xm:f>項目!A4:$GNU$65538</xm:f>
          </x14:formula1>
          <xm:sqref>GOD65541:GOD65564</xm:sqref>
        </x14:dataValidation>
        <x14:dataValidation type="list" allowBlank="1" showInputMessage="1" showErrorMessage="1" xr:uid="{00000000-0002-0000-0300-000041140000}">
          <x14:formula1>
            <xm:f>項目!A4:$GXQ$65538</xm:f>
          </x14:formula1>
          <xm:sqref>GXZ65541:GXZ65564</xm:sqref>
        </x14:dataValidation>
        <x14:dataValidation type="list" allowBlank="1" showInputMessage="1" showErrorMessage="1" xr:uid="{00000000-0002-0000-0300-000042140000}">
          <x14:formula1>
            <xm:f>項目!A4:$HHM$65538</xm:f>
          </x14:formula1>
          <xm:sqref>HHV65541:HHV65564</xm:sqref>
        </x14:dataValidation>
        <x14:dataValidation type="list" allowBlank="1" showInputMessage="1" showErrorMessage="1" xr:uid="{00000000-0002-0000-0300-000043140000}">
          <x14:formula1>
            <xm:f>項目!A4:$HRI$65538</xm:f>
          </x14:formula1>
          <xm:sqref>HRR65541:HRR65564</xm:sqref>
        </x14:dataValidation>
        <x14:dataValidation type="list" allowBlank="1" showInputMessage="1" showErrorMessage="1" xr:uid="{00000000-0002-0000-0300-000044140000}">
          <x14:formula1>
            <xm:f>項目!A4:$IBE$65538</xm:f>
          </x14:formula1>
          <xm:sqref>IBN65541:IBN65564</xm:sqref>
        </x14:dataValidation>
        <x14:dataValidation type="list" allowBlank="1" showInputMessage="1" showErrorMessage="1" xr:uid="{00000000-0002-0000-0300-000045140000}">
          <x14:formula1>
            <xm:f>項目!A4:$ILA$65538</xm:f>
          </x14:formula1>
          <xm:sqref>ILJ65541:ILJ65564</xm:sqref>
        </x14:dataValidation>
        <x14:dataValidation type="list" allowBlank="1" showInputMessage="1" showErrorMessage="1" xr:uid="{00000000-0002-0000-0300-000046140000}">
          <x14:formula1>
            <xm:f>項目!A4:$IUW$65538</xm:f>
          </x14:formula1>
          <xm:sqref>IVF65541:IVF65564</xm:sqref>
        </x14:dataValidation>
        <x14:dataValidation type="list" allowBlank="1" showInputMessage="1" showErrorMessage="1" xr:uid="{00000000-0002-0000-0300-000047140000}">
          <x14:formula1>
            <xm:f>項目!A4:$JES$65538</xm:f>
          </x14:formula1>
          <xm:sqref>JFB65541:JFB65564</xm:sqref>
        </x14:dataValidation>
        <x14:dataValidation type="list" allowBlank="1" showInputMessage="1" showErrorMessage="1" xr:uid="{00000000-0002-0000-0300-000048140000}">
          <x14:formula1>
            <xm:f>項目!A4:$JOO$65538</xm:f>
          </x14:formula1>
          <xm:sqref>JOX65541:JOX65564</xm:sqref>
        </x14:dataValidation>
        <x14:dataValidation type="list" allowBlank="1" showInputMessage="1" showErrorMessage="1" xr:uid="{00000000-0002-0000-0300-000049140000}">
          <x14:formula1>
            <xm:f>項目!A4:$JYK$65538</xm:f>
          </x14:formula1>
          <xm:sqref>JYT65541:JYT65564</xm:sqref>
        </x14:dataValidation>
        <x14:dataValidation type="list" allowBlank="1" showInputMessage="1" showErrorMessage="1" xr:uid="{00000000-0002-0000-0300-00004A140000}">
          <x14:formula1>
            <xm:f>項目!A4:$KIG$65538</xm:f>
          </x14:formula1>
          <xm:sqref>KIP65541:KIP65564</xm:sqref>
        </x14:dataValidation>
        <x14:dataValidation type="list" allowBlank="1" showInputMessage="1" showErrorMessage="1" xr:uid="{00000000-0002-0000-0300-00004B140000}">
          <x14:formula1>
            <xm:f>項目!A4:$KSC$65538</xm:f>
          </x14:formula1>
          <xm:sqref>KSL65541:KSL65564</xm:sqref>
        </x14:dataValidation>
        <x14:dataValidation type="list" allowBlank="1" showInputMessage="1" showErrorMessage="1" xr:uid="{00000000-0002-0000-0300-00004C140000}">
          <x14:formula1>
            <xm:f>項目!A4:$LBY$65538</xm:f>
          </x14:formula1>
          <xm:sqref>LCH65541:LCH65564</xm:sqref>
        </x14:dataValidation>
        <x14:dataValidation type="list" allowBlank="1" showInputMessage="1" showErrorMessage="1" xr:uid="{00000000-0002-0000-0300-00004D140000}">
          <x14:formula1>
            <xm:f>項目!A4:$LLU$65538</xm:f>
          </x14:formula1>
          <xm:sqref>LMD65541:LMD65564</xm:sqref>
        </x14:dataValidation>
        <x14:dataValidation type="list" allowBlank="1" showInputMessage="1" showErrorMessage="1" xr:uid="{00000000-0002-0000-0300-00004E140000}">
          <x14:formula1>
            <xm:f>項目!A4:$LVQ$65538</xm:f>
          </x14:formula1>
          <xm:sqref>LVZ65541:LVZ65564</xm:sqref>
        </x14:dataValidation>
        <x14:dataValidation type="list" allowBlank="1" showInputMessage="1" showErrorMessage="1" xr:uid="{00000000-0002-0000-0300-00004F140000}">
          <x14:formula1>
            <xm:f>項目!A4:$MFM$65538</xm:f>
          </x14:formula1>
          <xm:sqref>MFV65541:MFV65564</xm:sqref>
        </x14:dataValidation>
        <x14:dataValidation type="list" allowBlank="1" showInputMessage="1" showErrorMessage="1" xr:uid="{00000000-0002-0000-0300-000050140000}">
          <x14:formula1>
            <xm:f>項目!A4:$MPI$65538</xm:f>
          </x14:formula1>
          <xm:sqref>MPR65541:MPR65564</xm:sqref>
        </x14:dataValidation>
        <x14:dataValidation type="list" allowBlank="1" showInputMessage="1" showErrorMessage="1" xr:uid="{00000000-0002-0000-0300-000051140000}">
          <x14:formula1>
            <xm:f>項目!A4:$MZE$65538</xm:f>
          </x14:formula1>
          <xm:sqref>MZN65541:MZN65564</xm:sqref>
        </x14:dataValidation>
        <x14:dataValidation type="list" allowBlank="1" showInputMessage="1" showErrorMessage="1" xr:uid="{00000000-0002-0000-0300-000052140000}">
          <x14:formula1>
            <xm:f>項目!A4:$NJA$65538</xm:f>
          </x14:formula1>
          <xm:sqref>NJJ65541:NJJ65564</xm:sqref>
        </x14:dataValidation>
        <x14:dataValidation type="list" allowBlank="1" showInputMessage="1" showErrorMessage="1" xr:uid="{00000000-0002-0000-0300-000053140000}">
          <x14:formula1>
            <xm:f>項目!A4:$NSW$65538</xm:f>
          </x14:formula1>
          <xm:sqref>NTF65541:NTF65564</xm:sqref>
        </x14:dataValidation>
        <x14:dataValidation type="list" allowBlank="1" showInputMessage="1" showErrorMessage="1" xr:uid="{00000000-0002-0000-0300-000054140000}">
          <x14:formula1>
            <xm:f>項目!A4:$OCS$65538</xm:f>
          </x14:formula1>
          <xm:sqref>ODB65541:ODB65564</xm:sqref>
        </x14:dataValidation>
        <x14:dataValidation type="list" allowBlank="1" showInputMessage="1" showErrorMessage="1" xr:uid="{00000000-0002-0000-0300-000055140000}">
          <x14:formula1>
            <xm:f>項目!A4:$OMO$65538</xm:f>
          </x14:formula1>
          <xm:sqref>OMX65541:OMX65564</xm:sqref>
        </x14:dataValidation>
        <x14:dataValidation type="list" allowBlank="1" showInputMessage="1" showErrorMessage="1" xr:uid="{00000000-0002-0000-0300-000056140000}">
          <x14:formula1>
            <xm:f>項目!A4:$OWK$65538</xm:f>
          </x14:formula1>
          <xm:sqref>OWT65541:OWT65564</xm:sqref>
        </x14:dataValidation>
        <x14:dataValidation type="list" allowBlank="1" showInputMessage="1" showErrorMessage="1" xr:uid="{00000000-0002-0000-0300-000057140000}">
          <x14:formula1>
            <xm:f>項目!A4:$PGG$65538</xm:f>
          </x14:formula1>
          <xm:sqref>PGP65541:PGP65564</xm:sqref>
        </x14:dataValidation>
        <x14:dataValidation type="list" allowBlank="1" showInputMessage="1" showErrorMessage="1" xr:uid="{00000000-0002-0000-0300-000058140000}">
          <x14:formula1>
            <xm:f>項目!A4:$PQC$65538</xm:f>
          </x14:formula1>
          <xm:sqref>PQL65541:PQL65564</xm:sqref>
        </x14:dataValidation>
        <x14:dataValidation type="list" allowBlank="1" showInputMessage="1" showErrorMessage="1" xr:uid="{00000000-0002-0000-0300-000059140000}">
          <x14:formula1>
            <xm:f>項目!A4:$PZY$65538</xm:f>
          </x14:formula1>
          <xm:sqref>QAH65541:QAH65564</xm:sqref>
        </x14:dataValidation>
        <x14:dataValidation type="list" allowBlank="1" showInputMessage="1" showErrorMessage="1" xr:uid="{00000000-0002-0000-0300-00005A140000}">
          <x14:formula1>
            <xm:f>項目!A4:$QJU$65538</xm:f>
          </x14:formula1>
          <xm:sqref>QKD65541:QKD65564</xm:sqref>
        </x14:dataValidation>
        <x14:dataValidation type="list" allowBlank="1" showInputMessage="1" showErrorMessage="1" xr:uid="{00000000-0002-0000-0300-00005B140000}">
          <x14:formula1>
            <xm:f>項目!A4:$QTQ$65538</xm:f>
          </x14:formula1>
          <xm:sqref>QTZ65541:QTZ65564</xm:sqref>
        </x14:dataValidation>
        <x14:dataValidation type="list" allowBlank="1" showInputMessage="1" showErrorMessage="1" xr:uid="{00000000-0002-0000-0300-00005C140000}">
          <x14:formula1>
            <xm:f>項目!A4:$RDM$65538</xm:f>
          </x14:formula1>
          <xm:sqref>RDV65541:RDV65564</xm:sqref>
        </x14:dataValidation>
        <x14:dataValidation type="list" allowBlank="1" showInputMessage="1" showErrorMessage="1" xr:uid="{00000000-0002-0000-0300-00005D140000}">
          <x14:formula1>
            <xm:f>項目!A4:$RNI$65538</xm:f>
          </x14:formula1>
          <xm:sqref>RNR65541:RNR65564</xm:sqref>
        </x14:dataValidation>
        <x14:dataValidation type="list" allowBlank="1" showInputMessage="1" showErrorMessage="1" xr:uid="{00000000-0002-0000-0300-00005E140000}">
          <x14:formula1>
            <xm:f>項目!A4:$RXE$65538</xm:f>
          </x14:formula1>
          <xm:sqref>RXN65541:RXN65564</xm:sqref>
        </x14:dataValidation>
        <x14:dataValidation type="list" allowBlank="1" showInputMessage="1" showErrorMessage="1" xr:uid="{00000000-0002-0000-0300-00005F140000}">
          <x14:formula1>
            <xm:f>項目!A4:$SHA$65538</xm:f>
          </x14:formula1>
          <xm:sqref>SHJ65541:SHJ65564</xm:sqref>
        </x14:dataValidation>
        <x14:dataValidation type="list" allowBlank="1" showInputMessage="1" showErrorMessage="1" xr:uid="{00000000-0002-0000-0300-000060140000}">
          <x14:formula1>
            <xm:f>項目!A4:$SQW$65538</xm:f>
          </x14:formula1>
          <xm:sqref>SRF65541:SRF65564</xm:sqref>
        </x14:dataValidation>
        <x14:dataValidation type="list" allowBlank="1" showInputMessage="1" showErrorMessage="1" xr:uid="{00000000-0002-0000-0300-000061140000}">
          <x14:formula1>
            <xm:f>項目!A4:$TAS$65538</xm:f>
          </x14:formula1>
          <xm:sqref>TBB65541:TBB65564</xm:sqref>
        </x14:dataValidation>
        <x14:dataValidation type="list" allowBlank="1" showInputMessage="1" showErrorMessage="1" xr:uid="{00000000-0002-0000-0300-000062140000}">
          <x14:formula1>
            <xm:f>項目!A4:$TKO$65538</xm:f>
          </x14:formula1>
          <xm:sqref>TKX65541:TKX65564</xm:sqref>
        </x14:dataValidation>
        <x14:dataValidation type="list" allowBlank="1" showInputMessage="1" showErrorMessage="1" xr:uid="{00000000-0002-0000-0300-000063140000}">
          <x14:formula1>
            <xm:f>項目!A4:$TUK$65538</xm:f>
          </x14:formula1>
          <xm:sqref>TUT65541:TUT65564</xm:sqref>
        </x14:dataValidation>
        <x14:dataValidation type="list" allowBlank="1" showInputMessage="1" showErrorMessage="1" xr:uid="{00000000-0002-0000-0300-000064140000}">
          <x14:formula1>
            <xm:f>項目!A4:$UEG$65538</xm:f>
          </x14:formula1>
          <xm:sqref>UEP65541:UEP65564</xm:sqref>
        </x14:dataValidation>
        <x14:dataValidation type="list" allowBlank="1" showInputMessage="1" showErrorMessage="1" xr:uid="{00000000-0002-0000-0300-000065140000}">
          <x14:formula1>
            <xm:f>項目!A4:$UOC$65538</xm:f>
          </x14:formula1>
          <xm:sqref>UOL65541:UOL65564</xm:sqref>
        </x14:dataValidation>
        <x14:dataValidation type="list" allowBlank="1" showInputMessage="1" showErrorMessage="1" xr:uid="{00000000-0002-0000-0300-000066140000}">
          <x14:formula1>
            <xm:f>項目!A4:$UXY$65538</xm:f>
          </x14:formula1>
          <xm:sqref>UYH65541:UYH65564</xm:sqref>
        </x14:dataValidation>
        <x14:dataValidation type="list" allowBlank="1" showInputMessage="1" showErrorMessage="1" xr:uid="{00000000-0002-0000-0300-000067140000}">
          <x14:formula1>
            <xm:f>項目!A4:$VHU$65538</xm:f>
          </x14:formula1>
          <xm:sqref>VID65541:VID65564</xm:sqref>
        </x14:dataValidation>
        <x14:dataValidation type="list" allowBlank="1" showInputMessage="1" showErrorMessage="1" xr:uid="{00000000-0002-0000-0300-000068140000}">
          <x14:formula1>
            <xm:f>項目!A4:$VRQ$65538</xm:f>
          </x14:formula1>
          <xm:sqref>VRZ65541:VRZ65564</xm:sqref>
        </x14:dataValidation>
        <x14:dataValidation type="list" allowBlank="1" showInputMessage="1" showErrorMessage="1" xr:uid="{00000000-0002-0000-0300-000069140000}">
          <x14:formula1>
            <xm:f>項目!A4:$WBM$65538</xm:f>
          </x14:formula1>
          <xm:sqref>WBV65541:WBV65564</xm:sqref>
        </x14:dataValidation>
        <x14:dataValidation type="list" allowBlank="1" showInputMessage="1" showErrorMessage="1" xr:uid="{00000000-0002-0000-0300-00006A140000}">
          <x14:formula1>
            <xm:f>項目!A4:$WLI$65538</xm:f>
          </x14:formula1>
          <xm:sqref>WLR65541:WLR65564</xm:sqref>
        </x14:dataValidation>
        <x14:dataValidation type="list" allowBlank="1" showInputMessage="1" showErrorMessage="1" xr:uid="{00000000-0002-0000-0300-00006B140000}">
          <x14:formula1>
            <xm:f>項目!A4:$WVE$65538</xm:f>
          </x14:formula1>
          <xm:sqref>WVN65541:WVN65564</xm:sqref>
        </x14:dataValidation>
        <x14:dataValidation type="list" allowBlank="1" showInputMessage="1" showErrorMessage="1" xr:uid="{00000000-0002-0000-0300-00006C140000}">
          <x14:formula1>
            <xm:f>項目!A4:$IS$131074</xm:f>
          </x14:formula1>
          <xm:sqref>JB131077:JB131100</xm:sqref>
        </x14:dataValidation>
        <x14:dataValidation type="list" allowBlank="1" showInputMessage="1" showErrorMessage="1" xr:uid="{00000000-0002-0000-0300-00006D140000}">
          <x14:formula1>
            <xm:f>項目!A4:$SO$131074</xm:f>
          </x14:formula1>
          <xm:sqref>SX131077:SX131100</xm:sqref>
        </x14:dataValidation>
        <x14:dataValidation type="list" allowBlank="1" showInputMessage="1" showErrorMessage="1" xr:uid="{00000000-0002-0000-0300-00006E140000}">
          <x14:formula1>
            <xm:f>項目!A4:$ACK$131074</xm:f>
          </x14:formula1>
          <xm:sqref>ACT131077:ACT131100</xm:sqref>
        </x14:dataValidation>
        <x14:dataValidation type="list" allowBlank="1" showInputMessage="1" showErrorMessage="1" xr:uid="{00000000-0002-0000-0300-00006F140000}">
          <x14:formula1>
            <xm:f>項目!A4:$AMG$131074</xm:f>
          </x14:formula1>
          <xm:sqref>AMP131077:AMP131100</xm:sqref>
        </x14:dataValidation>
        <x14:dataValidation type="list" allowBlank="1" showInputMessage="1" showErrorMessage="1" xr:uid="{00000000-0002-0000-0300-000070140000}">
          <x14:formula1>
            <xm:f>項目!A4:$AWC$131074</xm:f>
          </x14:formula1>
          <xm:sqref>AWL131077:AWL131100</xm:sqref>
        </x14:dataValidation>
        <x14:dataValidation type="list" allowBlank="1" showInputMessage="1" showErrorMessage="1" xr:uid="{00000000-0002-0000-0300-000071140000}">
          <x14:formula1>
            <xm:f>項目!A4:$BFY$131074</xm:f>
          </x14:formula1>
          <xm:sqref>BGH131077:BGH131100</xm:sqref>
        </x14:dataValidation>
        <x14:dataValidation type="list" allowBlank="1" showInputMessage="1" showErrorMessage="1" xr:uid="{00000000-0002-0000-0300-000072140000}">
          <x14:formula1>
            <xm:f>項目!A4:$BPU$131074</xm:f>
          </x14:formula1>
          <xm:sqref>BQD131077:BQD131100</xm:sqref>
        </x14:dataValidation>
        <x14:dataValidation type="list" allowBlank="1" showInputMessage="1" showErrorMessage="1" xr:uid="{00000000-0002-0000-0300-000073140000}">
          <x14:formula1>
            <xm:f>項目!A4:$BZQ$131074</xm:f>
          </x14:formula1>
          <xm:sqref>BZZ131077:BZZ131100</xm:sqref>
        </x14:dataValidation>
        <x14:dataValidation type="list" allowBlank="1" showInputMessage="1" showErrorMessage="1" xr:uid="{00000000-0002-0000-0300-000074140000}">
          <x14:formula1>
            <xm:f>項目!A4:$CJM$131074</xm:f>
          </x14:formula1>
          <xm:sqref>CJV131077:CJV131100</xm:sqref>
        </x14:dataValidation>
        <x14:dataValidation type="list" allowBlank="1" showInputMessage="1" showErrorMessage="1" xr:uid="{00000000-0002-0000-0300-000075140000}">
          <x14:formula1>
            <xm:f>項目!A4:$CTI$131074</xm:f>
          </x14:formula1>
          <xm:sqref>CTR131077:CTR131100</xm:sqref>
        </x14:dataValidation>
        <x14:dataValidation type="list" allowBlank="1" showInputMessage="1" showErrorMessage="1" xr:uid="{00000000-0002-0000-0300-000076140000}">
          <x14:formula1>
            <xm:f>項目!A4:$DDE$131074</xm:f>
          </x14:formula1>
          <xm:sqref>DDN131077:DDN131100</xm:sqref>
        </x14:dataValidation>
        <x14:dataValidation type="list" allowBlank="1" showInputMessage="1" showErrorMessage="1" xr:uid="{00000000-0002-0000-0300-000077140000}">
          <x14:formula1>
            <xm:f>項目!A4:$DNA$131074</xm:f>
          </x14:formula1>
          <xm:sqref>DNJ131077:DNJ131100</xm:sqref>
        </x14:dataValidation>
        <x14:dataValidation type="list" allowBlank="1" showInputMessage="1" showErrorMessage="1" xr:uid="{00000000-0002-0000-0300-000078140000}">
          <x14:formula1>
            <xm:f>項目!A4:$DWW$131074</xm:f>
          </x14:formula1>
          <xm:sqref>DXF131077:DXF131100</xm:sqref>
        </x14:dataValidation>
        <x14:dataValidation type="list" allowBlank="1" showInputMessage="1" showErrorMessage="1" xr:uid="{00000000-0002-0000-0300-000079140000}">
          <x14:formula1>
            <xm:f>項目!A4:$EGS$131074</xm:f>
          </x14:formula1>
          <xm:sqref>EHB131077:EHB131100</xm:sqref>
        </x14:dataValidation>
        <x14:dataValidation type="list" allowBlank="1" showInputMessage="1" showErrorMessage="1" xr:uid="{00000000-0002-0000-0300-00007A140000}">
          <x14:formula1>
            <xm:f>項目!A4:$EQO$131074</xm:f>
          </x14:formula1>
          <xm:sqref>EQX131077:EQX131100</xm:sqref>
        </x14:dataValidation>
        <x14:dataValidation type="list" allowBlank="1" showInputMessage="1" showErrorMessage="1" xr:uid="{00000000-0002-0000-0300-00007B140000}">
          <x14:formula1>
            <xm:f>項目!A4:$FAK$131074</xm:f>
          </x14:formula1>
          <xm:sqref>FAT131077:FAT131100</xm:sqref>
        </x14:dataValidation>
        <x14:dataValidation type="list" allowBlank="1" showInputMessage="1" showErrorMessage="1" xr:uid="{00000000-0002-0000-0300-00007C140000}">
          <x14:formula1>
            <xm:f>項目!A4:$FKG$131074</xm:f>
          </x14:formula1>
          <xm:sqref>FKP131077:FKP131100</xm:sqref>
        </x14:dataValidation>
        <x14:dataValidation type="list" allowBlank="1" showInputMessage="1" showErrorMessage="1" xr:uid="{00000000-0002-0000-0300-00007D140000}">
          <x14:formula1>
            <xm:f>項目!A4:$FUC$131074</xm:f>
          </x14:formula1>
          <xm:sqref>FUL131077:FUL131100</xm:sqref>
        </x14:dataValidation>
        <x14:dataValidation type="list" allowBlank="1" showInputMessage="1" showErrorMessage="1" xr:uid="{00000000-0002-0000-0300-00007E140000}">
          <x14:formula1>
            <xm:f>項目!A4:$GDY$131074</xm:f>
          </x14:formula1>
          <xm:sqref>GEH131077:GEH131100</xm:sqref>
        </x14:dataValidation>
        <x14:dataValidation type="list" allowBlank="1" showInputMessage="1" showErrorMessage="1" xr:uid="{00000000-0002-0000-0300-00007F140000}">
          <x14:formula1>
            <xm:f>項目!A4:$GNU$131074</xm:f>
          </x14:formula1>
          <xm:sqref>GOD131077:GOD131100</xm:sqref>
        </x14:dataValidation>
        <x14:dataValidation type="list" allowBlank="1" showInputMessage="1" showErrorMessage="1" xr:uid="{00000000-0002-0000-0300-000080140000}">
          <x14:formula1>
            <xm:f>項目!A4:$GXQ$131074</xm:f>
          </x14:formula1>
          <xm:sqref>GXZ131077:GXZ131100</xm:sqref>
        </x14:dataValidation>
        <x14:dataValidation type="list" allowBlank="1" showInputMessage="1" showErrorMessage="1" xr:uid="{00000000-0002-0000-0300-000081140000}">
          <x14:formula1>
            <xm:f>項目!A4:$HHM$131074</xm:f>
          </x14:formula1>
          <xm:sqref>HHV131077:HHV131100</xm:sqref>
        </x14:dataValidation>
        <x14:dataValidation type="list" allowBlank="1" showInputMessage="1" showErrorMessage="1" xr:uid="{00000000-0002-0000-0300-000082140000}">
          <x14:formula1>
            <xm:f>項目!A4:$HRI$131074</xm:f>
          </x14:formula1>
          <xm:sqref>HRR131077:HRR131100</xm:sqref>
        </x14:dataValidation>
        <x14:dataValidation type="list" allowBlank="1" showInputMessage="1" showErrorMessage="1" xr:uid="{00000000-0002-0000-0300-000083140000}">
          <x14:formula1>
            <xm:f>項目!A4:$IBE$131074</xm:f>
          </x14:formula1>
          <xm:sqref>IBN131077:IBN131100</xm:sqref>
        </x14:dataValidation>
        <x14:dataValidation type="list" allowBlank="1" showInputMessage="1" showErrorMessage="1" xr:uid="{00000000-0002-0000-0300-000084140000}">
          <x14:formula1>
            <xm:f>項目!A4:$ILA$131074</xm:f>
          </x14:formula1>
          <xm:sqref>ILJ131077:ILJ131100</xm:sqref>
        </x14:dataValidation>
        <x14:dataValidation type="list" allowBlank="1" showInputMessage="1" showErrorMessage="1" xr:uid="{00000000-0002-0000-0300-000085140000}">
          <x14:formula1>
            <xm:f>項目!A4:$IUW$131074</xm:f>
          </x14:formula1>
          <xm:sqref>IVF131077:IVF131100</xm:sqref>
        </x14:dataValidation>
        <x14:dataValidation type="list" allowBlank="1" showInputMessage="1" showErrorMessage="1" xr:uid="{00000000-0002-0000-0300-000086140000}">
          <x14:formula1>
            <xm:f>項目!A4:$JES$131074</xm:f>
          </x14:formula1>
          <xm:sqref>JFB131077:JFB131100</xm:sqref>
        </x14:dataValidation>
        <x14:dataValidation type="list" allowBlank="1" showInputMessage="1" showErrorMessage="1" xr:uid="{00000000-0002-0000-0300-000087140000}">
          <x14:formula1>
            <xm:f>項目!A4:$JOO$131074</xm:f>
          </x14:formula1>
          <xm:sqref>JOX131077:JOX131100</xm:sqref>
        </x14:dataValidation>
        <x14:dataValidation type="list" allowBlank="1" showInputMessage="1" showErrorMessage="1" xr:uid="{00000000-0002-0000-0300-000088140000}">
          <x14:formula1>
            <xm:f>項目!A4:$JYK$131074</xm:f>
          </x14:formula1>
          <xm:sqref>JYT131077:JYT131100</xm:sqref>
        </x14:dataValidation>
        <x14:dataValidation type="list" allowBlank="1" showInputMessage="1" showErrorMessage="1" xr:uid="{00000000-0002-0000-0300-000089140000}">
          <x14:formula1>
            <xm:f>項目!A4:$KIG$131074</xm:f>
          </x14:formula1>
          <xm:sqref>KIP131077:KIP131100</xm:sqref>
        </x14:dataValidation>
        <x14:dataValidation type="list" allowBlank="1" showInputMessage="1" showErrorMessage="1" xr:uid="{00000000-0002-0000-0300-00008A140000}">
          <x14:formula1>
            <xm:f>項目!A4:$KSC$131074</xm:f>
          </x14:formula1>
          <xm:sqref>KSL131077:KSL131100</xm:sqref>
        </x14:dataValidation>
        <x14:dataValidation type="list" allowBlank="1" showInputMessage="1" showErrorMessage="1" xr:uid="{00000000-0002-0000-0300-00008B140000}">
          <x14:formula1>
            <xm:f>項目!A4:$LBY$131074</xm:f>
          </x14:formula1>
          <xm:sqref>LCH131077:LCH131100</xm:sqref>
        </x14:dataValidation>
        <x14:dataValidation type="list" allowBlank="1" showInputMessage="1" showErrorMessage="1" xr:uid="{00000000-0002-0000-0300-00008C140000}">
          <x14:formula1>
            <xm:f>項目!A4:$LLU$131074</xm:f>
          </x14:formula1>
          <xm:sqref>LMD131077:LMD131100</xm:sqref>
        </x14:dataValidation>
        <x14:dataValidation type="list" allowBlank="1" showInputMessage="1" showErrorMessage="1" xr:uid="{00000000-0002-0000-0300-00008D140000}">
          <x14:formula1>
            <xm:f>項目!A4:$LVQ$131074</xm:f>
          </x14:formula1>
          <xm:sqref>LVZ131077:LVZ131100</xm:sqref>
        </x14:dataValidation>
        <x14:dataValidation type="list" allowBlank="1" showInputMessage="1" showErrorMessage="1" xr:uid="{00000000-0002-0000-0300-00008E140000}">
          <x14:formula1>
            <xm:f>項目!A4:$MFM$131074</xm:f>
          </x14:formula1>
          <xm:sqref>MFV131077:MFV131100</xm:sqref>
        </x14:dataValidation>
        <x14:dataValidation type="list" allowBlank="1" showInputMessage="1" showErrorMessage="1" xr:uid="{00000000-0002-0000-0300-00008F140000}">
          <x14:formula1>
            <xm:f>項目!A4:$MPI$131074</xm:f>
          </x14:formula1>
          <xm:sqref>MPR131077:MPR131100</xm:sqref>
        </x14:dataValidation>
        <x14:dataValidation type="list" allowBlank="1" showInputMessage="1" showErrorMessage="1" xr:uid="{00000000-0002-0000-0300-000090140000}">
          <x14:formula1>
            <xm:f>項目!A4:$MZE$131074</xm:f>
          </x14:formula1>
          <xm:sqref>MZN131077:MZN131100</xm:sqref>
        </x14:dataValidation>
        <x14:dataValidation type="list" allowBlank="1" showInputMessage="1" showErrorMessage="1" xr:uid="{00000000-0002-0000-0300-000091140000}">
          <x14:formula1>
            <xm:f>項目!A4:$NJA$131074</xm:f>
          </x14:formula1>
          <xm:sqref>NJJ131077:NJJ131100</xm:sqref>
        </x14:dataValidation>
        <x14:dataValidation type="list" allowBlank="1" showInputMessage="1" showErrorMessage="1" xr:uid="{00000000-0002-0000-0300-000092140000}">
          <x14:formula1>
            <xm:f>項目!A4:$NSW$131074</xm:f>
          </x14:formula1>
          <xm:sqref>NTF131077:NTF131100</xm:sqref>
        </x14:dataValidation>
        <x14:dataValidation type="list" allowBlank="1" showInputMessage="1" showErrorMessage="1" xr:uid="{00000000-0002-0000-0300-000093140000}">
          <x14:formula1>
            <xm:f>項目!A4:$OCS$131074</xm:f>
          </x14:formula1>
          <xm:sqref>ODB131077:ODB131100</xm:sqref>
        </x14:dataValidation>
        <x14:dataValidation type="list" allowBlank="1" showInputMessage="1" showErrorMessage="1" xr:uid="{00000000-0002-0000-0300-000094140000}">
          <x14:formula1>
            <xm:f>項目!A4:$OMO$131074</xm:f>
          </x14:formula1>
          <xm:sqref>OMX131077:OMX131100</xm:sqref>
        </x14:dataValidation>
        <x14:dataValidation type="list" allowBlank="1" showInputMessage="1" showErrorMessage="1" xr:uid="{00000000-0002-0000-0300-000095140000}">
          <x14:formula1>
            <xm:f>項目!A4:$OWK$131074</xm:f>
          </x14:formula1>
          <xm:sqref>OWT131077:OWT131100</xm:sqref>
        </x14:dataValidation>
        <x14:dataValidation type="list" allowBlank="1" showInputMessage="1" showErrorMessage="1" xr:uid="{00000000-0002-0000-0300-000096140000}">
          <x14:formula1>
            <xm:f>項目!A4:$PGG$131074</xm:f>
          </x14:formula1>
          <xm:sqref>PGP131077:PGP131100</xm:sqref>
        </x14:dataValidation>
        <x14:dataValidation type="list" allowBlank="1" showInputMessage="1" showErrorMessage="1" xr:uid="{00000000-0002-0000-0300-000097140000}">
          <x14:formula1>
            <xm:f>項目!A4:$PQC$131074</xm:f>
          </x14:formula1>
          <xm:sqref>PQL131077:PQL131100</xm:sqref>
        </x14:dataValidation>
        <x14:dataValidation type="list" allowBlank="1" showInputMessage="1" showErrorMessage="1" xr:uid="{00000000-0002-0000-0300-000098140000}">
          <x14:formula1>
            <xm:f>項目!A4:$PZY$131074</xm:f>
          </x14:formula1>
          <xm:sqref>QAH131077:QAH131100</xm:sqref>
        </x14:dataValidation>
        <x14:dataValidation type="list" allowBlank="1" showInputMessage="1" showErrorMessage="1" xr:uid="{00000000-0002-0000-0300-000099140000}">
          <x14:formula1>
            <xm:f>項目!A4:$QJU$131074</xm:f>
          </x14:formula1>
          <xm:sqref>QKD131077:QKD131100</xm:sqref>
        </x14:dataValidation>
        <x14:dataValidation type="list" allowBlank="1" showInputMessage="1" showErrorMessage="1" xr:uid="{00000000-0002-0000-0300-00009A140000}">
          <x14:formula1>
            <xm:f>項目!A4:$QTQ$131074</xm:f>
          </x14:formula1>
          <xm:sqref>QTZ131077:QTZ131100</xm:sqref>
        </x14:dataValidation>
        <x14:dataValidation type="list" allowBlank="1" showInputMessage="1" showErrorMessage="1" xr:uid="{00000000-0002-0000-0300-00009B140000}">
          <x14:formula1>
            <xm:f>項目!A4:$RDM$131074</xm:f>
          </x14:formula1>
          <xm:sqref>RDV131077:RDV131100</xm:sqref>
        </x14:dataValidation>
        <x14:dataValidation type="list" allowBlank="1" showInputMessage="1" showErrorMessage="1" xr:uid="{00000000-0002-0000-0300-00009C140000}">
          <x14:formula1>
            <xm:f>項目!A4:$RNI$131074</xm:f>
          </x14:formula1>
          <xm:sqref>RNR131077:RNR131100</xm:sqref>
        </x14:dataValidation>
        <x14:dataValidation type="list" allowBlank="1" showInputMessage="1" showErrorMessage="1" xr:uid="{00000000-0002-0000-0300-00009D140000}">
          <x14:formula1>
            <xm:f>項目!A4:$RXE$131074</xm:f>
          </x14:formula1>
          <xm:sqref>RXN131077:RXN131100</xm:sqref>
        </x14:dataValidation>
        <x14:dataValidation type="list" allowBlank="1" showInputMessage="1" showErrorMessage="1" xr:uid="{00000000-0002-0000-0300-00009E140000}">
          <x14:formula1>
            <xm:f>項目!A4:$SHA$131074</xm:f>
          </x14:formula1>
          <xm:sqref>SHJ131077:SHJ131100</xm:sqref>
        </x14:dataValidation>
        <x14:dataValidation type="list" allowBlank="1" showInputMessage="1" showErrorMessage="1" xr:uid="{00000000-0002-0000-0300-00009F140000}">
          <x14:formula1>
            <xm:f>項目!A4:$SQW$131074</xm:f>
          </x14:formula1>
          <xm:sqref>SRF131077:SRF131100</xm:sqref>
        </x14:dataValidation>
        <x14:dataValidation type="list" allowBlank="1" showInputMessage="1" showErrorMessage="1" xr:uid="{00000000-0002-0000-0300-0000A0140000}">
          <x14:formula1>
            <xm:f>項目!A4:$TAS$131074</xm:f>
          </x14:formula1>
          <xm:sqref>TBB131077:TBB131100</xm:sqref>
        </x14:dataValidation>
        <x14:dataValidation type="list" allowBlank="1" showInputMessage="1" showErrorMessage="1" xr:uid="{00000000-0002-0000-0300-0000A1140000}">
          <x14:formula1>
            <xm:f>項目!A4:$TKO$131074</xm:f>
          </x14:formula1>
          <xm:sqref>TKX131077:TKX131100</xm:sqref>
        </x14:dataValidation>
        <x14:dataValidation type="list" allowBlank="1" showInputMessage="1" showErrorMessage="1" xr:uid="{00000000-0002-0000-0300-0000A2140000}">
          <x14:formula1>
            <xm:f>項目!A4:$TUK$131074</xm:f>
          </x14:formula1>
          <xm:sqref>TUT131077:TUT131100</xm:sqref>
        </x14:dataValidation>
        <x14:dataValidation type="list" allowBlank="1" showInputMessage="1" showErrorMessage="1" xr:uid="{00000000-0002-0000-0300-0000A3140000}">
          <x14:formula1>
            <xm:f>項目!A4:$UEG$131074</xm:f>
          </x14:formula1>
          <xm:sqref>UEP131077:UEP131100</xm:sqref>
        </x14:dataValidation>
        <x14:dataValidation type="list" allowBlank="1" showInputMessage="1" showErrorMessage="1" xr:uid="{00000000-0002-0000-0300-0000A4140000}">
          <x14:formula1>
            <xm:f>項目!A4:$UOC$131074</xm:f>
          </x14:formula1>
          <xm:sqref>UOL131077:UOL131100</xm:sqref>
        </x14:dataValidation>
        <x14:dataValidation type="list" allowBlank="1" showInputMessage="1" showErrorMessage="1" xr:uid="{00000000-0002-0000-0300-0000A5140000}">
          <x14:formula1>
            <xm:f>項目!A4:$UXY$131074</xm:f>
          </x14:formula1>
          <xm:sqref>UYH131077:UYH131100</xm:sqref>
        </x14:dataValidation>
        <x14:dataValidation type="list" allowBlank="1" showInputMessage="1" showErrorMessage="1" xr:uid="{00000000-0002-0000-0300-0000A6140000}">
          <x14:formula1>
            <xm:f>項目!A4:$VHU$131074</xm:f>
          </x14:formula1>
          <xm:sqref>VID131077:VID131100</xm:sqref>
        </x14:dataValidation>
        <x14:dataValidation type="list" allowBlank="1" showInputMessage="1" showErrorMessage="1" xr:uid="{00000000-0002-0000-0300-0000A7140000}">
          <x14:formula1>
            <xm:f>項目!A4:$VRQ$131074</xm:f>
          </x14:formula1>
          <xm:sqref>VRZ131077:VRZ131100</xm:sqref>
        </x14:dataValidation>
        <x14:dataValidation type="list" allowBlank="1" showInputMessage="1" showErrorMessage="1" xr:uid="{00000000-0002-0000-0300-0000A8140000}">
          <x14:formula1>
            <xm:f>項目!A4:$WBM$131074</xm:f>
          </x14:formula1>
          <xm:sqref>WBV131077:WBV131100</xm:sqref>
        </x14:dataValidation>
        <x14:dataValidation type="list" allowBlank="1" showInputMessage="1" showErrorMessage="1" xr:uid="{00000000-0002-0000-0300-0000A9140000}">
          <x14:formula1>
            <xm:f>項目!A4:$WLI$131074</xm:f>
          </x14:formula1>
          <xm:sqref>WLR131077:WLR131100</xm:sqref>
        </x14:dataValidation>
        <x14:dataValidation type="list" allowBlank="1" showInputMessage="1" showErrorMessage="1" xr:uid="{00000000-0002-0000-0300-0000AA140000}">
          <x14:formula1>
            <xm:f>項目!A4:$WVE$131074</xm:f>
          </x14:formula1>
          <xm:sqref>WVN131077:WVN131100</xm:sqref>
        </x14:dataValidation>
        <x14:dataValidation type="list" allowBlank="1" showInputMessage="1" showErrorMessage="1" xr:uid="{00000000-0002-0000-0300-0000AB140000}">
          <x14:formula1>
            <xm:f>項目!A4:$IS$196610</xm:f>
          </x14:formula1>
          <xm:sqref>JB196613:JB196636</xm:sqref>
        </x14:dataValidation>
        <x14:dataValidation type="list" allowBlank="1" showInputMessage="1" showErrorMessage="1" xr:uid="{00000000-0002-0000-0300-0000AC140000}">
          <x14:formula1>
            <xm:f>項目!A4:$SO$196610</xm:f>
          </x14:formula1>
          <xm:sqref>SX196613:SX196636</xm:sqref>
        </x14:dataValidation>
        <x14:dataValidation type="list" allowBlank="1" showInputMessage="1" showErrorMessage="1" xr:uid="{00000000-0002-0000-0300-0000AD140000}">
          <x14:formula1>
            <xm:f>項目!A4:$ACK$196610</xm:f>
          </x14:formula1>
          <xm:sqref>ACT196613:ACT196636</xm:sqref>
        </x14:dataValidation>
        <x14:dataValidation type="list" allowBlank="1" showInputMessage="1" showErrorMessage="1" xr:uid="{00000000-0002-0000-0300-0000AE140000}">
          <x14:formula1>
            <xm:f>項目!A4:$AMG$196610</xm:f>
          </x14:formula1>
          <xm:sqref>AMP196613:AMP196636</xm:sqref>
        </x14:dataValidation>
        <x14:dataValidation type="list" allowBlank="1" showInputMessage="1" showErrorMessage="1" xr:uid="{00000000-0002-0000-0300-0000AF140000}">
          <x14:formula1>
            <xm:f>項目!A4:$AWC$196610</xm:f>
          </x14:formula1>
          <xm:sqref>AWL196613:AWL196636</xm:sqref>
        </x14:dataValidation>
        <x14:dataValidation type="list" allowBlank="1" showInputMessage="1" showErrorMessage="1" xr:uid="{00000000-0002-0000-0300-0000B0140000}">
          <x14:formula1>
            <xm:f>項目!A4:$BFY$196610</xm:f>
          </x14:formula1>
          <xm:sqref>BGH196613:BGH196636</xm:sqref>
        </x14:dataValidation>
        <x14:dataValidation type="list" allowBlank="1" showInputMessage="1" showErrorMessage="1" xr:uid="{00000000-0002-0000-0300-0000B1140000}">
          <x14:formula1>
            <xm:f>項目!A4:$BPU$196610</xm:f>
          </x14:formula1>
          <xm:sqref>BQD196613:BQD196636</xm:sqref>
        </x14:dataValidation>
        <x14:dataValidation type="list" allowBlank="1" showInputMessage="1" showErrorMessage="1" xr:uid="{00000000-0002-0000-0300-0000B2140000}">
          <x14:formula1>
            <xm:f>項目!A4:$BZQ$196610</xm:f>
          </x14:formula1>
          <xm:sqref>BZZ196613:BZZ196636</xm:sqref>
        </x14:dataValidation>
        <x14:dataValidation type="list" allowBlank="1" showInputMessage="1" showErrorMessage="1" xr:uid="{00000000-0002-0000-0300-0000B3140000}">
          <x14:formula1>
            <xm:f>項目!A4:$CJM$196610</xm:f>
          </x14:formula1>
          <xm:sqref>CJV196613:CJV196636</xm:sqref>
        </x14:dataValidation>
        <x14:dataValidation type="list" allowBlank="1" showInputMessage="1" showErrorMessage="1" xr:uid="{00000000-0002-0000-0300-0000B4140000}">
          <x14:formula1>
            <xm:f>項目!A4:$CTI$196610</xm:f>
          </x14:formula1>
          <xm:sqref>CTR196613:CTR196636</xm:sqref>
        </x14:dataValidation>
        <x14:dataValidation type="list" allowBlank="1" showInputMessage="1" showErrorMessage="1" xr:uid="{00000000-0002-0000-0300-0000B5140000}">
          <x14:formula1>
            <xm:f>項目!A4:$DDE$196610</xm:f>
          </x14:formula1>
          <xm:sqref>DDN196613:DDN196636</xm:sqref>
        </x14:dataValidation>
        <x14:dataValidation type="list" allowBlank="1" showInputMessage="1" showErrorMessage="1" xr:uid="{00000000-0002-0000-0300-0000B6140000}">
          <x14:formula1>
            <xm:f>項目!A4:$DNA$196610</xm:f>
          </x14:formula1>
          <xm:sqref>DNJ196613:DNJ196636</xm:sqref>
        </x14:dataValidation>
        <x14:dataValidation type="list" allowBlank="1" showInputMessage="1" showErrorMessage="1" xr:uid="{00000000-0002-0000-0300-0000B7140000}">
          <x14:formula1>
            <xm:f>項目!A4:$DWW$196610</xm:f>
          </x14:formula1>
          <xm:sqref>DXF196613:DXF196636</xm:sqref>
        </x14:dataValidation>
        <x14:dataValidation type="list" allowBlank="1" showInputMessage="1" showErrorMessage="1" xr:uid="{00000000-0002-0000-0300-0000B8140000}">
          <x14:formula1>
            <xm:f>項目!A4:$EGS$196610</xm:f>
          </x14:formula1>
          <xm:sqref>EHB196613:EHB196636</xm:sqref>
        </x14:dataValidation>
        <x14:dataValidation type="list" allowBlank="1" showInputMessage="1" showErrorMessage="1" xr:uid="{00000000-0002-0000-0300-0000B9140000}">
          <x14:formula1>
            <xm:f>項目!A4:$EQO$196610</xm:f>
          </x14:formula1>
          <xm:sqref>EQX196613:EQX196636</xm:sqref>
        </x14:dataValidation>
        <x14:dataValidation type="list" allowBlank="1" showInputMessage="1" showErrorMessage="1" xr:uid="{00000000-0002-0000-0300-0000BA140000}">
          <x14:formula1>
            <xm:f>項目!A4:$FAK$196610</xm:f>
          </x14:formula1>
          <xm:sqref>FAT196613:FAT196636</xm:sqref>
        </x14:dataValidation>
        <x14:dataValidation type="list" allowBlank="1" showInputMessage="1" showErrorMessage="1" xr:uid="{00000000-0002-0000-0300-0000BB140000}">
          <x14:formula1>
            <xm:f>項目!A4:$FKG$196610</xm:f>
          </x14:formula1>
          <xm:sqref>FKP196613:FKP196636</xm:sqref>
        </x14:dataValidation>
        <x14:dataValidation type="list" allowBlank="1" showInputMessage="1" showErrorMessage="1" xr:uid="{00000000-0002-0000-0300-0000BC140000}">
          <x14:formula1>
            <xm:f>項目!A4:$FUC$196610</xm:f>
          </x14:formula1>
          <xm:sqref>FUL196613:FUL196636</xm:sqref>
        </x14:dataValidation>
        <x14:dataValidation type="list" allowBlank="1" showInputMessage="1" showErrorMessage="1" xr:uid="{00000000-0002-0000-0300-0000BD140000}">
          <x14:formula1>
            <xm:f>項目!A4:$GDY$196610</xm:f>
          </x14:formula1>
          <xm:sqref>GEH196613:GEH196636</xm:sqref>
        </x14:dataValidation>
        <x14:dataValidation type="list" allowBlank="1" showInputMessage="1" showErrorMessage="1" xr:uid="{00000000-0002-0000-0300-0000BE140000}">
          <x14:formula1>
            <xm:f>項目!A4:$GNU$196610</xm:f>
          </x14:formula1>
          <xm:sqref>GOD196613:GOD196636</xm:sqref>
        </x14:dataValidation>
        <x14:dataValidation type="list" allowBlank="1" showInputMessage="1" showErrorMessage="1" xr:uid="{00000000-0002-0000-0300-0000BF140000}">
          <x14:formula1>
            <xm:f>項目!A4:$GXQ$196610</xm:f>
          </x14:formula1>
          <xm:sqref>GXZ196613:GXZ196636</xm:sqref>
        </x14:dataValidation>
        <x14:dataValidation type="list" allowBlank="1" showInputMessage="1" showErrorMessage="1" xr:uid="{00000000-0002-0000-0300-0000C0140000}">
          <x14:formula1>
            <xm:f>項目!A4:$HHM$196610</xm:f>
          </x14:formula1>
          <xm:sqref>HHV196613:HHV196636</xm:sqref>
        </x14:dataValidation>
        <x14:dataValidation type="list" allowBlank="1" showInputMessage="1" showErrorMessage="1" xr:uid="{00000000-0002-0000-0300-0000C1140000}">
          <x14:formula1>
            <xm:f>項目!A4:$HRI$196610</xm:f>
          </x14:formula1>
          <xm:sqref>HRR196613:HRR196636</xm:sqref>
        </x14:dataValidation>
        <x14:dataValidation type="list" allowBlank="1" showInputMessage="1" showErrorMessage="1" xr:uid="{00000000-0002-0000-0300-0000C2140000}">
          <x14:formula1>
            <xm:f>項目!A4:$IBE$196610</xm:f>
          </x14:formula1>
          <xm:sqref>IBN196613:IBN196636</xm:sqref>
        </x14:dataValidation>
        <x14:dataValidation type="list" allowBlank="1" showInputMessage="1" showErrorMessage="1" xr:uid="{00000000-0002-0000-0300-0000C3140000}">
          <x14:formula1>
            <xm:f>項目!A4:$ILA$196610</xm:f>
          </x14:formula1>
          <xm:sqref>ILJ196613:ILJ196636</xm:sqref>
        </x14:dataValidation>
        <x14:dataValidation type="list" allowBlank="1" showInputMessage="1" showErrorMessage="1" xr:uid="{00000000-0002-0000-0300-0000C4140000}">
          <x14:formula1>
            <xm:f>項目!A4:$IUW$196610</xm:f>
          </x14:formula1>
          <xm:sqref>IVF196613:IVF196636</xm:sqref>
        </x14:dataValidation>
        <x14:dataValidation type="list" allowBlank="1" showInputMessage="1" showErrorMessage="1" xr:uid="{00000000-0002-0000-0300-0000C5140000}">
          <x14:formula1>
            <xm:f>項目!A4:$JES$196610</xm:f>
          </x14:formula1>
          <xm:sqref>JFB196613:JFB196636</xm:sqref>
        </x14:dataValidation>
        <x14:dataValidation type="list" allowBlank="1" showInputMessage="1" showErrorMessage="1" xr:uid="{00000000-0002-0000-0300-0000C6140000}">
          <x14:formula1>
            <xm:f>項目!A4:$JOO$196610</xm:f>
          </x14:formula1>
          <xm:sqref>JOX196613:JOX196636</xm:sqref>
        </x14:dataValidation>
        <x14:dataValidation type="list" allowBlank="1" showInputMessage="1" showErrorMessage="1" xr:uid="{00000000-0002-0000-0300-0000C7140000}">
          <x14:formula1>
            <xm:f>項目!A4:$JYK$196610</xm:f>
          </x14:formula1>
          <xm:sqref>JYT196613:JYT196636</xm:sqref>
        </x14:dataValidation>
        <x14:dataValidation type="list" allowBlank="1" showInputMessage="1" showErrorMessage="1" xr:uid="{00000000-0002-0000-0300-0000C8140000}">
          <x14:formula1>
            <xm:f>項目!A4:$KIG$196610</xm:f>
          </x14:formula1>
          <xm:sqref>KIP196613:KIP196636</xm:sqref>
        </x14:dataValidation>
        <x14:dataValidation type="list" allowBlank="1" showInputMessage="1" showErrorMessage="1" xr:uid="{00000000-0002-0000-0300-0000C9140000}">
          <x14:formula1>
            <xm:f>項目!A4:$KSC$196610</xm:f>
          </x14:formula1>
          <xm:sqref>KSL196613:KSL196636</xm:sqref>
        </x14:dataValidation>
        <x14:dataValidation type="list" allowBlank="1" showInputMessage="1" showErrorMessage="1" xr:uid="{00000000-0002-0000-0300-0000CA140000}">
          <x14:formula1>
            <xm:f>項目!A4:$LBY$196610</xm:f>
          </x14:formula1>
          <xm:sqref>LCH196613:LCH196636</xm:sqref>
        </x14:dataValidation>
        <x14:dataValidation type="list" allowBlank="1" showInputMessage="1" showErrorMessage="1" xr:uid="{00000000-0002-0000-0300-0000CB140000}">
          <x14:formula1>
            <xm:f>項目!A4:$LLU$196610</xm:f>
          </x14:formula1>
          <xm:sqref>LMD196613:LMD196636</xm:sqref>
        </x14:dataValidation>
        <x14:dataValidation type="list" allowBlank="1" showInputMessage="1" showErrorMessage="1" xr:uid="{00000000-0002-0000-0300-0000CC140000}">
          <x14:formula1>
            <xm:f>項目!A4:$LVQ$196610</xm:f>
          </x14:formula1>
          <xm:sqref>LVZ196613:LVZ196636</xm:sqref>
        </x14:dataValidation>
        <x14:dataValidation type="list" allowBlank="1" showInputMessage="1" showErrorMessage="1" xr:uid="{00000000-0002-0000-0300-0000CD140000}">
          <x14:formula1>
            <xm:f>項目!A4:$MFM$196610</xm:f>
          </x14:formula1>
          <xm:sqref>MFV196613:MFV196636</xm:sqref>
        </x14:dataValidation>
        <x14:dataValidation type="list" allowBlank="1" showInputMessage="1" showErrorMessage="1" xr:uid="{00000000-0002-0000-0300-0000CE140000}">
          <x14:formula1>
            <xm:f>項目!A4:$MPI$196610</xm:f>
          </x14:formula1>
          <xm:sqref>MPR196613:MPR196636</xm:sqref>
        </x14:dataValidation>
        <x14:dataValidation type="list" allowBlank="1" showInputMessage="1" showErrorMessage="1" xr:uid="{00000000-0002-0000-0300-0000CF140000}">
          <x14:formula1>
            <xm:f>項目!A4:$MZE$196610</xm:f>
          </x14:formula1>
          <xm:sqref>MZN196613:MZN196636</xm:sqref>
        </x14:dataValidation>
        <x14:dataValidation type="list" allowBlank="1" showInputMessage="1" showErrorMessage="1" xr:uid="{00000000-0002-0000-0300-0000D0140000}">
          <x14:formula1>
            <xm:f>項目!A4:$NJA$196610</xm:f>
          </x14:formula1>
          <xm:sqref>NJJ196613:NJJ196636</xm:sqref>
        </x14:dataValidation>
        <x14:dataValidation type="list" allowBlank="1" showInputMessage="1" showErrorMessage="1" xr:uid="{00000000-0002-0000-0300-0000D1140000}">
          <x14:formula1>
            <xm:f>項目!A4:$NSW$196610</xm:f>
          </x14:formula1>
          <xm:sqref>NTF196613:NTF196636</xm:sqref>
        </x14:dataValidation>
        <x14:dataValidation type="list" allowBlank="1" showInputMessage="1" showErrorMessage="1" xr:uid="{00000000-0002-0000-0300-0000D2140000}">
          <x14:formula1>
            <xm:f>項目!A4:$OCS$196610</xm:f>
          </x14:formula1>
          <xm:sqref>ODB196613:ODB196636</xm:sqref>
        </x14:dataValidation>
        <x14:dataValidation type="list" allowBlank="1" showInputMessage="1" showErrorMessage="1" xr:uid="{00000000-0002-0000-0300-0000D3140000}">
          <x14:formula1>
            <xm:f>項目!A4:$OMO$196610</xm:f>
          </x14:formula1>
          <xm:sqref>OMX196613:OMX196636</xm:sqref>
        </x14:dataValidation>
        <x14:dataValidation type="list" allowBlank="1" showInputMessage="1" showErrorMessage="1" xr:uid="{00000000-0002-0000-0300-0000D4140000}">
          <x14:formula1>
            <xm:f>項目!A4:$OWK$196610</xm:f>
          </x14:formula1>
          <xm:sqref>OWT196613:OWT196636</xm:sqref>
        </x14:dataValidation>
        <x14:dataValidation type="list" allowBlank="1" showInputMessage="1" showErrorMessage="1" xr:uid="{00000000-0002-0000-0300-0000D5140000}">
          <x14:formula1>
            <xm:f>項目!A4:$PGG$196610</xm:f>
          </x14:formula1>
          <xm:sqref>PGP196613:PGP196636</xm:sqref>
        </x14:dataValidation>
        <x14:dataValidation type="list" allowBlank="1" showInputMessage="1" showErrorMessage="1" xr:uid="{00000000-0002-0000-0300-0000D6140000}">
          <x14:formula1>
            <xm:f>項目!A4:$PQC$196610</xm:f>
          </x14:formula1>
          <xm:sqref>PQL196613:PQL196636</xm:sqref>
        </x14:dataValidation>
        <x14:dataValidation type="list" allowBlank="1" showInputMessage="1" showErrorMessage="1" xr:uid="{00000000-0002-0000-0300-0000D7140000}">
          <x14:formula1>
            <xm:f>項目!A4:$PZY$196610</xm:f>
          </x14:formula1>
          <xm:sqref>QAH196613:QAH196636</xm:sqref>
        </x14:dataValidation>
        <x14:dataValidation type="list" allowBlank="1" showInputMessage="1" showErrorMessage="1" xr:uid="{00000000-0002-0000-0300-0000D8140000}">
          <x14:formula1>
            <xm:f>項目!A4:$QJU$196610</xm:f>
          </x14:formula1>
          <xm:sqref>QKD196613:QKD196636</xm:sqref>
        </x14:dataValidation>
        <x14:dataValidation type="list" allowBlank="1" showInputMessage="1" showErrorMessage="1" xr:uid="{00000000-0002-0000-0300-0000D9140000}">
          <x14:formula1>
            <xm:f>項目!A4:$QTQ$196610</xm:f>
          </x14:formula1>
          <xm:sqref>QTZ196613:QTZ196636</xm:sqref>
        </x14:dataValidation>
        <x14:dataValidation type="list" allowBlank="1" showInputMessage="1" showErrorMessage="1" xr:uid="{00000000-0002-0000-0300-0000DA140000}">
          <x14:formula1>
            <xm:f>項目!A4:$RDM$196610</xm:f>
          </x14:formula1>
          <xm:sqref>RDV196613:RDV196636</xm:sqref>
        </x14:dataValidation>
        <x14:dataValidation type="list" allowBlank="1" showInputMessage="1" showErrorMessage="1" xr:uid="{00000000-0002-0000-0300-0000DB140000}">
          <x14:formula1>
            <xm:f>項目!A4:$RNI$196610</xm:f>
          </x14:formula1>
          <xm:sqref>RNR196613:RNR196636</xm:sqref>
        </x14:dataValidation>
        <x14:dataValidation type="list" allowBlank="1" showInputMessage="1" showErrorMessage="1" xr:uid="{00000000-0002-0000-0300-0000DC140000}">
          <x14:formula1>
            <xm:f>項目!A4:$RXE$196610</xm:f>
          </x14:formula1>
          <xm:sqref>RXN196613:RXN196636</xm:sqref>
        </x14:dataValidation>
        <x14:dataValidation type="list" allowBlank="1" showInputMessage="1" showErrorMessage="1" xr:uid="{00000000-0002-0000-0300-0000DD140000}">
          <x14:formula1>
            <xm:f>項目!A4:$SHA$196610</xm:f>
          </x14:formula1>
          <xm:sqref>SHJ196613:SHJ196636</xm:sqref>
        </x14:dataValidation>
        <x14:dataValidation type="list" allowBlank="1" showInputMessage="1" showErrorMessage="1" xr:uid="{00000000-0002-0000-0300-0000DE140000}">
          <x14:formula1>
            <xm:f>項目!A4:$SQW$196610</xm:f>
          </x14:formula1>
          <xm:sqref>SRF196613:SRF196636</xm:sqref>
        </x14:dataValidation>
        <x14:dataValidation type="list" allowBlank="1" showInputMessage="1" showErrorMessage="1" xr:uid="{00000000-0002-0000-0300-0000DF140000}">
          <x14:formula1>
            <xm:f>項目!A4:$TAS$196610</xm:f>
          </x14:formula1>
          <xm:sqref>TBB196613:TBB196636</xm:sqref>
        </x14:dataValidation>
        <x14:dataValidation type="list" allowBlank="1" showInputMessage="1" showErrorMessage="1" xr:uid="{00000000-0002-0000-0300-0000E0140000}">
          <x14:formula1>
            <xm:f>項目!A4:$TKO$196610</xm:f>
          </x14:formula1>
          <xm:sqref>TKX196613:TKX196636</xm:sqref>
        </x14:dataValidation>
        <x14:dataValidation type="list" allowBlank="1" showInputMessage="1" showErrorMessage="1" xr:uid="{00000000-0002-0000-0300-0000E1140000}">
          <x14:formula1>
            <xm:f>項目!A4:$TUK$196610</xm:f>
          </x14:formula1>
          <xm:sqref>TUT196613:TUT196636</xm:sqref>
        </x14:dataValidation>
        <x14:dataValidation type="list" allowBlank="1" showInputMessage="1" showErrorMessage="1" xr:uid="{00000000-0002-0000-0300-0000E2140000}">
          <x14:formula1>
            <xm:f>項目!A4:$UEG$196610</xm:f>
          </x14:formula1>
          <xm:sqref>UEP196613:UEP196636</xm:sqref>
        </x14:dataValidation>
        <x14:dataValidation type="list" allowBlank="1" showInputMessage="1" showErrorMessage="1" xr:uid="{00000000-0002-0000-0300-0000E3140000}">
          <x14:formula1>
            <xm:f>項目!A4:$UOC$196610</xm:f>
          </x14:formula1>
          <xm:sqref>UOL196613:UOL196636</xm:sqref>
        </x14:dataValidation>
        <x14:dataValidation type="list" allowBlank="1" showInputMessage="1" showErrorMessage="1" xr:uid="{00000000-0002-0000-0300-0000E4140000}">
          <x14:formula1>
            <xm:f>項目!A4:$UXY$196610</xm:f>
          </x14:formula1>
          <xm:sqref>UYH196613:UYH196636</xm:sqref>
        </x14:dataValidation>
        <x14:dataValidation type="list" allowBlank="1" showInputMessage="1" showErrorMessage="1" xr:uid="{00000000-0002-0000-0300-0000E5140000}">
          <x14:formula1>
            <xm:f>項目!A4:$VHU$196610</xm:f>
          </x14:formula1>
          <xm:sqref>VID196613:VID196636</xm:sqref>
        </x14:dataValidation>
        <x14:dataValidation type="list" allowBlank="1" showInputMessage="1" showErrorMessage="1" xr:uid="{00000000-0002-0000-0300-0000E6140000}">
          <x14:formula1>
            <xm:f>項目!A4:$VRQ$196610</xm:f>
          </x14:formula1>
          <xm:sqref>VRZ196613:VRZ196636</xm:sqref>
        </x14:dataValidation>
        <x14:dataValidation type="list" allowBlank="1" showInputMessage="1" showErrorMessage="1" xr:uid="{00000000-0002-0000-0300-0000E7140000}">
          <x14:formula1>
            <xm:f>項目!A4:$WBM$196610</xm:f>
          </x14:formula1>
          <xm:sqref>WBV196613:WBV196636</xm:sqref>
        </x14:dataValidation>
        <x14:dataValidation type="list" allowBlank="1" showInputMessage="1" showErrorMessage="1" xr:uid="{00000000-0002-0000-0300-0000E8140000}">
          <x14:formula1>
            <xm:f>項目!A4:$WLI$196610</xm:f>
          </x14:formula1>
          <xm:sqref>WLR196613:WLR196636</xm:sqref>
        </x14:dataValidation>
        <x14:dataValidation type="list" allowBlank="1" showInputMessage="1" showErrorMessage="1" xr:uid="{00000000-0002-0000-0300-0000E9140000}">
          <x14:formula1>
            <xm:f>項目!A4:$WVE$196610</xm:f>
          </x14:formula1>
          <xm:sqref>WVN196613:WVN196636</xm:sqref>
        </x14:dataValidation>
        <x14:dataValidation type="list" allowBlank="1" showInputMessage="1" showErrorMessage="1" xr:uid="{00000000-0002-0000-0300-0000EA140000}">
          <x14:formula1>
            <xm:f>項目!A4:$IS$262146</xm:f>
          </x14:formula1>
          <xm:sqref>JB262149:JB262172</xm:sqref>
        </x14:dataValidation>
        <x14:dataValidation type="list" allowBlank="1" showInputMessage="1" showErrorMessage="1" xr:uid="{00000000-0002-0000-0300-0000EB140000}">
          <x14:formula1>
            <xm:f>項目!A4:$SO$262146</xm:f>
          </x14:formula1>
          <xm:sqref>SX262149:SX262172</xm:sqref>
        </x14:dataValidation>
        <x14:dataValidation type="list" allowBlank="1" showInputMessage="1" showErrorMessage="1" xr:uid="{00000000-0002-0000-0300-0000EC140000}">
          <x14:formula1>
            <xm:f>項目!A4:$ACK$262146</xm:f>
          </x14:formula1>
          <xm:sqref>ACT262149:ACT262172</xm:sqref>
        </x14:dataValidation>
        <x14:dataValidation type="list" allowBlank="1" showInputMessage="1" showErrorMessage="1" xr:uid="{00000000-0002-0000-0300-0000ED140000}">
          <x14:formula1>
            <xm:f>項目!A4:$AMG$262146</xm:f>
          </x14:formula1>
          <xm:sqref>AMP262149:AMP262172</xm:sqref>
        </x14:dataValidation>
        <x14:dataValidation type="list" allowBlank="1" showInputMessage="1" showErrorMessage="1" xr:uid="{00000000-0002-0000-0300-0000EE140000}">
          <x14:formula1>
            <xm:f>項目!A4:$AWC$262146</xm:f>
          </x14:formula1>
          <xm:sqref>AWL262149:AWL262172</xm:sqref>
        </x14:dataValidation>
        <x14:dataValidation type="list" allowBlank="1" showInputMessage="1" showErrorMessage="1" xr:uid="{00000000-0002-0000-0300-0000EF140000}">
          <x14:formula1>
            <xm:f>項目!A4:$BFY$262146</xm:f>
          </x14:formula1>
          <xm:sqref>BGH262149:BGH262172</xm:sqref>
        </x14:dataValidation>
        <x14:dataValidation type="list" allowBlank="1" showInputMessage="1" showErrorMessage="1" xr:uid="{00000000-0002-0000-0300-0000F0140000}">
          <x14:formula1>
            <xm:f>項目!A4:$BPU$262146</xm:f>
          </x14:formula1>
          <xm:sqref>BQD262149:BQD262172</xm:sqref>
        </x14:dataValidation>
        <x14:dataValidation type="list" allowBlank="1" showInputMessage="1" showErrorMessage="1" xr:uid="{00000000-0002-0000-0300-0000F1140000}">
          <x14:formula1>
            <xm:f>項目!A4:$BZQ$262146</xm:f>
          </x14:formula1>
          <xm:sqref>BZZ262149:BZZ262172</xm:sqref>
        </x14:dataValidation>
        <x14:dataValidation type="list" allowBlank="1" showInputMessage="1" showErrorMessage="1" xr:uid="{00000000-0002-0000-0300-0000F2140000}">
          <x14:formula1>
            <xm:f>項目!A4:$CJM$262146</xm:f>
          </x14:formula1>
          <xm:sqref>CJV262149:CJV262172</xm:sqref>
        </x14:dataValidation>
        <x14:dataValidation type="list" allowBlank="1" showInputMessage="1" showErrorMessage="1" xr:uid="{00000000-0002-0000-0300-0000F3140000}">
          <x14:formula1>
            <xm:f>項目!A4:$CTI$262146</xm:f>
          </x14:formula1>
          <xm:sqref>CTR262149:CTR262172</xm:sqref>
        </x14:dataValidation>
        <x14:dataValidation type="list" allowBlank="1" showInputMessage="1" showErrorMessage="1" xr:uid="{00000000-0002-0000-0300-0000F4140000}">
          <x14:formula1>
            <xm:f>項目!A4:$DDE$262146</xm:f>
          </x14:formula1>
          <xm:sqref>DDN262149:DDN262172</xm:sqref>
        </x14:dataValidation>
        <x14:dataValidation type="list" allowBlank="1" showInputMessage="1" showErrorMessage="1" xr:uid="{00000000-0002-0000-0300-0000F5140000}">
          <x14:formula1>
            <xm:f>項目!A4:$DNA$262146</xm:f>
          </x14:formula1>
          <xm:sqref>DNJ262149:DNJ262172</xm:sqref>
        </x14:dataValidation>
        <x14:dataValidation type="list" allowBlank="1" showInputMessage="1" showErrorMessage="1" xr:uid="{00000000-0002-0000-0300-0000F6140000}">
          <x14:formula1>
            <xm:f>項目!A4:$DWW$262146</xm:f>
          </x14:formula1>
          <xm:sqref>DXF262149:DXF262172</xm:sqref>
        </x14:dataValidation>
        <x14:dataValidation type="list" allowBlank="1" showInputMessage="1" showErrorMessage="1" xr:uid="{00000000-0002-0000-0300-0000F7140000}">
          <x14:formula1>
            <xm:f>項目!A4:$EGS$262146</xm:f>
          </x14:formula1>
          <xm:sqref>EHB262149:EHB262172</xm:sqref>
        </x14:dataValidation>
        <x14:dataValidation type="list" allowBlank="1" showInputMessage="1" showErrorMessage="1" xr:uid="{00000000-0002-0000-0300-0000F8140000}">
          <x14:formula1>
            <xm:f>項目!A4:$EQO$262146</xm:f>
          </x14:formula1>
          <xm:sqref>EQX262149:EQX262172</xm:sqref>
        </x14:dataValidation>
        <x14:dataValidation type="list" allowBlank="1" showInputMessage="1" showErrorMessage="1" xr:uid="{00000000-0002-0000-0300-0000F9140000}">
          <x14:formula1>
            <xm:f>項目!A4:$FAK$262146</xm:f>
          </x14:formula1>
          <xm:sqref>FAT262149:FAT262172</xm:sqref>
        </x14:dataValidation>
        <x14:dataValidation type="list" allowBlank="1" showInputMessage="1" showErrorMessage="1" xr:uid="{00000000-0002-0000-0300-0000FA140000}">
          <x14:formula1>
            <xm:f>項目!A4:$FKG$262146</xm:f>
          </x14:formula1>
          <xm:sqref>FKP262149:FKP262172</xm:sqref>
        </x14:dataValidation>
        <x14:dataValidation type="list" allowBlank="1" showInputMessage="1" showErrorMessage="1" xr:uid="{00000000-0002-0000-0300-0000FB140000}">
          <x14:formula1>
            <xm:f>項目!A4:$FUC$262146</xm:f>
          </x14:formula1>
          <xm:sqref>FUL262149:FUL262172</xm:sqref>
        </x14:dataValidation>
        <x14:dataValidation type="list" allowBlank="1" showInputMessage="1" showErrorMessage="1" xr:uid="{00000000-0002-0000-0300-0000FC140000}">
          <x14:formula1>
            <xm:f>項目!A4:$GDY$262146</xm:f>
          </x14:formula1>
          <xm:sqref>GEH262149:GEH262172</xm:sqref>
        </x14:dataValidation>
        <x14:dataValidation type="list" allowBlank="1" showInputMessage="1" showErrorMessage="1" xr:uid="{00000000-0002-0000-0300-0000FD140000}">
          <x14:formula1>
            <xm:f>項目!A4:$GNU$262146</xm:f>
          </x14:formula1>
          <xm:sqref>GOD262149:GOD262172</xm:sqref>
        </x14:dataValidation>
        <x14:dataValidation type="list" allowBlank="1" showInputMessage="1" showErrorMessage="1" xr:uid="{00000000-0002-0000-0300-0000FE140000}">
          <x14:formula1>
            <xm:f>項目!A4:$GXQ$262146</xm:f>
          </x14:formula1>
          <xm:sqref>GXZ262149:GXZ262172</xm:sqref>
        </x14:dataValidation>
        <x14:dataValidation type="list" allowBlank="1" showInputMessage="1" showErrorMessage="1" xr:uid="{00000000-0002-0000-0300-0000FF140000}">
          <x14:formula1>
            <xm:f>項目!A4:$HHM$262146</xm:f>
          </x14:formula1>
          <xm:sqref>HHV262149:HHV262172</xm:sqref>
        </x14:dataValidation>
        <x14:dataValidation type="list" allowBlank="1" showInputMessage="1" showErrorMessage="1" xr:uid="{00000000-0002-0000-0300-000000150000}">
          <x14:formula1>
            <xm:f>項目!A4:$HRI$262146</xm:f>
          </x14:formula1>
          <xm:sqref>HRR262149:HRR262172</xm:sqref>
        </x14:dataValidation>
        <x14:dataValidation type="list" allowBlank="1" showInputMessage="1" showErrorMessage="1" xr:uid="{00000000-0002-0000-0300-000001150000}">
          <x14:formula1>
            <xm:f>項目!A4:$IBE$262146</xm:f>
          </x14:formula1>
          <xm:sqref>IBN262149:IBN262172</xm:sqref>
        </x14:dataValidation>
        <x14:dataValidation type="list" allowBlank="1" showInputMessage="1" showErrorMessage="1" xr:uid="{00000000-0002-0000-0300-000002150000}">
          <x14:formula1>
            <xm:f>項目!A4:$ILA$262146</xm:f>
          </x14:formula1>
          <xm:sqref>ILJ262149:ILJ262172</xm:sqref>
        </x14:dataValidation>
        <x14:dataValidation type="list" allowBlank="1" showInputMessage="1" showErrorMessage="1" xr:uid="{00000000-0002-0000-0300-000003150000}">
          <x14:formula1>
            <xm:f>項目!A4:$IUW$262146</xm:f>
          </x14:formula1>
          <xm:sqref>IVF262149:IVF262172</xm:sqref>
        </x14:dataValidation>
        <x14:dataValidation type="list" allowBlank="1" showInputMessage="1" showErrorMessage="1" xr:uid="{00000000-0002-0000-0300-000004150000}">
          <x14:formula1>
            <xm:f>項目!A4:$JES$262146</xm:f>
          </x14:formula1>
          <xm:sqref>JFB262149:JFB262172</xm:sqref>
        </x14:dataValidation>
        <x14:dataValidation type="list" allowBlank="1" showInputMessage="1" showErrorMessage="1" xr:uid="{00000000-0002-0000-0300-000005150000}">
          <x14:formula1>
            <xm:f>項目!A4:$JOO$262146</xm:f>
          </x14:formula1>
          <xm:sqref>JOX262149:JOX262172</xm:sqref>
        </x14:dataValidation>
        <x14:dataValidation type="list" allowBlank="1" showInputMessage="1" showErrorMessage="1" xr:uid="{00000000-0002-0000-0300-000006150000}">
          <x14:formula1>
            <xm:f>項目!A4:$JYK$262146</xm:f>
          </x14:formula1>
          <xm:sqref>JYT262149:JYT262172</xm:sqref>
        </x14:dataValidation>
        <x14:dataValidation type="list" allowBlank="1" showInputMessage="1" showErrorMessage="1" xr:uid="{00000000-0002-0000-0300-000007150000}">
          <x14:formula1>
            <xm:f>項目!A4:$KIG$262146</xm:f>
          </x14:formula1>
          <xm:sqref>KIP262149:KIP262172</xm:sqref>
        </x14:dataValidation>
        <x14:dataValidation type="list" allowBlank="1" showInputMessage="1" showErrorMessage="1" xr:uid="{00000000-0002-0000-0300-000008150000}">
          <x14:formula1>
            <xm:f>項目!A4:$KSC$262146</xm:f>
          </x14:formula1>
          <xm:sqref>KSL262149:KSL262172</xm:sqref>
        </x14:dataValidation>
        <x14:dataValidation type="list" allowBlank="1" showInputMessage="1" showErrorMessage="1" xr:uid="{00000000-0002-0000-0300-000009150000}">
          <x14:formula1>
            <xm:f>項目!A4:$LBY$262146</xm:f>
          </x14:formula1>
          <xm:sqref>LCH262149:LCH262172</xm:sqref>
        </x14:dataValidation>
        <x14:dataValidation type="list" allowBlank="1" showInputMessage="1" showErrorMessage="1" xr:uid="{00000000-0002-0000-0300-00000A150000}">
          <x14:formula1>
            <xm:f>項目!A4:$LLU$262146</xm:f>
          </x14:formula1>
          <xm:sqref>LMD262149:LMD262172</xm:sqref>
        </x14:dataValidation>
        <x14:dataValidation type="list" allowBlank="1" showInputMessage="1" showErrorMessage="1" xr:uid="{00000000-0002-0000-0300-00000B150000}">
          <x14:formula1>
            <xm:f>項目!A4:$LVQ$262146</xm:f>
          </x14:formula1>
          <xm:sqref>LVZ262149:LVZ262172</xm:sqref>
        </x14:dataValidation>
        <x14:dataValidation type="list" allowBlank="1" showInputMessage="1" showErrorMessage="1" xr:uid="{00000000-0002-0000-0300-00000C150000}">
          <x14:formula1>
            <xm:f>項目!A4:$MFM$262146</xm:f>
          </x14:formula1>
          <xm:sqref>MFV262149:MFV262172</xm:sqref>
        </x14:dataValidation>
        <x14:dataValidation type="list" allowBlank="1" showInputMessage="1" showErrorMessage="1" xr:uid="{00000000-0002-0000-0300-00000D150000}">
          <x14:formula1>
            <xm:f>項目!A4:$MPI$262146</xm:f>
          </x14:formula1>
          <xm:sqref>MPR262149:MPR262172</xm:sqref>
        </x14:dataValidation>
        <x14:dataValidation type="list" allowBlank="1" showInputMessage="1" showErrorMessage="1" xr:uid="{00000000-0002-0000-0300-00000E150000}">
          <x14:formula1>
            <xm:f>項目!A4:$MZE$262146</xm:f>
          </x14:formula1>
          <xm:sqref>MZN262149:MZN262172</xm:sqref>
        </x14:dataValidation>
        <x14:dataValidation type="list" allowBlank="1" showInputMessage="1" showErrorMessage="1" xr:uid="{00000000-0002-0000-0300-00000F150000}">
          <x14:formula1>
            <xm:f>項目!A4:$NJA$262146</xm:f>
          </x14:formula1>
          <xm:sqref>NJJ262149:NJJ262172</xm:sqref>
        </x14:dataValidation>
        <x14:dataValidation type="list" allowBlank="1" showInputMessage="1" showErrorMessage="1" xr:uid="{00000000-0002-0000-0300-000010150000}">
          <x14:formula1>
            <xm:f>項目!A4:$NSW$262146</xm:f>
          </x14:formula1>
          <xm:sqref>NTF262149:NTF262172</xm:sqref>
        </x14:dataValidation>
        <x14:dataValidation type="list" allowBlank="1" showInputMessage="1" showErrorMessage="1" xr:uid="{00000000-0002-0000-0300-000011150000}">
          <x14:formula1>
            <xm:f>項目!A4:$OCS$262146</xm:f>
          </x14:formula1>
          <xm:sqref>ODB262149:ODB262172</xm:sqref>
        </x14:dataValidation>
        <x14:dataValidation type="list" allowBlank="1" showInputMessage="1" showErrorMessage="1" xr:uid="{00000000-0002-0000-0300-000012150000}">
          <x14:formula1>
            <xm:f>項目!A4:$OMO$262146</xm:f>
          </x14:formula1>
          <xm:sqref>OMX262149:OMX262172</xm:sqref>
        </x14:dataValidation>
        <x14:dataValidation type="list" allowBlank="1" showInputMessage="1" showErrorMessage="1" xr:uid="{00000000-0002-0000-0300-000013150000}">
          <x14:formula1>
            <xm:f>項目!A4:$OWK$262146</xm:f>
          </x14:formula1>
          <xm:sqref>OWT262149:OWT262172</xm:sqref>
        </x14:dataValidation>
        <x14:dataValidation type="list" allowBlank="1" showInputMessage="1" showErrorMessage="1" xr:uid="{00000000-0002-0000-0300-000014150000}">
          <x14:formula1>
            <xm:f>項目!A4:$PGG$262146</xm:f>
          </x14:formula1>
          <xm:sqref>PGP262149:PGP262172</xm:sqref>
        </x14:dataValidation>
        <x14:dataValidation type="list" allowBlank="1" showInputMessage="1" showErrorMessage="1" xr:uid="{00000000-0002-0000-0300-000015150000}">
          <x14:formula1>
            <xm:f>項目!A4:$PQC$262146</xm:f>
          </x14:formula1>
          <xm:sqref>PQL262149:PQL262172</xm:sqref>
        </x14:dataValidation>
        <x14:dataValidation type="list" allowBlank="1" showInputMessage="1" showErrorMessage="1" xr:uid="{00000000-0002-0000-0300-000016150000}">
          <x14:formula1>
            <xm:f>項目!A4:$PZY$262146</xm:f>
          </x14:formula1>
          <xm:sqref>QAH262149:QAH262172</xm:sqref>
        </x14:dataValidation>
        <x14:dataValidation type="list" allowBlank="1" showInputMessage="1" showErrorMessage="1" xr:uid="{00000000-0002-0000-0300-000017150000}">
          <x14:formula1>
            <xm:f>項目!A4:$QJU$262146</xm:f>
          </x14:formula1>
          <xm:sqref>QKD262149:QKD262172</xm:sqref>
        </x14:dataValidation>
        <x14:dataValidation type="list" allowBlank="1" showInputMessage="1" showErrorMessage="1" xr:uid="{00000000-0002-0000-0300-000018150000}">
          <x14:formula1>
            <xm:f>項目!A4:$QTQ$262146</xm:f>
          </x14:formula1>
          <xm:sqref>QTZ262149:QTZ262172</xm:sqref>
        </x14:dataValidation>
        <x14:dataValidation type="list" allowBlank="1" showInputMessage="1" showErrorMessage="1" xr:uid="{00000000-0002-0000-0300-000019150000}">
          <x14:formula1>
            <xm:f>項目!A4:$RDM$262146</xm:f>
          </x14:formula1>
          <xm:sqref>RDV262149:RDV262172</xm:sqref>
        </x14:dataValidation>
        <x14:dataValidation type="list" allowBlank="1" showInputMessage="1" showErrorMessage="1" xr:uid="{00000000-0002-0000-0300-00001A150000}">
          <x14:formula1>
            <xm:f>項目!A4:$RNI$262146</xm:f>
          </x14:formula1>
          <xm:sqref>RNR262149:RNR262172</xm:sqref>
        </x14:dataValidation>
        <x14:dataValidation type="list" allowBlank="1" showInputMessage="1" showErrorMessage="1" xr:uid="{00000000-0002-0000-0300-00001B150000}">
          <x14:formula1>
            <xm:f>項目!A4:$RXE$262146</xm:f>
          </x14:formula1>
          <xm:sqref>RXN262149:RXN262172</xm:sqref>
        </x14:dataValidation>
        <x14:dataValidation type="list" allowBlank="1" showInputMessage="1" showErrorMessage="1" xr:uid="{00000000-0002-0000-0300-00001C150000}">
          <x14:formula1>
            <xm:f>項目!A4:$SHA$262146</xm:f>
          </x14:formula1>
          <xm:sqref>SHJ262149:SHJ262172</xm:sqref>
        </x14:dataValidation>
        <x14:dataValidation type="list" allowBlank="1" showInputMessage="1" showErrorMessage="1" xr:uid="{00000000-0002-0000-0300-00001D150000}">
          <x14:formula1>
            <xm:f>項目!A4:$SQW$262146</xm:f>
          </x14:formula1>
          <xm:sqref>SRF262149:SRF262172</xm:sqref>
        </x14:dataValidation>
        <x14:dataValidation type="list" allowBlank="1" showInputMessage="1" showErrorMessage="1" xr:uid="{00000000-0002-0000-0300-00001E150000}">
          <x14:formula1>
            <xm:f>項目!A4:$TAS$262146</xm:f>
          </x14:formula1>
          <xm:sqref>TBB262149:TBB262172</xm:sqref>
        </x14:dataValidation>
        <x14:dataValidation type="list" allowBlank="1" showInputMessage="1" showErrorMessage="1" xr:uid="{00000000-0002-0000-0300-00001F150000}">
          <x14:formula1>
            <xm:f>項目!A4:$TKO$262146</xm:f>
          </x14:formula1>
          <xm:sqref>TKX262149:TKX262172</xm:sqref>
        </x14:dataValidation>
        <x14:dataValidation type="list" allowBlank="1" showInputMessage="1" showErrorMessage="1" xr:uid="{00000000-0002-0000-0300-000020150000}">
          <x14:formula1>
            <xm:f>項目!A4:$TUK$262146</xm:f>
          </x14:formula1>
          <xm:sqref>TUT262149:TUT262172</xm:sqref>
        </x14:dataValidation>
        <x14:dataValidation type="list" allowBlank="1" showInputMessage="1" showErrorMessage="1" xr:uid="{00000000-0002-0000-0300-000021150000}">
          <x14:formula1>
            <xm:f>項目!A4:$UEG$262146</xm:f>
          </x14:formula1>
          <xm:sqref>UEP262149:UEP262172</xm:sqref>
        </x14:dataValidation>
        <x14:dataValidation type="list" allowBlank="1" showInputMessage="1" showErrorMessage="1" xr:uid="{00000000-0002-0000-0300-000022150000}">
          <x14:formula1>
            <xm:f>項目!A4:$UOC$262146</xm:f>
          </x14:formula1>
          <xm:sqref>UOL262149:UOL262172</xm:sqref>
        </x14:dataValidation>
        <x14:dataValidation type="list" allowBlank="1" showInputMessage="1" showErrorMessage="1" xr:uid="{00000000-0002-0000-0300-000023150000}">
          <x14:formula1>
            <xm:f>項目!A4:$UXY$262146</xm:f>
          </x14:formula1>
          <xm:sqref>UYH262149:UYH262172</xm:sqref>
        </x14:dataValidation>
        <x14:dataValidation type="list" allowBlank="1" showInputMessage="1" showErrorMessage="1" xr:uid="{00000000-0002-0000-0300-000024150000}">
          <x14:formula1>
            <xm:f>項目!A4:$VHU$262146</xm:f>
          </x14:formula1>
          <xm:sqref>VID262149:VID262172</xm:sqref>
        </x14:dataValidation>
        <x14:dataValidation type="list" allowBlank="1" showInputMessage="1" showErrorMessage="1" xr:uid="{00000000-0002-0000-0300-000025150000}">
          <x14:formula1>
            <xm:f>項目!A4:$VRQ$262146</xm:f>
          </x14:formula1>
          <xm:sqref>VRZ262149:VRZ262172</xm:sqref>
        </x14:dataValidation>
        <x14:dataValidation type="list" allowBlank="1" showInputMessage="1" showErrorMessage="1" xr:uid="{00000000-0002-0000-0300-000026150000}">
          <x14:formula1>
            <xm:f>項目!A4:$WBM$262146</xm:f>
          </x14:formula1>
          <xm:sqref>WBV262149:WBV262172</xm:sqref>
        </x14:dataValidation>
        <x14:dataValidation type="list" allowBlank="1" showInputMessage="1" showErrorMessage="1" xr:uid="{00000000-0002-0000-0300-000027150000}">
          <x14:formula1>
            <xm:f>項目!A4:$WLI$262146</xm:f>
          </x14:formula1>
          <xm:sqref>WLR262149:WLR262172</xm:sqref>
        </x14:dataValidation>
        <x14:dataValidation type="list" allowBlank="1" showInputMessage="1" showErrorMessage="1" xr:uid="{00000000-0002-0000-0300-000028150000}">
          <x14:formula1>
            <xm:f>項目!A4:$WVE$262146</xm:f>
          </x14:formula1>
          <xm:sqref>WVN262149:WVN262172</xm:sqref>
        </x14:dataValidation>
        <x14:dataValidation type="list" allowBlank="1" showInputMessage="1" showErrorMessage="1" xr:uid="{00000000-0002-0000-0300-000029150000}">
          <x14:formula1>
            <xm:f>項目!A4:$IS$327682</xm:f>
          </x14:formula1>
          <xm:sqref>JB327685:JB327708</xm:sqref>
        </x14:dataValidation>
        <x14:dataValidation type="list" allowBlank="1" showInputMessage="1" showErrorMessage="1" xr:uid="{00000000-0002-0000-0300-00002A150000}">
          <x14:formula1>
            <xm:f>項目!A4:$SO$327682</xm:f>
          </x14:formula1>
          <xm:sqref>SX327685:SX327708</xm:sqref>
        </x14:dataValidation>
        <x14:dataValidation type="list" allowBlank="1" showInputMessage="1" showErrorMessage="1" xr:uid="{00000000-0002-0000-0300-00002B150000}">
          <x14:formula1>
            <xm:f>項目!A4:$ACK$327682</xm:f>
          </x14:formula1>
          <xm:sqref>ACT327685:ACT327708</xm:sqref>
        </x14:dataValidation>
        <x14:dataValidation type="list" allowBlank="1" showInputMessage="1" showErrorMessage="1" xr:uid="{00000000-0002-0000-0300-00002C150000}">
          <x14:formula1>
            <xm:f>項目!A4:$AMG$327682</xm:f>
          </x14:formula1>
          <xm:sqref>AMP327685:AMP327708</xm:sqref>
        </x14:dataValidation>
        <x14:dataValidation type="list" allowBlank="1" showInputMessage="1" showErrorMessage="1" xr:uid="{00000000-0002-0000-0300-00002D150000}">
          <x14:formula1>
            <xm:f>項目!A4:$AWC$327682</xm:f>
          </x14:formula1>
          <xm:sqref>AWL327685:AWL327708</xm:sqref>
        </x14:dataValidation>
        <x14:dataValidation type="list" allowBlank="1" showInputMessage="1" showErrorMessage="1" xr:uid="{00000000-0002-0000-0300-00002E150000}">
          <x14:formula1>
            <xm:f>項目!A4:$BFY$327682</xm:f>
          </x14:formula1>
          <xm:sqref>BGH327685:BGH327708</xm:sqref>
        </x14:dataValidation>
        <x14:dataValidation type="list" allowBlank="1" showInputMessage="1" showErrorMessage="1" xr:uid="{00000000-0002-0000-0300-00002F150000}">
          <x14:formula1>
            <xm:f>項目!A4:$BPU$327682</xm:f>
          </x14:formula1>
          <xm:sqref>BQD327685:BQD327708</xm:sqref>
        </x14:dataValidation>
        <x14:dataValidation type="list" allowBlank="1" showInputMessage="1" showErrorMessage="1" xr:uid="{00000000-0002-0000-0300-000030150000}">
          <x14:formula1>
            <xm:f>項目!A4:$BZQ$327682</xm:f>
          </x14:formula1>
          <xm:sqref>BZZ327685:BZZ327708</xm:sqref>
        </x14:dataValidation>
        <x14:dataValidation type="list" allowBlank="1" showInputMessage="1" showErrorMessage="1" xr:uid="{00000000-0002-0000-0300-000031150000}">
          <x14:formula1>
            <xm:f>項目!A4:$CJM$327682</xm:f>
          </x14:formula1>
          <xm:sqref>CJV327685:CJV327708</xm:sqref>
        </x14:dataValidation>
        <x14:dataValidation type="list" allowBlank="1" showInputMessage="1" showErrorMessage="1" xr:uid="{00000000-0002-0000-0300-000032150000}">
          <x14:formula1>
            <xm:f>項目!A4:$CTI$327682</xm:f>
          </x14:formula1>
          <xm:sqref>CTR327685:CTR327708</xm:sqref>
        </x14:dataValidation>
        <x14:dataValidation type="list" allowBlank="1" showInputMessage="1" showErrorMessage="1" xr:uid="{00000000-0002-0000-0300-000033150000}">
          <x14:formula1>
            <xm:f>項目!A4:$DDE$327682</xm:f>
          </x14:formula1>
          <xm:sqref>DDN327685:DDN327708</xm:sqref>
        </x14:dataValidation>
        <x14:dataValidation type="list" allowBlank="1" showInputMessage="1" showErrorMessage="1" xr:uid="{00000000-0002-0000-0300-000034150000}">
          <x14:formula1>
            <xm:f>項目!A4:$DNA$327682</xm:f>
          </x14:formula1>
          <xm:sqref>DNJ327685:DNJ327708</xm:sqref>
        </x14:dataValidation>
        <x14:dataValidation type="list" allowBlank="1" showInputMessage="1" showErrorMessage="1" xr:uid="{00000000-0002-0000-0300-000035150000}">
          <x14:formula1>
            <xm:f>項目!A4:$DWW$327682</xm:f>
          </x14:formula1>
          <xm:sqref>DXF327685:DXF327708</xm:sqref>
        </x14:dataValidation>
        <x14:dataValidation type="list" allowBlank="1" showInputMessage="1" showErrorMessage="1" xr:uid="{00000000-0002-0000-0300-000036150000}">
          <x14:formula1>
            <xm:f>項目!A4:$EGS$327682</xm:f>
          </x14:formula1>
          <xm:sqref>EHB327685:EHB327708</xm:sqref>
        </x14:dataValidation>
        <x14:dataValidation type="list" allowBlank="1" showInputMessage="1" showErrorMessage="1" xr:uid="{00000000-0002-0000-0300-000037150000}">
          <x14:formula1>
            <xm:f>項目!A4:$EQO$327682</xm:f>
          </x14:formula1>
          <xm:sqref>EQX327685:EQX327708</xm:sqref>
        </x14:dataValidation>
        <x14:dataValidation type="list" allowBlank="1" showInputMessage="1" showErrorMessage="1" xr:uid="{00000000-0002-0000-0300-000038150000}">
          <x14:formula1>
            <xm:f>項目!A4:$FAK$327682</xm:f>
          </x14:formula1>
          <xm:sqref>FAT327685:FAT327708</xm:sqref>
        </x14:dataValidation>
        <x14:dataValidation type="list" allowBlank="1" showInputMessage="1" showErrorMessage="1" xr:uid="{00000000-0002-0000-0300-000039150000}">
          <x14:formula1>
            <xm:f>項目!A4:$FKG$327682</xm:f>
          </x14:formula1>
          <xm:sqref>FKP327685:FKP327708</xm:sqref>
        </x14:dataValidation>
        <x14:dataValidation type="list" allowBlank="1" showInputMessage="1" showErrorMessage="1" xr:uid="{00000000-0002-0000-0300-00003A150000}">
          <x14:formula1>
            <xm:f>項目!A4:$FUC$327682</xm:f>
          </x14:formula1>
          <xm:sqref>FUL327685:FUL327708</xm:sqref>
        </x14:dataValidation>
        <x14:dataValidation type="list" allowBlank="1" showInputMessage="1" showErrorMessage="1" xr:uid="{00000000-0002-0000-0300-00003B150000}">
          <x14:formula1>
            <xm:f>項目!A4:$GDY$327682</xm:f>
          </x14:formula1>
          <xm:sqref>GEH327685:GEH327708</xm:sqref>
        </x14:dataValidation>
        <x14:dataValidation type="list" allowBlank="1" showInputMessage="1" showErrorMessage="1" xr:uid="{00000000-0002-0000-0300-00003C150000}">
          <x14:formula1>
            <xm:f>項目!A4:$GNU$327682</xm:f>
          </x14:formula1>
          <xm:sqref>GOD327685:GOD327708</xm:sqref>
        </x14:dataValidation>
        <x14:dataValidation type="list" allowBlank="1" showInputMessage="1" showErrorMessage="1" xr:uid="{00000000-0002-0000-0300-00003D150000}">
          <x14:formula1>
            <xm:f>項目!A4:$GXQ$327682</xm:f>
          </x14:formula1>
          <xm:sqref>GXZ327685:GXZ327708</xm:sqref>
        </x14:dataValidation>
        <x14:dataValidation type="list" allowBlank="1" showInputMessage="1" showErrorMessage="1" xr:uid="{00000000-0002-0000-0300-00003E150000}">
          <x14:formula1>
            <xm:f>項目!A4:$HHM$327682</xm:f>
          </x14:formula1>
          <xm:sqref>HHV327685:HHV327708</xm:sqref>
        </x14:dataValidation>
        <x14:dataValidation type="list" allowBlank="1" showInputMessage="1" showErrorMessage="1" xr:uid="{00000000-0002-0000-0300-00003F150000}">
          <x14:formula1>
            <xm:f>項目!A4:$HRI$327682</xm:f>
          </x14:formula1>
          <xm:sqref>HRR327685:HRR327708</xm:sqref>
        </x14:dataValidation>
        <x14:dataValidation type="list" allowBlank="1" showInputMessage="1" showErrorMessage="1" xr:uid="{00000000-0002-0000-0300-000040150000}">
          <x14:formula1>
            <xm:f>項目!A4:$IBE$327682</xm:f>
          </x14:formula1>
          <xm:sqref>IBN327685:IBN327708</xm:sqref>
        </x14:dataValidation>
        <x14:dataValidation type="list" allowBlank="1" showInputMessage="1" showErrorMessage="1" xr:uid="{00000000-0002-0000-0300-000041150000}">
          <x14:formula1>
            <xm:f>項目!A4:$ILA$327682</xm:f>
          </x14:formula1>
          <xm:sqref>ILJ327685:ILJ327708</xm:sqref>
        </x14:dataValidation>
        <x14:dataValidation type="list" allowBlank="1" showInputMessage="1" showErrorMessage="1" xr:uid="{00000000-0002-0000-0300-000042150000}">
          <x14:formula1>
            <xm:f>項目!A4:$IUW$327682</xm:f>
          </x14:formula1>
          <xm:sqref>IVF327685:IVF327708</xm:sqref>
        </x14:dataValidation>
        <x14:dataValidation type="list" allowBlank="1" showInputMessage="1" showErrorMessage="1" xr:uid="{00000000-0002-0000-0300-000043150000}">
          <x14:formula1>
            <xm:f>項目!A4:$JES$327682</xm:f>
          </x14:formula1>
          <xm:sqref>JFB327685:JFB327708</xm:sqref>
        </x14:dataValidation>
        <x14:dataValidation type="list" allowBlank="1" showInputMessage="1" showErrorMessage="1" xr:uid="{00000000-0002-0000-0300-000044150000}">
          <x14:formula1>
            <xm:f>項目!A4:$JOO$327682</xm:f>
          </x14:formula1>
          <xm:sqref>JOX327685:JOX327708</xm:sqref>
        </x14:dataValidation>
        <x14:dataValidation type="list" allowBlank="1" showInputMessage="1" showErrorMessage="1" xr:uid="{00000000-0002-0000-0300-000045150000}">
          <x14:formula1>
            <xm:f>項目!A4:$JYK$327682</xm:f>
          </x14:formula1>
          <xm:sqref>JYT327685:JYT327708</xm:sqref>
        </x14:dataValidation>
        <x14:dataValidation type="list" allowBlank="1" showInputMessage="1" showErrorMessage="1" xr:uid="{00000000-0002-0000-0300-000046150000}">
          <x14:formula1>
            <xm:f>項目!A4:$KIG$327682</xm:f>
          </x14:formula1>
          <xm:sqref>KIP327685:KIP327708</xm:sqref>
        </x14:dataValidation>
        <x14:dataValidation type="list" allowBlank="1" showInputMessage="1" showErrorMessage="1" xr:uid="{00000000-0002-0000-0300-000047150000}">
          <x14:formula1>
            <xm:f>項目!A4:$KSC$327682</xm:f>
          </x14:formula1>
          <xm:sqref>KSL327685:KSL327708</xm:sqref>
        </x14:dataValidation>
        <x14:dataValidation type="list" allowBlank="1" showInputMessage="1" showErrorMessage="1" xr:uid="{00000000-0002-0000-0300-000048150000}">
          <x14:formula1>
            <xm:f>項目!A4:$LBY$327682</xm:f>
          </x14:formula1>
          <xm:sqref>LCH327685:LCH327708</xm:sqref>
        </x14:dataValidation>
        <x14:dataValidation type="list" allowBlank="1" showInputMessage="1" showErrorMessage="1" xr:uid="{00000000-0002-0000-0300-000049150000}">
          <x14:formula1>
            <xm:f>項目!A4:$LLU$327682</xm:f>
          </x14:formula1>
          <xm:sqref>LMD327685:LMD327708</xm:sqref>
        </x14:dataValidation>
        <x14:dataValidation type="list" allowBlank="1" showInputMessage="1" showErrorMessage="1" xr:uid="{00000000-0002-0000-0300-00004A150000}">
          <x14:formula1>
            <xm:f>項目!A4:$LVQ$327682</xm:f>
          </x14:formula1>
          <xm:sqref>LVZ327685:LVZ327708</xm:sqref>
        </x14:dataValidation>
        <x14:dataValidation type="list" allowBlank="1" showInputMessage="1" showErrorMessage="1" xr:uid="{00000000-0002-0000-0300-00004B150000}">
          <x14:formula1>
            <xm:f>項目!A4:$MFM$327682</xm:f>
          </x14:formula1>
          <xm:sqref>MFV327685:MFV327708</xm:sqref>
        </x14:dataValidation>
        <x14:dataValidation type="list" allowBlank="1" showInputMessage="1" showErrorMessage="1" xr:uid="{00000000-0002-0000-0300-00004C150000}">
          <x14:formula1>
            <xm:f>項目!A4:$MPI$327682</xm:f>
          </x14:formula1>
          <xm:sqref>MPR327685:MPR327708</xm:sqref>
        </x14:dataValidation>
        <x14:dataValidation type="list" allowBlank="1" showInputMessage="1" showErrorMessage="1" xr:uid="{00000000-0002-0000-0300-00004D150000}">
          <x14:formula1>
            <xm:f>項目!A4:$MZE$327682</xm:f>
          </x14:formula1>
          <xm:sqref>MZN327685:MZN327708</xm:sqref>
        </x14:dataValidation>
        <x14:dataValidation type="list" allowBlank="1" showInputMessage="1" showErrorMessage="1" xr:uid="{00000000-0002-0000-0300-00004E150000}">
          <x14:formula1>
            <xm:f>項目!A4:$NJA$327682</xm:f>
          </x14:formula1>
          <xm:sqref>NJJ327685:NJJ327708</xm:sqref>
        </x14:dataValidation>
        <x14:dataValidation type="list" allowBlank="1" showInputMessage="1" showErrorMessage="1" xr:uid="{00000000-0002-0000-0300-00004F150000}">
          <x14:formula1>
            <xm:f>項目!A4:$NSW$327682</xm:f>
          </x14:formula1>
          <xm:sqref>NTF327685:NTF327708</xm:sqref>
        </x14:dataValidation>
        <x14:dataValidation type="list" allowBlank="1" showInputMessage="1" showErrorMessage="1" xr:uid="{00000000-0002-0000-0300-000050150000}">
          <x14:formula1>
            <xm:f>項目!A4:$OCS$327682</xm:f>
          </x14:formula1>
          <xm:sqref>ODB327685:ODB327708</xm:sqref>
        </x14:dataValidation>
        <x14:dataValidation type="list" allowBlank="1" showInputMessage="1" showErrorMessage="1" xr:uid="{00000000-0002-0000-0300-000051150000}">
          <x14:formula1>
            <xm:f>項目!A4:$OMO$327682</xm:f>
          </x14:formula1>
          <xm:sqref>OMX327685:OMX327708</xm:sqref>
        </x14:dataValidation>
        <x14:dataValidation type="list" allowBlank="1" showInputMessage="1" showErrorMessage="1" xr:uid="{00000000-0002-0000-0300-000052150000}">
          <x14:formula1>
            <xm:f>項目!A4:$OWK$327682</xm:f>
          </x14:formula1>
          <xm:sqref>OWT327685:OWT327708</xm:sqref>
        </x14:dataValidation>
        <x14:dataValidation type="list" allowBlank="1" showInputMessage="1" showErrorMessage="1" xr:uid="{00000000-0002-0000-0300-000053150000}">
          <x14:formula1>
            <xm:f>項目!A4:$PGG$327682</xm:f>
          </x14:formula1>
          <xm:sqref>PGP327685:PGP327708</xm:sqref>
        </x14:dataValidation>
        <x14:dataValidation type="list" allowBlank="1" showInputMessage="1" showErrorMessage="1" xr:uid="{00000000-0002-0000-0300-000054150000}">
          <x14:formula1>
            <xm:f>項目!A4:$PQC$327682</xm:f>
          </x14:formula1>
          <xm:sqref>PQL327685:PQL327708</xm:sqref>
        </x14:dataValidation>
        <x14:dataValidation type="list" allowBlank="1" showInputMessage="1" showErrorMessage="1" xr:uid="{00000000-0002-0000-0300-000055150000}">
          <x14:formula1>
            <xm:f>項目!A4:$PZY$327682</xm:f>
          </x14:formula1>
          <xm:sqref>QAH327685:QAH327708</xm:sqref>
        </x14:dataValidation>
        <x14:dataValidation type="list" allowBlank="1" showInputMessage="1" showErrorMessage="1" xr:uid="{00000000-0002-0000-0300-000056150000}">
          <x14:formula1>
            <xm:f>項目!A4:$QJU$327682</xm:f>
          </x14:formula1>
          <xm:sqref>QKD327685:QKD327708</xm:sqref>
        </x14:dataValidation>
        <x14:dataValidation type="list" allowBlank="1" showInputMessage="1" showErrorMessage="1" xr:uid="{00000000-0002-0000-0300-000057150000}">
          <x14:formula1>
            <xm:f>項目!A4:$QTQ$327682</xm:f>
          </x14:formula1>
          <xm:sqref>QTZ327685:QTZ327708</xm:sqref>
        </x14:dataValidation>
        <x14:dataValidation type="list" allowBlank="1" showInputMessage="1" showErrorMessage="1" xr:uid="{00000000-0002-0000-0300-000058150000}">
          <x14:formula1>
            <xm:f>項目!A4:$RDM$327682</xm:f>
          </x14:formula1>
          <xm:sqref>RDV327685:RDV327708</xm:sqref>
        </x14:dataValidation>
        <x14:dataValidation type="list" allowBlank="1" showInputMessage="1" showErrorMessage="1" xr:uid="{00000000-0002-0000-0300-000059150000}">
          <x14:formula1>
            <xm:f>項目!A4:$RNI$327682</xm:f>
          </x14:formula1>
          <xm:sqref>RNR327685:RNR327708</xm:sqref>
        </x14:dataValidation>
        <x14:dataValidation type="list" allowBlank="1" showInputMessage="1" showErrorMessage="1" xr:uid="{00000000-0002-0000-0300-00005A150000}">
          <x14:formula1>
            <xm:f>項目!A4:$RXE$327682</xm:f>
          </x14:formula1>
          <xm:sqref>RXN327685:RXN327708</xm:sqref>
        </x14:dataValidation>
        <x14:dataValidation type="list" allowBlank="1" showInputMessage="1" showErrorMessage="1" xr:uid="{00000000-0002-0000-0300-00005B150000}">
          <x14:formula1>
            <xm:f>項目!A4:$SHA$327682</xm:f>
          </x14:formula1>
          <xm:sqref>SHJ327685:SHJ327708</xm:sqref>
        </x14:dataValidation>
        <x14:dataValidation type="list" allowBlank="1" showInputMessage="1" showErrorMessage="1" xr:uid="{00000000-0002-0000-0300-00005C150000}">
          <x14:formula1>
            <xm:f>項目!A4:$SQW$327682</xm:f>
          </x14:formula1>
          <xm:sqref>SRF327685:SRF327708</xm:sqref>
        </x14:dataValidation>
        <x14:dataValidation type="list" allowBlank="1" showInputMessage="1" showErrorMessage="1" xr:uid="{00000000-0002-0000-0300-00005D150000}">
          <x14:formula1>
            <xm:f>項目!A4:$TAS$327682</xm:f>
          </x14:formula1>
          <xm:sqref>TBB327685:TBB327708</xm:sqref>
        </x14:dataValidation>
        <x14:dataValidation type="list" allowBlank="1" showInputMessage="1" showErrorMessage="1" xr:uid="{00000000-0002-0000-0300-00005E150000}">
          <x14:formula1>
            <xm:f>項目!A4:$TKO$327682</xm:f>
          </x14:formula1>
          <xm:sqref>TKX327685:TKX327708</xm:sqref>
        </x14:dataValidation>
        <x14:dataValidation type="list" allowBlank="1" showInputMessage="1" showErrorMessage="1" xr:uid="{00000000-0002-0000-0300-00005F150000}">
          <x14:formula1>
            <xm:f>項目!A4:$TUK$327682</xm:f>
          </x14:formula1>
          <xm:sqref>TUT327685:TUT327708</xm:sqref>
        </x14:dataValidation>
        <x14:dataValidation type="list" allowBlank="1" showInputMessage="1" showErrorMessage="1" xr:uid="{00000000-0002-0000-0300-000060150000}">
          <x14:formula1>
            <xm:f>項目!A4:$UEG$327682</xm:f>
          </x14:formula1>
          <xm:sqref>UEP327685:UEP327708</xm:sqref>
        </x14:dataValidation>
        <x14:dataValidation type="list" allowBlank="1" showInputMessage="1" showErrorMessage="1" xr:uid="{00000000-0002-0000-0300-000061150000}">
          <x14:formula1>
            <xm:f>項目!A4:$UOC$327682</xm:f>
          </x14:formula1>
          <xm:sqref>UOL327685:UOL327708</xm:sqref>
        </x14:dataValidation>
        <x14:dataValidation type="list" allowBlank="1" showInputMessage="1" showErrorMessage="1" xr:uid="{00000000-0002-0000-0300-000062150000}">
          <x14:formula1>
            <xm:f>項目!A4:$UXY$327682</xm:f>
          </x14:formula1>
          <xm:sqref>UYH327685:UYH327708</xm:sqref>
        </x14:dataValidation>
        <x14:dataValidation type="list" allowBlank="1" showInputMessage="1" showErrorMessage="1" xr:uid="{00000000-0002-0000-0300-000063150000}">
          <x14:formula1>
            <xm:f>項目!A4:$VHU$327682</xm:f>
          </x14:formula1>
          <xm:sqref>VID327685:VID327708</xm:sqref>
        </x14:dataValidation>
        <x14:dataValidation type="list" allowBlank="1" showInputMessage="1" showErrorMessage="1" xr:uid="{00000000-0002-0000-0300-000064150000}">
          <x14:formula1>
            <xm:f>項目!A4:$VRQ$327682</xm:f>
          </x14:formula1>
          <xm:sqref>VRZ327685:VRZ327708</xm:sqref>
        </x14:dataValidation>
        <x14:dataValidation type="list" allowBlank="1" showInputMessage="1" showErrorMessage="1" xr:uid="{00000000-0002-0000-0300-000065150000}">
          <x14:formula1>
            <xm:f>項目!A4:$WBM$327682</xm:f>
          </x14:formula1>
          <xm:sqref>WBV327685:WBV327708</xm:sqref>
        </x14:dataValidation>
        <x14:dataValidation type="list" allowBlank="1" showInputMessage="1" showErrorMessage="1" xr:uid="{00000000-0002-0000-0300-000066150000}">
          <x14:formula1>
            <xm:f>項目!A4:$WLI$327682</xm:f>
          </x14:formula1>
          <xm:sqref>WLR327685:WLR327708</xm:sqref>
        </x14:dataValidation>
        <x14:dataValidation type="list" allowBlank="1" showInputMessage="1" showErrorMessage="1" xr:uid="{00000000-0002-0000-0300-000067150000}">
          <x14:formula1>
            <xm:f>項目!A4:$WVE$327682</xm:f>
          </x14:formula1>
          <xm:sqref>WVN327685:WVN327708</xm:sqref>
        </x14:dataValidation>
        <x14:dataValidation type="list" allowBlank="1" showInputMessage="1" showErrorMessage="1" xr:uid="{00000000-0002-0000-0300-000068150000}">
          <x14:formula1>
            <xm:f>項目!A4:$IS$393218</xm:f>
          </x14:formula1>
          <xm:sqref>JB393221:JB393244</xm:sqref>
        </x14:dataValidation>
        <x14:dataValidation type="list" allowBlank="1" showInputMessage="1" showErrorMessage="1" xr:uid="{00000000-0002-0000-0300-000069150000}">
          <x14:formula1>
            <xm:f>項目!A4:$SO$393218</xm:f>
          </x14:formula1>
          <xm:sqref>SX393221:SX393244</xm:sqref>
        </x14:dataValidation>
        <x14:dataValidation type="list" allowBlank="1" showInputMessage="1" showErrorMessage="1" xr:uid="{00000000-0002-0000-0300-00006A150000}">
          <x14:formula1>
            <xm:f>項目!A4:$ACK$393218</xm:f>
          </x14:formula1>
          <xm:sqref>ACT393221:ACT393244</xm:sqref>
        </x14:dataValidation>
        <x14:dataValidation type="list" allowBlank="1" showInputMessage="1" showErrorMessage="1" xr:uid="{00000000-0002-0000-0300-00006B150000}">
          <x14:formula1>
            <xm:f>項目!A4:$AMG$393218</xm:f>
          </x14:formula1>
          <xm:sqref>AMP393221:AMP393244</xm:sqref>
        </x14:dataValidation>
        <x14:dataValidation type="list" allowBlank="1" showInputMessage="1" showErrorMessage="1" xr:uid="{00000000-0002-0000-0300-00006C150000}">
          <x14:formula1>
            <xm:f>項目!A4:$AWC$393218</xm:f>
          </x14:formula1>
          <xm:sqref>AWL393221:AWL393244</xm:sqref>
        </x14:dataValidation>
        <x14:dataValidation type="list" allowBlank="1" showInputMessage="1" showErrorMessage="1" xr:uid="{00000000-0002-0000-0300-00006D150000}">
          <x14:formula1>
            <xm:f>項目!A4:$BFY$393218</xm:f>
          </x14:formula1>
          <xm:sqref>BGH393221:BGH393244</xm:sqref>
        </x14:dataValidation>
        <x14:dataValidation type="list" allowBlank="1" showInputMessage="1" showErrorMessage="1" xr:uid="{00000000-0002-0000-0300-00006E150000}">
          <x14:formula1>
            <xm:f>項目!A4:$BPU$393218</xm:f>
          </x14:formula1>
          <xm:sqref>BQD393221:BQD393244</xm:sqref>
        </x14:dataValidation>
        <x14:dataValidation type="list" allowBlank="1" showInputMessage="1" showErrorMessage="1" xr:uid="{00000000-0002-0000-0300-00006F150000}">
          <x14:formula1>
            <xm:f>項目!A4:$BZQ$393218</xm:f>
          </x14:formula1>
          <xm:sqref>BZZ393221:BZZ393244</xm:sqref>
        </x14:dataValidation>
        <x14:dataValidation type="list" allowBlank="1" showInputMessage="1" showErrorMessage="1" xr:uid="{00000000-0002-0000-0300-000070150000}">
          <x14:formula1>
            <xm:f>項目!A4:$CJM$393218</xm:f>
          </x14:formula1>
          <xm:sqref>CJV393221:CJV393244</xm:sqref>
        </x14:dataValidation>
        <x14:dataValidation type="list" allowBlank="1" showInputMessage="1" showErrorMessage="1" xr:uid="{00000000-0002-0000-0300-000071150000}">
          <x14:formula1>
            <xm:f>項目!A4:$CTI$393218</xm:f>
          </x14:formula1>
          <xm:sqref>CTR393221:CTR393244</xm:sqref>
        </x14:dataValidation>
        <x14:dataValidation type="list" allowBlank="1" showInputMessage="1" showErrorMessage="1" xr:uid="{00000000-0002-0000-0300-000072150000}">
          <x14:formula1>
            <xm:f>項目!A4:$DDE$393218</xm:f>
          </x14:formula1>
          <xm:sqref>DDN393221:DDN393244</xm:sqref>
        </x14:dataValidation>
        <x14:dataValidation type="list" allowBlank="1" showInputMessage="1" showErrorMessage="1" xr:uid="{00000000-0002-0000-0300-000073150000}">
          <x14:formula1>
            <xm:f>項目!A4:$DNA$393218</xm:f>
          </x14:formula1>
          <xm:sqref>DNJ393221:DNJ393244</xm:sqref>
        </x14:dataValidation>
        <x14:dataValidation type="list" allowBlank="1" showInputMessage="1" showErrorMessage="1" xr:uid="{00000000-0002-0000-0300-000074150000}">
          <x14:formula1>
            <xm:f>項目!A4:$DWW$393218</xm:f>
          </x14:formula1>
          <xm:sqref>DXF393221:DXF393244</xm:sqref>
        </x14:dataValidation>
        <x14:dataValidation type="list" allowBlank="1" showInputMessage="1" showErrorMessage="1" xr:uid="{00000000-0002-0000-0300-000075150000}">
          <x14:formula1>
            <xm:f>項目!A4:$EGS$393218</xm:f>
          </x14:formula1>
          <xm:sqref>EHB393221:EHB393244</xm:sqref>
        </x14:dataValidation>
        <x14:dataValidation type="list" allowBlank="1" showInputMessage="1" showErrorMessage="1" xr:uid="{00000000-0002-0000-0300-000076150000}">
          <x14:formula1>
            <xm:f>項目!A4:$EQO$393218</xm:f>
          </x14:formula1>
          <xm:sqref>EQX393221:EQX393244</xm:sqref>
        </x14:dataValidation>
        <x14:dataValidation type="list" allowBlank="1" showInputMessage="1" showErrorMessage="1" xr:uid="{00000000-0002-0000-0300-000077150000}">
          <x14:formula1>
            <xm:f>項目!A4:$FAK$393218</xm:f>
          </x14:formula1>
          <xm:sqref>FAT393221:FAT393244</xm:sqref>
        </x14:dataValidation>
        <x14:dataValidation type="list" allowBlank="1" showInputMessage="1" showErrorMessage="1" xr:uid="{00000000-0002-0000-0300-000078150000}">
          <x14:formula1>
            <xm:f>項目!A4:$FKG$393218</xm:f>
          </x14:formula1>
          <xm:sqref>FKP393221:FKP393244</xm:sqref>
        </x14:dataValidation>
        <x14:dataValidation type="list" allowBlank="1" showInputMessage="1" showErrorMessage="1" xr:uid="{00000000-0002-0000-0300-000079150000}">
          <x14:formula1>
            <xm:f>項目!A4:$FUC$393218</xm:f>
          </x14:formula1>
          <xm:sqref>FUL393221:FUL393244</xm:sqref>
        </x14:dataValidation>
        <x14:dataValidation type="list" allowBlank="1" showInputMessage="1" showErrorMessage="1" xr:uid="{00000000-0002-0000-0300-00007A150000}">
          <x14:formula1>
            <xm:f>項目!A4:$GDY$393218</xm:f>
          </x14:formula1>
          <xm:sqref>GEH393221:GEH393244</xm:sqref>
        </x14:dataValidation>
        <x14:dataValidation type="list" allowBlank="1" showInputMessage="1" showErrorMessage="1" xr:uid="{00000000-0002-0000-0300-00007B150000}">
          <x14:formula1>
            <xm:f>項目!A4:$GNU$393218</xm:f>
          </x14:formula1>
          <xm:sqref>GOD393221:GOD393244</xm:sqref>
        </x14:dataValidation>
        <x14:dataValidation type="list" allowBlank="1" showInputMessage="1" showErrorMessage="1" xr:uid="{00000000-0002-0000-0300-00007C150000}">
          <x14:formula1>
            <xm:f>項目!A4:$GXQ$393218</xm:f>
          </x14:formula1>
          <xm:sqref>GXZ393221:GXZ393244</xm:sqref>
        </x14:dataValidation>
        <x14:dataValidation type="list" allowBlank="1" showInputMessage="1" showErrorMessage="1" xr:uid="{00000000-0002-0000-0300-00007D150000}">
          <x14:formula1>
            <xm:f>項目!A4:$HHM$393218</xm:f>
          </x14:formula1>
          <xm:sqref>HHV393221:HHV393244</xm:sqref>
        </x14:dataValidation>
        <x14:dataValidation type="list" allowBlank="1" showInputMessage="1" showErrorMessage="1" xr:uid="{00000000-0002-0000-0300-00007E150000}">
          <x14:formula1>
            <xm:f>項目!A4:$HRI$393218</xm:f>
          </x14:formula1>
          <xm:sqref>HRR393221:HRR393244</xm:sqref>
        </x14:dataValidation>
        <x14:dataValidation type="list" allowBlank="1" showInputMessage="1" showErrorMessage="1" xr:uid="{00000000-0002-0000-0300-00007F150000}">
          <x14:formula1>
            <xm:f>項目!A4:$IBE$393218</xm:f>
          </x14:formula1>
          <xm:sqref>IBN393221:IBN393244</xm:sqref>
        </x14:dataValidation>
        <x14:dataValidation type="list" allowBlank="1" showInputMessage="1" showErrorMessage="1" xr:uid="{00000000-0002-0000-0300-000080150000}">
          <x14:formula1>
            <xm:f>項目!A4:$ILA$393218</xm:f>
          </x14:formula1>
          <xm:sqref>ILJ393221:ILJ393244</xm:sqref>
        </x14:dataValidation>
        <x14:dataValidation type="list" allowBlank="1" showInputMessage="1" showErrorMessage="1" xr:uid="{00000000-0002-0000-0300-000081150000}">
          <x14:formula1>
            <xm:f>項目!A4:$IUW$393218</xm:f>
          </x14:formula1>
          <xm:sqref>IVF393221:IVF393244</xm:sqref>
        </x14:dataValidation>
        <x14:dataValidation type="list" allowBlank="1" showInputMessage="1" showErrorMessage="1" xr:uid="{00000000-0002-0000-0300-000082150000}">
          <x14:formula1>
            <xm:f>項目!A4:$JES$393218</xm:f>
          </x14:formula1>
          <xm:sqref>JFB393221:JFB393244</xm:sqref>
        </x14:dataValidation>
        <x14:dataValidation type="list" allowBlank="1" showInputMessage="1" showErrorMessage="1" xr:uid="{00000000-0002-0000-0300-000083150000}">
          <x14:formula1>
            <xm:f>項目!A4:$JOO$393218</xm:f>
          </x14:formula1>
          <xm:sqref>JOX393221:JOX393244</xm:sqref>
        </x14:dataValidation>
        <x14:dataValidation type="list" allowBlank="1" showInputMessage="1" showErrorMessage="1" xr:uid="{00000000-0002-0000-0300-000084150000}">
          <x14:formula1>
            <xm:f>項目!A4:$JYK$393218</xm:f>
          </x14:formula1>
          <xm:sqref>JYT393221:JYT393244</xm:sqref>
        </x14:dataValidation>
        <x14:dataValidation type="list" allowBlank="1" showInputMessage="1" showErrorMessage="1" xr:uid="{00000000-0002-0000-0300-000085150000}">
          <x14:formula1>
            <xm:f>項目!A4:$KIG$393218</xm:f>
          </x14:formula1>
          <xm:sqref>KIP393221:KIP393244</xm:sqref>
        </x14:dataValidation>
        <x14:dataValidation type="list" allowBlank="1" showInputMessage="1" showErrorMessage="1" xr:uid="{00000000-0002-0000-0300-000086150000}">
          <x14:formula1>
            <xm:f>項目!A4:$KSC$393218</xm:f>
          </x14:formula1>
          <xm:sqref>KSL393221:KSL393244</xm:sqref>
        </x14:dataValidation>
        <x14:dataValidation type="list" allowBlank="1" showInputMessage="1" showErrorMessage="1" xr:uid="{00000000-0002-0000-0300-000087150000}">
          <x14:formula1>
            <xm:f>項目!A4:$LBY$393218</xm:f>
          </x14:formula1>
          <xm:sqref>LCH393221:LCH393244</xm:sqref>
        </x14:dataValidation>
        <x14:dataValidation type="list" allowBlank="1" showInputMessage="1" showErrorMessage="1" xr:uid="{00000000-0002-0000-0300-000088150000}">
          <x14:formula1>
            <xm:f>項目!A4:$LLU$393218</xm:f>
          </x14:formula1>
          <xm:sqref>LMD393221:LMD393244</xm:sqref>
        </x14:dataValidation>
        <x14:dataValidation type="list" allowBlank="1" showInputMessage="1" showErrorMessage="1" xr:uid="{00000000-0002-0000-0300-000089150000}">
          <x14:formula1>
            <xm:f>項目!A4:$LVQ$393218</xm:f>
          </x14:formula1>
          <xm:sqref>LVZ393221:LVZ393244</xm:sqref>
        </x14:dataValidation>
        <x14:dataValidation type="list" allowBlank="1" showInputMessage="1" showErrorMessage="1" xr:uid="{00000000-0002-0000-0300-00008A150000}">
          <x14:formula1>
            <xm:f>項目!A4:$MFM$393218</xm:f>
          </x14:formula1>
          <xm:sqref>MFV393221:MFV393244</xm:sqref>
        </x14:dataValidation>
        <x14:dataValidation type="list" allowBlank="1" showInputMessage="1" showErrorMessage="1" xr:uid="{00000000-0002-0000-0300-00008B150000}">
          <x14:formula1>
            <xm:f>項目!A4:$MPI$393218</xm:f>
          </x14:formula1>
          <xm:sqref>MPR393221:MPR393244</xm:sqref>
        </x14:dataValidation>
        <x14:dataValidation type="list" allowBlank="1" showInputMessage="1" showErrorMessage="1" xr:uid="{00000000-0002-0000-0300-00008C150000}">
          <x14:formula1>
            <xm:f>項目!A4:$MZE$393218</xm:f>
          </x14:formula1>
          <xm:sqref>MZN393221:MZN393244</xm:sqref>
        </x14:dataValidation>
        <x14:dataValidation type="list" allowBlank="1" showInputMessage="1" showErrorMessage="1" xr:uid="{00000000-0002-0000-0300-00008D150000}">
          <x14:formula1>
            <xm:f>項目!A4:$NJA$393218</xm:f>
          </x14:formula1>
          <xm:sqref>NJJ393221:NJJ393244</xm:sqref>
        </x14:dataValidation>
        <x14:dataValidation type="list" allowBlank="1" showInputMessage="1" showErrorMessage="1" xr:uid="{00000000-0002-0000-0300-00008E150000}">
          <x14:formula1>
            <xm:f>項目!A4:$NSW$393218</xm:f>
          </x14:formula1>
          <xm:sqref>NTF393221:NTF393244</xm:sqref>
        </x14:dataValidation>
        <x14:dataValidation type="list" allowBlank="1" showInputMessage="1" showErrorMessage="1" xr:uid="{00000000-0002-0000-0300-00008F150000}">
          <x14:formula1>
            <xm:f>項目!A4:$OCS$393218</xm:f>
          </x14:formula1>
          <xm:sqref>ODB393221:ODB393244</xm:sqref>
        </x14:dataValidation>
        <x14:dataValidation type="list" allowBlank="1" showInputMessage="1" showErrorMessage="1" xr:uid="{00000000-0002-0000-0300-000090150000}">
          <x14:formula1>
            <xm:f>項目!A4:$OMO$393218</xm:f>
          </x14:formula1>
          <xm:sqref>OMX393221:OMX393244</xm:sqref>
        </x14:dataValidation>
        <x14:dataValidation type="list" allowBlank="1" showInputMessage="1" showErrorMessage="1" xr:uid="{00000000-0002-0000-0300-000091150000}">
          <x14:formula1>
            <xm:f>項目!A4:$OWK$393218</xm:f>
          </x14:formula1>
          <xm:sqref>OWT393221:OWT393244</xm:sqref>
        </x14:dataValidation>
        <x14:dataValidation type="list" allowBlank="1" showInputMessage="1" showErrorMessage="1" xr:uid="{00000000-0002-0000-0300-000092150000}">
          <x14:formula1>
            <xm:f>項目!A4:$PGG$393218</xm:f>
          </x14:formula1>
          <xm:sqref>PGP393221:PGP393244</xm:sqref>
        </x14:dataValidation>
        <x14:dataValidation type="list" allowBlank="1" showInputMessage="1" showErrorMessage="1" xr:uid="{00000000-0002-0000-0300-000093150000}">
          <x14:formula1>
            <xm:f>項目!A4:$PQC$393218</xm:f>
          </x14:formula1>
          <xm:sqref>PQL393221:PQL393244</xm:sqref>
        </x14:dataValidation>
        <x14:dataValidation type="list" allowBlank="1" showInputMessage="1" showErrorMessage="1" xr:uid="{00000000-0002-0000-0300-000094150000}">
          <x14:formula1>
            <xm:f>項目!A4:$PZY$393218</xm:f>
          </x14:formula1>
          <xm:sqref>QAH393221:QAH393244</xm:sqref>
        </x14:dataValidation>
        <x14:dataValidation type="list" allowBlank="1" showInputMessage="1" showErrorMessage="1" xr:uid="{00000000-0002-0000-0300-000095150000}">
          <x14:formula1>
            <xm:f>項目!A4:$QJU$393218</xm:f>
          </x14:formula1>
          <xm:sqref>QKD393221:QKD393244</xm:sqref>
        </x14:dataValidation>
        <x14:dataValidation type="list" allowBlank="1" showInputMessage="1" showErrorMessage="1" xr:uid="{00000000-0002-0000-0300-000096150000}">
          <x14:formula1>
            <xm:f>項目!A4:$QTQ$393218</xm:f>
          </x14:formula1>
          <xm:sqref>QTZ393221:QTZ393244</xm:sqref>
        </x14:dataValidation>
        <x14:dataValidation type="list" allowBlank="1" showInputMessage="1" showErrorMessage="1" xr:uid="{00000000-0002-0000-0300-000097150000}">
          <x14:formula1>
            <xm:f>項目!A4:$RDM$393218</xm:f>
          </x14:formula1>
          <xm:sqref>RDV393221:RDV393244</xm:sqref>
        </x14:dataValidation>
        <x14:dataValidation type="list" allowBlank="1" showInputMessage="1" showErrorMessage="1" xr:uid="{00000000-0002-0000-0300-000098150000}">
          <x14:formula1>
            <xm:f>項目!A4:$RNI$393218</xm:f>
          </x14:formula1>
          <xm:sqref>RNR393221:RNR393244</xm:sqref>
        </x14:dataValidation>
        <x14:dataValidation type="list" allowBlank="1" showInputMessage="1" showErrorMessage="1" xr:uid="{00000000-0002-0000-0300-000099150000}">
          <x14:formula1>
            <xm:f>項目!A4:$RXE$393218</xm:f>
          </x14:formula1>
          <xm:sqref>RXN393221:RXN393244</xm:sqref>
        </x14:dataValidation>
        <x14:dataValidation type="list" allowBlank="1" showInputMessage="1" showErrorMessage="1" xr:uid="{00000000-0002-0000-0300-00009A150000}">
          <x14:formula1>
            <xm:f>項目!A4:$SHA$393218</xm:f>
          </x14:formula1>
          <xm:sqref>SHJ393221:SHJ393244</xm:sqref>
        </x14:dataValidation>
        <x14:dataValidation type="list" allowBlank="1" showInputMessage="1" showErrorMessage="1" xr:uid="{00000000-0002-0000-0300-00009B150000}">
          <x14:formula1>
            <xm:f>項目!A4:$SQW$393218</xm:f>
          </x14:formula1>
          <xm:sqref>SRF393221:SRF393244</xm:sqref>
        </x14:dataValidation>
        <x14:dataValidation type="list" allowBlank="1" showInputMessage="1" showErrorMessage="1" xr:uid="{00000000-0002-0000-0300-00009C150000}">
          <x14:formula1>
            <xm:f>項目!A4:$TAS$393218</xm:f>
          </x14:formula1>
          <xm:sqref>TBB393221:TBB393244</xm:sqref>
        </x14:dataValidation>
        <x14:dataValidation type="list" allowBlank="1" showInputMessage="1" showErrorMessage="1" xr:uid="{00000000-0002-0000-0300-00009D150000}">
          <x14:formula1>
            <xm:f>項目!A4:$TKO$393218</xm:f>
          </x14:formula1>
          <xm:sqref>TKX393221:TKX393244</xm:sqref>
        </x14:dataValidation>
        <x14:dataValidation type="list" allowBlank="1" showInputMessage="1" showErrorMessage="1" xr:uid="{00000000-0002-0000-0300-00009E150000}">
          <x14:formula1>
            <xm:f>項目!A4:$TUK$393218</xm:f>
          </x14:formula1>
          <xm:sqref>TUT393221:TUT393244</xm:sqref>
        </x14:dataValidation>
        <x14:dataValidation type="list" allowBlank="1" showInputMessage="1" showErrorMessage="1" xr:uid="{00000000-0002-0000-0300-00009F150000}">
          <x14:formula1>
            <xm:f>項目!A4:$UEG$393218</xm:f>
          </x14:formula1>
          <xm:sqref>UEP393221:UEP393244</xm:sqref>
        </x14:dataValidation>
        <x14:dataValidation type="list" allowBlank="1" showInputMessage="1" showErrorMessage="1" xr:uid="{00000000-0002-0000-0300-0000A0150000}">
          <x14:formula1>
            <xm:f>項目!A4:$UOC$393218</xm:f>
          </x14:formula1>
          <xm:sqref>UOL393221:UOL393244</xm:sqref>
        </x14:dataValidation>
        <x14:dataValidation type="list" allowBlank="1" showInputMessage="1" showErrorMessage="1" xr:uid="{00000000-0002-0000-0300-0000A1150000}">
          <x14:formula1>
            <xm:f>項目!A4:$UXY$393218</xm:f>
          </x14:formula1>
          <xm:sqref>UYH393221:UYH393244</xm:sqref>
        </x14:dataValidation>
        <x14:dataValidation type="list" allowBlank="1" showInputMessage="1" showErrorMessage="1" xr:uid="{00000000-0002-0000-0300-0000A2150000}">
          <x14:formula1>
            <xm:f>項目!A4:$VHU$393218</xm:f>
          </x14:formula1>
          <xm:sqref>VID393221:VID393244</xm:sqref>
        </x14:dataValidation>
        <x14:dataValidation type="list" allowBlank="1" showInputMessage="1" showErrorMessage="1" xr:uid="{00000000-0002-0000-0300-0000A3150000}">
          <x14:formula1>
            <xm:f>項目!A4:$VRQ$393218</xm:f>
          </x14:formula1>
          <xm:sqref>VRZ393221:VRZ393244</xm:sqref>
        </x14:dataValidation>
        <x14:dataValidation type="list" allowBlank="1" showInputMessage="1" showErrorMessage="1" xr:uid="{00000000-0002-0000-0300-0000A4150000}">
          <x14:formula1>
            <xm:f>項目!A4:$WBM$393218</xm:f>
          </x14:formula1>
          <xm:sqref>WBV393221:WBV393244</xm:sqref>
        </x14:dataValidation>
        <x14:dataValidation type="list" allowBlank="1" showInputMessage="1" showErrorMessage="1" xr:uid="{00000000-0002-0000-0300-0000A5150000}">
          <x14:formula1>
            <xm:f>項目!A4:$WLI$393218</xm:f>
          </x14:formula1>
          <xm:sqref>WLR393221:WLR393244</xm:sqref>
        </x14:dataValidation>
        <x14:dataValidation type="list" allowBlank="1" showInputMessage="1" showErrorMessage="1" xr:uid="{00000000-0002-0000-0300-0000A6150000}">
          <x14:formula1>
            <xm:f>項目!A4:$WVE$393218</xm:f>
          </x14:formula1>
          <xm:sqref>WVN393221:WVN393244</xm:sqref>
        </x14:dataValidation>
        <x14:dataValidation type="list" allowBlank="1" showInputMessage="1" showErrorMessage="1" xr:uid="{00000000-0002-0000-0300-0000A7150000}">
          <x14:formula1>
            <xm:f>項目!A4:$IS$458754</xm:f>
          </x14:formula1>
          <xm:sqref>JB458757:JB458780</xm:sqref>
        </x14:dataValidation>
        <x14:dataValidation type="list" allowBlank="1" showInputMessage="1" showErrorMessage="1" xr:uid="{00000000-0002-0000-0300-0000A8150000}">
          <x14:formula1>
            <xm:f>項目!A4:$SO$458754</xm:f>
          </x14:formula1>
          <xm:sqref>SX458757:SX458780</xm:sqref>
        </x14:dataValidation>
        <x14:dataValidation type="list" allowBlank="1" showInputMessage="1" showErrorMessage="1" xr:uid="{00000000-0002-0000-0300-0000A9150000}">
          <x14:formula1>
            <xm:f>項目!A4:$ACK$458754</xm:f>
          </x14:formula1>
          <xm:sqref>ACT458757:ACT458780</xm:sqref>
        </x14:dataValidation>
        <x14:dataValidation type="list" allowBlank="1" showInputMessage="1" showErrorMessage="1" xr:uid="{00000000-0002-0000-0300-0000AA150000}">
          <x14:formula1>
            <xm:f>項目!A4:$AMG$458754</xm:f>
          </x14:formula1>
          <xm:sqref>AMP458757:AMP458780</xm:sqref>
        </x14:dataValidation>
        <x14:dataValidation type="list" allowBlank="1" showInputMessage="1" showErrorMessage="1" xr:uid="{00000000-0002-0000-0300-0000AB150000}">
          <x14:formula1>
            <xm:f>項目!A4:$AWC$458754</xm:f>
          </x14:formula1>
          <xm:sqref>AWL458757:AWL458780</xm:sqref>
        </x14:dataValidation>
        <x14:dataValidation type="list" allowBlank="1" showInputMessage="1" showErrorMessage="1" xr:uid="{00000000-0002-0000-0300-0000AC150000}">
          <x14:formula1>
            <xm:f>項目!A4:$BFY$458754</xm:f>
          </x14:formula1>
          <xm:sqref>BGH458757:BGH458780</xm:sqref>
        </x14:dataValidation>
        <x14:dataValidation type="list" allowBlank="1" showInputMessage="1" showErrorMessage="1" xr:uid="{00000000-0002-0000-0300-0000AD150000}">
          <x14:formula1>
            <xm:f>項目!A4:$BPU$458754</xm:f>
          </x14:formula1>
          <xm:sqref>BQD458757:BQD458780</xm:sqref>
        </x14:dataValidation>
        <x14:dataValidation type="list" allowBlank="1" showInputMessage="1" showErrorMessage="1" xr:uid="{00000000-0002-0000-0300-0000AE150000}">
          <x14:formula1>
            <xm:f>項目!A4:$BZQ$458754</xm:f>
          </x14:formula1>
          <xm:sqref>BZZ458757:BZZ458780</xm:sqref>
        </x14:dataValidation>
        <x14:dataValidation type="list" allowBlank="1" showInputMessage="1" showErrorMessage="1" xr:uid="{00000000-0002-0000-0300-0000AF150000}">
          <x14:formula1>
            <xm:f>項目!A4:$CJM$458754</xm:f>
          </x14:formula1>
          <xm:sqref>CJV458757:CJV458780</xm:sqref>
        </x14:dataValidation>
        <x14:dataValidation type="list" allowBlank="1" showInputMessage="1" showErrorMessage="1" xr:uid="{00000000-0002-0000-0300-0000B0150000}">
          <x14:formula1>
            <xm:f>項目!A4:$CTI$458754</xm:f>
          </x14:formula1>
          <xm:sqref>CTR458757:CTR458780</xm:sqref>
        </x14:dataValidation>
        <x14:dataValidation type="list" allowBlank="1" showInputMessage="1" showErrorMessage="1" xr:uid="{00000000-0002-0000-0300-0000B1150000}">
          <x14:formula1>
            <xm:f>項目!A4:$DDE$458754</xm:f>
          </x14:formula1>
          <xm:sqref>DDN458757:DDN458780</xm:sqref>
        </x14:dataValidation>
        <x14:dataValidation type="list" allowBlank="1" showInputMessage="1" showErrorMessage="1" xr:uid="{00000000-0002-0000-0300-0000B2150000}">
          <x14:formula1>
            <xm:f>項目!A4:$DNA$458754</xm:f>
          </x14:formula1>
          <xm:sqref>DNJ458757:DNJ458780</xm:sqref>
        </x14:dataValidation>
        <x14:dataValidation type="list" allowBlank="1" showInputMessage="1" showErrorMessage="1" xr:uid="{00000000-0002-0000-0300-0000B3150000}">
          <x14:formula1>
            <xm:f>項目!A4:$DWW$458754</xm:f>
          </x14:formula1>
          <xm:sqref>DXF458757:DXF458780</xm:sqref>
        </x14:dataValidation>
        <x14:dataValidation type="list" allowBlank="1" showInputMessage="1" showErrorMessage="1" xr:uid="{00000000-0002-0000-0300-0000B4150000}">
          <x14:formula1>
            <xm:f>項目!A4:$EGS$458754</xm:f>
          </x14:formula1>
          <xm:sqref>EHB458757:EHB458780</xm:sqref>
        </x14:dataValidation>
        <x14:dataValidation type="list" allowBlank="1" showInputMessage="1" showErrorMessage="1" xr:uid="{00000000-0002-0000-0300-0000B5150000}">
          <x14:formula1>
            <xm:f>項目!A4:$EQO$458754</xm:f>
          </x14:formula1>
          <xm:sqref>EQX458757:EQX458780</xm:sqref>
        </x14:dataValidation>
        <x14:dataValidation type="list" allowBlank="1" showInputMessage="1" showErrorMessage="1" xr:uid="{00000000-0002-0000-0300-0000B6150000}">
          <x14:formula1>
            <xm:f>項目!A4:$FAK$458754</xm:f>
          </x14:formula1>
          <xm:sqref>FAT458757:FAT458780</xm:sqref>
        </x14:dataValidation>
        <x14:dataValidation type="list" allowBlank="1" showInputMessage="1" showErrorMessage="1" xr:uid="{00000000-0002-0000-0300-0000B7150000}">
          <x14:formula1>
            <xm:f>項目!A4:$FKG$458754</xm:f>
          </x14:formula1>
          <xm:sqref>FKP458757:FKP458780</xm:sqref>
        </x14:dataValidation>
        <x14:dataValidation type="list" allowBlank="1" showInputMessage="1" showErrorMessage="1" xr:uid="{00000000-0002-0000-0300-0000B8150000}">
          <x14:formula1>
            <xm:f>項目!A4:$FUC$458754</xm:f>
          </x14:formula1>
          <xm:sqref>FUL458757:FUL458780</xm:sqref>
        </x14:dataValidation>
        <x14:dataValidation type="list" allowBlank="1" showInputMessage="1" showErrorMessage="1" xr:uid="{00000000-0002-0000-0300-0000B9150000}">
          <x14:formula1>
            <xm:f>項目!A4:$GDY$458754</xm:f>
          </x14:formula1>
          <xm:sqref>GEH458757:GEH458780</xm:sqref>
        </x14:dataValidation>
        <x14:dataValidation type="list" allowBlank="1" showInputMessage="1" showErrorMessage="1" xr:uid="{00000000-0002-0000-0300-0000BA150000}">
          <x14:formula1>
            <xm:f>項目!A4:$GNU$458754</xm:f>
          </x14:formula1>
          <xm:sqref>GOD458757:GOD458780</xm:sqref>
        </x14:dataValidation>
        <x14:dataValidation type="list" allowBlank="1" showInputMessage="1" showErrorMessage="1" xr:uid="{00000000-0002-0000-0300-0000BB150000}">
          <x14:formula1>
            <xm:f>項目!A4:$GXQ$458754</xm:f>
          </x14:formula1>
          <xm:sqref>GXZ458757:GXZ458780</xm:sqref>
        </x14:dataValidation>
        <x14:dataValidation type="list" allowBlank="1" showInputMessage="1" showErrorMessage="1" xr:uid="{00000000-0002-0000-0300-0000BC150000}">
          <x14:formula1>
            <xm:f>項目!A4:$HHM$458754</xm:f>
          </x14:formula1>
          <xm:sqref>HHV458757:HHV458780</xm:sqref>
        </x14:dataValidation>
        <x14:dataValidation type="list" allowBlank="1" showInputMessage="1" showErrorMessage="1" xr:uid="{00000000-0002-0000-0300-0000BD150000}">
          <x14:formula1>
            <xm:f>項目!A4:$HRI$458754</xm:f>
          </x14:formula1>
          <xm:sqref>HRR458757:HRR458780</xm:sqref>
        </x14:dataValidation>
        <x14:dataValidation type="list" allowBlank="1" showInputMessage="1" showErrorMessage="1" xr:uid="{00000000-0002-0000-0300-0000BE150000}">
          <x14:formula1>
            <xm:f>項目!A4:$IBE$458754</xm:f>
          </x14:formula1>
          <xm:sqref>IBN458757:IBN458780</xm:sqref>
        </x14:dataValidation>
        <x14:dataValidation type="list" allowBlank="1" showInputMessage="1" showErrorMessage="1" xr:uid="{00000000-0002-0000-0300-0000BF150000}">
          <x14:formula1>
            <xm:f>項目!A4:$ILA$458754</xm:f>
          </x14:formula1>
          <xm:sqref>ILJ458757:ILJ458780</xm:sqref>
        </x14:dataValidation>
        <x14:dataValidation type="list" allowBlank="1" showInputMessage="1" showErrorMessage="1" xr:uid="{00000000-0002-0000-0300-0000C0150000}">
          <x14:formula1>
            <xm:f>項目!A4:$IUW$458754</xm:f>
          </x14:formula1>
          <xm:sqref>IVF458757:IVF458780</xm:sqref>
        </x14:dataValidation>
        <x14:dataValidation type="list" allowBlank="1" showInputMessage="1" showErrorMessage="1" xr:uid="{00000000-0002-0000-0300-0000C1150000}">
          <x14:formula1>
            <xm:f>項目!A4:$JES$458754</xm:f>
          </x14:formula1>
          <xm:sqref>JFB458757:JFB458780</xm:sqref>
        </x14:dataValidation>
        <x14:dataValidation type="list" allowBlank="1" showInputMessage="1" showErrorMessage="1" xr:uid="{00000000-0002-0000-0300-0000C2150000}">
          <x14:formula1>
            <xm:f>項目!A4:$JOO$458754</xm:f>
          </x14:formula1>
          <xm:sqref>JOX458757:JOX458780</xm:sqref>
        </x14:dataValidation>
        <x14:dataValidation type="list" allowBlank="1" showInputMessage="1" showErrorMessage="1" xr:uid="{00000000-0002-0000-0300-0000C3150000}">
          <x14:formula1>
            <xm:f>項目!A4:$JYK$458754</xm:f>
          </x14:formula1>
          <xm:sqref>JYT458757:JYT458780</xm:sqref>
        </x14:dataValidation>
        <x14:dataValidation type="list" allowBlank="1" showInputMessage="1" showErrorMessage="1" xr:uid="{00000000-0002-0000-0300-0000C4150000}">
          <x14:formula1>
            <xm:f>項目!A4:$KIG$458754</xm:f>
          </x14:formula1>
          <xm:sqref>KIP458757:KIP458780</xm:sqref>
        </x14:dataValidation>
        <x14:dataValidation type="list" allowBlank="1" showInputMessage="1" showErrorMessage="1" xr:uid="{00000000-0002-0000-0300-0000C5150000}">
          <x14:formula1>
            <xm:f>項目!A4:$KSC$458754</xm:f>
          </x14:formula1>
          <xm:sqref>KSL458757:KSL458780</xm:sqref>
        </x14:dataValidation>
        <x14:dataValidation type="list" allowBlank="1" showInputMessage="1" showErrorMessage="1" xr:uid="{00000000-0002-0000-0300-0000C6150000}">
          <x14:formula1>
            <xm:f>項目!A4:$LBY$458754</xm:f>
          </x14:formula1>
          <xm:sqref>LCH458757:LCH458780</xm:sqref>
        </x14:dataValidation>
        <x14:dataValidation type="list" allowBlank="1" showInputMessage="1" showErrorMessage="1" xr:uid="{00000000-0002-0000-0300-0000C7150000}">
          <x14:formula1>
            <xm:f>項目!A4:$LLU$458754</xm:f>
          </x14:formula1>
          <xm:sqref>LMD458757:LMD458780</xm:sqref>
        </x14:dataValidation>
        <x14:dataValidation type="list" allowBlank="1" showInputMessage="1" showErrorMessage="1" xr:uid="{00000000-0002-0000-0300-0000C8150000}">
          <x14:formula1>
            <xm:f>項目!A4:$LVQ$458754</xm:f>
          </x14:formula1>
          <xm:sqref>LVZ458757:LVZ458780</xm:sqref>
        </x14:dataValidation>
        <x14:dataValidation type="list" allowBlank="1" showInputMessage="1" showErrorMessage="1" xr:uid="{00000000-0002-0000-0300-0000C9150000}">
          <x14:formula1>
            <xm:f>項目!A4:$MFM$458754</xm:f>
          </x14:formula1>
          <xm:sqref>MFV458757:MFV458780</xm:sqref>
        </x14:dataValidation>
        <x14:dataValidation type="list" allowBlank="1" showInputMessage="1" showErrorMessage="1" xr:uid="{00000000-0002-0000-0300-0000CA150000}">
          <x14:formula1>
            <xm:f>項目!A4:$MPI$458754</xm:f>
          </x14:formula1>
          <xm:sqref>MPR458757:MPR458780</xm:sqref>
        </x14:dataValidation>
        <x14:dataValidation type="list" allowBlank="1" showInputMessage="1" showErrorMessage="1" xr:uid="{00000000-0002-0000-0300-0000CB150000}">
          <x14:formula1>
            <xm:f>項目!A4:$MZE$458754</xm:f>
          </x14:formula1>
          <xm:sqref>MZN458757:MZN458780</xm:sqref>
        </x14:dataValidation>
        <x14:dataValidation type="list" allowBlank="1" showInputMessage="1" showErrorMessage="1" xr:uid="{00000000-0002-0000-0300-0000CC150000}">
          <x14:formula1>
            <xm:f>項目!A4:$NJA$458754</xm:f>
          </x14:formula1>
          <xm:sqref>NJJ458757:NJJ458780</xm:sqref>
        </x14:dataValidation>
        <x14:dataValidation type="list" allowBlank="1" showInputMessage="1" showErrorMessage="1" xr:uid="{00000000-0002-0000-0300-0000CD150000}">
          <x14:formula1>
            <xm:f>項目!A4:$NSW$458754</xm:f>
          </x14:formula1>
          <xm:sqref>NTF458757:NTF458780</xm:sqref>
        </x14:dataValidation>
        <x14:dataValidation type="list" allowBlank="1" showInputMessage="1" showErrorMessage="1" xr:uid="{00000000-0002-0000-0300-0000CE150000}">
          <x14:formula1>
            <xm:f>項目!A4:$OCS$458754</xm:f>
          </x14:formula1>
          <xm:sqref>ODB458757:ODB458780</xm:sqref>
        </x14:dataValidation>
        <x14:dataValidation type="list" allowBlank="1" showInputMessage="1" showErrorMessage="1" xr:uid="{00000000-0002-0000-0300-0000CF150000}">
          <x14:formula1>
            <xm:f>項目!A4:$OMO$458754</xm:f>
          </x14:formula1>
          <xm:sqref>OMX458757:OMX458780</xm:sqref>
        </x14:dataValidation>
        <x14:dataValidation type="list" allowBlank="1" showInputMessage="1" showErrorMessage="1" xr:uid="{00000000-0002-0000-0300-0000D0150000}">
          <x14:formula1>
            <xm:f>項目!A4:$OWK$458754</xm:f>
          </x14:formula1>
          <xm:sqref>OWT458757:OWT458780</xm:sqref>
        </x14:dataValidation>
        <x14:dataValidation type="list" allowBlank="1" showInputMessage="1" showErrorMessage="1" xr:uid="{00000000-0002-0000-0300-0000D1150000}">
          <x14:formula1>
            <xm:f>項目!A4:$PGG$458754</xm:f>
          </x14:formula1>
          <xm:sqref>PGP458757:PGP458780</xm:sqref>
        </x14:dataValidation>
        <x14:dataValidation type="list" allowBlank="1" showInputMessage="1" showErrorMessage="1" xr:uid="{00000000-0002-0000-0300-0000D2150000}">
          <x14:formula1>
            <xm:f>項目!A4:$PQC$458754</xm:f>
          </x14:formula1>
          <xm:sqref>PQL458757:PQL458780</xm:sqref>
        </x14:dataValidation>
        <x14:dataValidation type="list" allowBlank="1" showInputMessage="1" showErrorMessage="1" xr:uid="{00000000-0002-0000-0300-0000D3150000}">
          <x14:formula1>
            <xm:f>項目!A4:$PZY$458754</xm:f>
          </x14:formula1>
          <xm:sqref>QAH458757:QAH458780</xm:sqref>
        </x14:dataValidation>
        <x14:dataValidation type="list" allowBlank="1" showInputMessage="1" showErrorMessage="1" xr:uid="{00000000-0002-0000-0300-0000D4150000}">
          <x14:formula1>
            <xm:f>項目!A4:$QJU$458754</xm:f>
          </x14:formula1>
          <xm:sqref>QKD458757:QKD458780</xm:sqref>
        </x14:dataValidation>
        <x14:dataValidation type="list" allowBlank="1" showInputMessage="1" showErrorMessage="1" xr:uid="{00000000-0002-0000-0300-0000D5150000}">
          <x14:formula1>
            <xm:f>項目!A4:$QTQ$458754</xm:f>
          </x14:formula1>
          <xm:sqref>QTZ458757:QTZ458780</xm:sqref>
        </x14:dataValidation>
        <x14:dataValidation type="list" allowBlank="1" showInputMessage="1" showErrorMessage="1" xr:uid="{00000000-0002-0000-0300-0000D6150000}">
          <x14:formula1>
            <xm:f>項目!A4:$RDM$458754</xm:f>
          </x14:formula1>
          <xm:sqref>RDV458757:RDV458780</xm:sqref>
        </x14:dataValidation>
        <x14:dataValidation type="list" allowBlank="1" showInputMessage="1" showErrorMessage="1" xr:uid="{00000000-0002-0000-0300-0000D7150000}">
          <x14:formula1>
            <xm:f>項目!A4:$RNI$458754</xm:f>
          </x14:formula1>
          <xm:sqref>RNR458757:RNR458780</xm:sqref>
        </x14:dataValidation>
        <x14:dataValidation type="list" allowBlank="1" showInputMessage="1" showErrorMessage="1" xr:uid="{00000000-0002-0000-0300-0000D8150000}">
          <x14:formula1>
            <xm:f>項目!A4:$RXE$458754</xm:f>
          </x14:formula1>
          <xm:sqref>RXN458757:RXN458780</xm:sqref>
        </x14:dataValidation>
        <x14:dataValidation type="list" allowBlank="1" showInputMessage="1" showErrorMessage="1" xr:uid="{00000000-0002-0000-0300-0000D9150000}">
          <x14:formula1>
            <xm:f>項目!A4:$SHA$458754</xm:f>
          </x14:formula1>
          <xm:sqref>SHJ458757:SHJ458780</xm:sqref>
        </x14:dataValidation>
        <x14:dataValidation type="list" allowBlank="1" showInputMessage="1" showErrorMessage="1" xr:uid="{00000000-0002-0000-0300-0000DA150000}">
          <x14:formula1>
            <xm:f>項目!A4:$SQW$458754</xm:f>
          </x14:formula1>
          <xm:sqref>SRF458757:SRF458780</xm:sqref>
        </x14:dataValidation>
        <x14:dataValidation type="list" allowBlank="1" showInputMessage="1" showErrorMessage="1" xr:uid="{00000000-0002-0000-0300-0000DB150000}">
          <x14:formula1>
            <xm:f>項目!A4:$TAS$458754</xm:f>
          </x14:formula1>
          <xm:sqref>TBB458757:TBB458780</xm:sqref>
        </x14:dataValidation>
        <x14:dataValidation type="list" allowBlank="1" showInputMessage="1" showErrorMessage="1" xr:uid="{00000000-0002-0000-0300-0000DC150000}">
          <x14:formula1>
            <xm:f>項目!A4:$TKO$458754</xm:f>
          </x14:formula1>
          <xm:sqref>TKX458757:TKX458780</xm:sqref>
        </x14:dataValidation>
        <x14:dataValidation type="list" allowBlank="1" showInputMessage="1" showErrorMessage="1" xr:uid="{00000000-0002-0000-0300-0000DD150000}">
          <x14:formula1>
            <xm:f>項目!A4:$TUK$458754</xm:f>
          </x14:formula1>
          <xm:sqref>TUT458757:TUT458780</xm:sqref>
        </x14:dataValidation>
        <x14:dataValidation type="list" allowBlank="1" showInputMessage="1" showErrorMessage="1" xr:uid="{00000000-0002-0000-0300-0000DE150000}">
          <x14:formula1>
            <xm:f>項目!A4:$UEG$458754</xm:f>
          </x14:formula1>
          <xm:sqref>UEP458757:UEP458780</xm:sqref>
        </x14:dataValidation>
        <x14:dataValidation type="list" allowBlank="1" showInputMessage="1" showErrorMessage="1" xr:uid="{00000000-0002-0000-0300-0000DF150000}">
          <x14:formula1>
            <xm:f>項目!A4:$UOC$458754</xm:f>
          </x14:formula1>
          <xm:sqref>UOL458757:UOL458780</xm:sqref>
        </x14:dataValidation>
        <x14:dataValidation type="list" allowBlank="1" showInputMessage="1" showErrorMessage="1" xr:uid="{00000000-0002-0000-0300-0000E0150000}">
          <x14:formula1>
            <xm:f>項目!A4:$UXY$458754</xm:f>
          </x14:formula1>
          <xm:sqref>UYH458757:UYH458780</xm:sqref>
        </x14:dataValidation>
        <x14:dataValidation type="list" allowBlank="1" showInputMessage="1" showErrorMessage="1" xr:uid="{00000000-0002-0000-0300-0000E1150000}">
          <x14:formula1>
            <xm:f>項目!A4:$VHU$458754</xm:f>
          </x14:formula1>
          <xm:sqref>VID458757:VID458780</xm:sqref>
        </x14:dataValidation>
        <x14:dataValidation type="list" allowBlank="1" showInputMessage="1" showErrorMessage="1" xr:uid="{00000000-0002-0000-0300-0000E2150000}">
          <x14:formula1>
            <xm:f>項目!A4:$VRQ$458754</xm:f>
          </x14:formula1>
          <xm:sqref>VRZ458757:VRZ458780</xm:sqref>
        </x14:dataValidation>
        <x14:dataValidation type="list" allowBlank="1" showInputMessage="1" showErrorMessage="1" xr:uid="{00000000-0002-0000-0300-0000E3150000}">
          <x14:formula1>
            <xm:f>項目!A4:$WBM$458754</xm:f>
          </x14:formula1>
          <xm:sqref>WBV458757:WBV458780</xm:sqref>
        </x14:dataValidation>
        <x14:dataValidation type="list" allowBlank="1" showInputMessage="1" showErrorMessage="1" xr:uid="{00000000-0002-0000-0300-0000E4150000}">
          <x14:formula1>
            <xm:f>項目!A4:$WLI$458754</xm:f>
          </x14:formula1>
          <xm:sqref>WLR458757:WLR458780</xm:sqref>
        </x14:dataValidation>
        <x14:dataValidation type="list" allowBlank="1" showInputMessage="1" showErrorMessage="1" xr:uid="{00000000-0002-0000-0300-0000E5150000}">
          <x14:formula1>
            <xm:f>項目!A4:$WVE$458754</xm:f>
          </x14:formula1>
          <xm:sqref>WVN458757:WVN458780</xm:sqref>
        </x14:dataValidation>
        <x14:dataValidation type="list" allowBlank="1" showInputMessage="1" showErrorMessage="1" xr:uid="{00000000-0002-0000-0300-0000E6150000}">
          <x14:formula1>
            <xm:f>項目!A4:$IS$524290</xm:f>
          </x14:formula1>
          <xm:sqref>JB524293:JB524316</xm:sqref>
        </x14:dataValidation>
        <x14:dataValidation type="list" allowBlank="1" showInputMessage="1" showErrorMessage="1" xr:uid="{00000000-0002-0000-0300-0000E7150000}">
          <x14:formula1>
            <xm:f>項目!A4:$SO$524290</xm:f>
          </x14:formula1>
          <xm:sqref>SX524293:SX524316</xm:sqref>
        </x14:dataValidation>
        <x14:dataValidation type="list" allowBlank="1" showInputMessage="1" showErrorMessage="1" xr:uid="{00000000-0002-0000-0300-0000E8150000}">
          <x14:formula1>
            <xm:f>項目!A4:$ACK$524290</xm:f>
          </x14:formula1>
          <xm:sqref>ACT524293:ACT524316</xm:sqref>
        </x14:dataValidation>
        <x14:dataValidation type="list" allowBlank="1" showInputMessage="1" showErrorMessage="1" xr:uid="{00000000-0002-0000-0300-0000E9150000}">
          <x14:formula1>
            <xm:f>項目!A4:$AMG$524290</xm:f>
          </x14:formula1>
          <xm:sqref>AMP524293:AMP524316</xm:sqref>
        </x14:dataValidation>
        <x14:dataValidation type="list" allowBlank="1" showInputMessage="1" showErrorMessage="1" xr:uid="{00000000-0002-0000-0300-0000EA150000}">
          <x14:formula1>
            <xm:f>項目!A4:$AWC$524290</xm:f>
          </x14:formula1>
          <xm:sqref>AWL524293:AWL524316</xm:sqref>
        </x14:dataValidation>
        <x14:dataValidation type="list" allowBlank="1" showInputMessage="1" showErrorMessage="1" xr:uid="{00000000-0002-0000-0300-0000EB150000}">
          <x14:formula1>
            <xm:f>項目!A4:$BFY$524290</xm:f>
          </x14:formula1>
          <xm:sqref>BGH524293:BGH524316</xm:sqref>
        </x14:dataValidation>
        <x14:dataValidation type="list" allowBlank="1" showInputMessage="1" showErrorMessage="1" xr:uid="{00000000-0002-0000-0300-0000EC150000}">
          <x14:formula1>
            <xm:f>項目!A4:$BPU$524290</xm:f>
          </x14:formula1>
          <xm:sqref>BQD524293:BQD524316</xm:sqref>
        </x14:dataValidation>
        <x14:dataValidation type="list" allowBlank="1" showInputMessage="1" showErrorMessage="1" xr:uid="{00000000-0002-0000-0300-0000ED150000}">
          <x14:formula1>
            <xm:f>項目!A4:$BZQ$524290</xm:f>
          </x14:formula1>
          <xm:sqref>BZZ524293:BZZ524316</xm:sqref>
        </x14:dataValidation>
        <x14:dataValidation type="list" allowBlank="1" showInputMessage="1" showErrorMessage="1" xr:uid="{00000000-0002-0000-0300-0000EE150000}">
          <x14:formula1>
            <xm:f>項目!A4:$CJM$524290</xm:f>
          </x14:formula1>
          <xm:sqref>CJV524293:CJV524316</xm:sqref>
        </x14:dataValidation>
        <x14:dataValidation type="list" allowBlank="1" showInputMessage="1" showErrorMessage="1" xr:uid="{00000000-0002-0000-0300-0000EF150000}">
          <x14:formula1>
            <xm:f>項目!A4:$CTI$524290</xm:f>
          </x14:formula1>
          <xm:sqref>CTR524293:CTR524316</xm:sqref>
        </x14:dataValidation>
        <x14:dataValidation type="list" allowBlank="1" showInputMessage="1" showErrorMessage="1" xr:uid="{00000000-0002-0000-0300-0000F0150000}">
          <x14:formula1>
            <xm:f>項目!A4:$DDE$524290</xm:f>
          </x14:formula1>
          <xm:sqref>DDN524293:DDN524316</xm:sqref>
        </x14:dataValidation>
        <x14:dataValidation type="list" allowBlank="1" showInputMessage="1" showErrorMessage="1" xr:uid="{00000000-0002-0000-0300-0000F1150000}">
          <x14:formula1>
            <xm:f>項目!A4:$DNA$524290</xm:f>
          </x14:formula1>
          <xm:sqref>DNJ524293:DNJ524316</xm:sqref>
        </x14:dataValidation>
        <x14:dataValidation type="list" allowBlank="1" showInputMessage="1" showErrorMessage="1" xr:uid="{00000000-0002-0000-0300-0000F2150000}">
          <x14:formula1>
            <xm:f>項目!A4:$DWW$524290</xm:f>
          </x14:formula1>
          <xm:sqref>DXF524293:DXF524316</xm:sqref>
        </x14:dataValidation>
        <x14:dataValidation type="list" allowBlank="1" showInputMessage="1" showErrorMessage="1" xr:uid="{00000000-0002-0000-0300-0000F3150000}">
          <x14:formula1>
            <xm:f>項目!A4:$EGS$524290</xm:f>
          </x14:formula1>
          <xm:sqref>EHB524293:EHB524316</xm:sqref>
        </x14:dataValidation>
        <x14:dataValidation type="list" allowBlank="1" showInputMessage="1" showErrorMessage="1" xr:uid="{00000000-0002-0000-0300-0000F4150000}">
          <x14:formula1>
            <xm:f>項目!A4:$EQO$524290</xm:f>
          </x14:formula1>
          <xm:sqref>EQX524293:EQX524316</xm:sqref>
        </x14:dataValidation>
        <x14:dataValidation type="list" allowBlank="1" showInputMessage="1" showErrorMessage="1" xr:uid="{00000000-0002-0000-0300-0000F5150000}">
          <x14:formula1>
            <xm:f>項目!A4:$FAK$524290</xm:f>
          </x14:formula1>
          <xm:sqref>FAT524293:FAT524316</xm:sqref>
        </x14:dataValidation>
        <x14:dataValidation type="list" allowBlank="1" showInputMessage="1" showErrorMessage="1" xr:uid="{00000000-0002-0000-0300-0000F6150000}">
          <x14:formula1>
            <xm:f>項目!A4:$FKG$524290</xm:f>
          </x14:formula1>
          <xm:sqref>FKP524293:FKP524316</xm:sqref>
        </x14:dataValidation>
        <x14:dataValidation type="list" allowBlank="1" showInputMessage="1" showErrorMessage="1" xr:uid="{00000000-0002-0000-0300-0000F7150000}">
          <x14:formula1>
            <xm:f>項目!A4:$FUC$524290</xm:f>
          </x14:formula1>
          <xm:sqref>FUL524293:FUL524316</xm:sqref>
        </x14:dataValidation>
        <x14:dataValidation type="list" allowBlank="1" showInputMessage="1" showErrorMessage="1" xr:uid="{00000000-0002-0000-0300-0000F8150000}">
          <x14:formula1>
            <xm:f>項目!A4:$GDY$524290</xm:f>
          </x14:formula1>
          <xm:sqref>GEH524293:GEH524316</xm:sqref>
        </x14:dataValidation>
        <x14:dataValidation type="list" allowBlank="1" showInputMessage="1" showErrorMessage="1" xr:uid="{00000000-0002-0000-0300-0000F9150000}">
          <x14:formula1>
            <xm:f>項目!A4:$GNU$524290</xm:f>
          </x14:formula1>
          <xm:sqref>GOD524293:GOD524316</xm:sqref>
        </x14:dataValidation>
        <x14:dataValidation type="list" allowBlank="1" showInputMessage="1" showErrorMessage="1" xr:uid="{00000000-0002-0000-0300-0000FA150000}">
          <x14:formula1>
            <xm:f>項目!A4:$GXQ$524290</xm:f>
          </x14:formula1>
          <xm:sqref>GXZ524293:GXZ524316</xm:sqref>
        </x14:dataValidation>
        <x14:dataValidation type="list" allowBlank="1" showInputMessage="1" showErrorMessage="1" xr:uid="{00000000-0002-0000-0300-0000FB150000}">
          <x14:formula1>
            <xm:f>項目!A4:$HHM$524290</xm:f>
          </x14:formula1>
          <xm:sqref>HHV524293:HHV524316</xm:sqref>
        </x14:dataValidation>
        <x14:dataValidation type="list" allowBlank="1" showInputMessage="1" showErrorMessage="1" xr:uid="{00000000-0002-0000-0300-0000FC150000}">
          <x14:formula1>
            <xm:f>項目!A4:$HRI$524290</xm:f>
          </x14:formula1>
          <xm:sqref>HRR524293:HRR524316</xm:sqref>
        </x14:dataValidation>
        <x14:dataValidation type="list" allowBlank="1" showInputMessage="1" showErrorMessage="1" xr:uid="{00000000-0002-0000-0300-0000FD150000}">
          <x14:formula1>
            <xm:f>項目!A4:$IBE$524290</xm:f>
          </x14:formula1>
          <xm:sqref>IBN524293:IBN524316</xm:sqref>
        </x14:dataValidation>
        <x14:dataValidation type="list" allowBlank="1" showInputMessage="1" showErrorMessage="1" xr:uid="{00000000-0002-0000-0300-0000FE150000}">
          <x14:formula1>
            <xm:f>項目!A4:$ILA$524290</xm:f>
          </x14:formula1>
          <xm:sqref>ILJ524293:ILJ524316</xm:sqref>
        </x14:dataValidation>
        <x14:dataValidation type="list" allowBlank="1" showInputMessage="1" showErrorMessage="1" xr:uid="{00000000-0002-0000-0300-0000FF150000}">
          <x14:formula1>
            <xm:f>項目!A4:$IUW$524290</xm:f>
          </x14:formula1>
          <xm:sqref>IVF524293:IVF524316</xm:sqref>
        </x14:dataValidation>
        <x14:dataValidation type="list" allowBlank="1" showInputMessage="1" showErrorMessage="1" xr:uid="{00000000-0002-0000-0300-000000160000}">
          <x14:formula1>
            <xm:f>項目!A4:$JES$524290</xm:f>
          </x14:formula1>
          <xm:sqref>JFB524293:JFB524316</xm:sqref>
        </x14:dataValidation>
        <x14:dataValidation type="list" allowBlank="1" showInputMessage="1" showErrorMessage="1" xr:uid="{00000000-0002-0000-0300-000001160000}">
          <x14:formula1>
            <xm:f>項目!A4:$JOO$524290</xm:f>
          </x14:formula1>
          <xm:sqref>JOX524293:JOX524316</xm:sqref>
        </x14:dataValidation>
        <x14:dataValidation type="list" allowBlank="1" showInputMessage="1" showErrorMessage="1" xr:uid="{00000000-0002-0000-0300-000002160000}">
          <x14:formula1>
            <xm:f>項目!A4:$JYK$524290</xm:f>
          </x14:formula1>
          <xm:sqref>JYT524293:JYT524316</xm:sqref>
        </x14:dataValidation>
        <x14:dataValidation type="list" allowBlank="1" showInputMessage="1" showErrorMessage="1" xr:uid="{00000000-0002-0000-0300-000003160000}">
          <x14:formula1>
            <xm:f>項目!A4:$KIG$524290</xm:f>
          </x14:formula1>
          <xm:sqref>KIP524293:KIP524316</xm:sqref>
        </x14:dataValidation>
        <x14:dataValidation type="list" allowBlank="1" showInputMessage="1" showErrorMessage="1" xr:uid="{00000000-0002-0000-0300-000004160000}">
          <x14:formula1>
            <xm:f>項目!A4:$KSC$524290</xm:f>
          </x14:formula1>
          <xm:sqref>KSL524293:KSL524316</xm:sqref>
        </x14:dataValidation>
        <x14:dataValidation type="list" allowBlank="1" showInputMessage="1" showErrorMessage="1" xr:uid="{00000000-0002-0000-0300-000005160000}">
          <x14:formula1>
            <xm:f>項目!A4:$LBY$524290</xm:f>
          </x14:formula1>
          <xm:sqref>LCH524293:LCH524316</xm:sqref>
        </x14:dataValidation>
        <x14:dataValidation type="list" allowBlank="1" showInputMessage="1" showErrorMessage="1" xr:uid="{00000000-0002-0000-0300-000006160000}">
          <x14:formula1>
            <xm:f>項目!A4:$LLU$524290</xm:f>
          </x14:formula1>
          <xm:sqref>LMD524293:LMD524316</xm:sqref>
        </x14:dataValidation>
        <x14:dataValidation type="list" allowBlank="1" showInputMessage="1" showErrorMessage="1" xr:uid="{00000000-0002-0000-0300-000007160000}">
          <x14:formula1>
            <xm:f>項目!A4:$LVQ$524290</xm:f>
          </x14:formula1>
          <xm:sqref>LVZ524293:LVZ524316</xm:sqref>
        </x14:dataValidation>
        <x14:dataValidation type="list" allowBlank="1" showInputMessage="1" showErrorMessage="1" xr:uid="{00000000-0002-0000-0300-000008160000}">
          <x14:formula1>
            <xm:f>項目!A4:$MFM$524290</xm:f>
          </x14:formula1>
          <xm:sqref>MFV524293:MFV524316</xm:sqref>
        </x14:dataValidation>
        <x14:dataValidation type="list" allowBlank="1" showInputMessage="1" showErrorMessage="1" xr:uid="{00000000-0002-0000-0300-000009160000}">
          <x14:formula1>
            <xm:f>項目!A4:$MPI$524290</xm:f>
          </x14:formula1>
          <xm:sqref>MPR524293:MPR524316</xm:sqref>
        </x14:dataValidation>
        <x14:dataValidation type="list" allowBlank="1" showInputMessage="1" showErrorMessage="1" xr:uid="{00000000-0002-0000-0300-00000A160000}">
          <x14:formula1>
            <xm:f>項目!A4:$MZE$524290</xm:f>
          </x14:formula1>
          <xm:sqref>MZN524293:MZN524316</xm:sqref>
        </x14:dataValidation>
        <x14:dataValidation type="list" allowBlank="1" showInputMessage="1" showErrorMessage="1" xr:uid="{00000000-0002-0000-0300-00000B160000}">
          <x14:formula1>
            <xm:f>項目!A4:$NJA$524290</xm:f>
          </x14:formula1>
          <xm:sqref>NJJ524293:NJJ524316</xm:sqref>
        </x14:dataValidation>
        <x14:dataValidation type="list" allowBlank="1" showInputMessage="1" showErrorMessage="1" xr:uid="{00000000-0002-0000-0300-00000C160000}">
          <x14:formula1>
            <xm:f>項目!A4:$NSW$524290</xm:f>
          </x14:formula1>
          <xm:sqref>NTF524293:NTF524316</xm:sqref>
        </x14:dataValidation>
        <x14:dataValidation type="list" allowBlank="1" showInputMessage="1" showErrorMessage="1" xr:uid="{00000000-0002-0000-0300-00000D160000}">
          <x14:formula1>
            <xm:f>項目!A4:$OCS$524290</xm:f>
          </x14:formula1>
          <xm:sqref>ODB524293:ODB524316</xm:sqref>
        </x14:dataValidation>
        <x14:dataValidation type="list" allowBlank="1" showInputMessage="1" showErrorMessage="1" xr:uid="{00000000-0002-0000-0300-00000E160000}">
          <x14:formula1>
            <xm:f>項目!A4:$OMO$524290</xm:f>
          </x14:formula1>
          <xm:sqref>OMX524293:OMX524316</xm:sqref>
        </x14:dataValidation>
        <x14:dataValidation type="list" allowBlank="1" showInputMessage="1" showErrorMessage="1" xr:uid="{00000000-0002-0000-0300-00000F160000}">
          <x14:formula1>
            <xm:f>項目!A4:$OWK$524290</xm:f>
          </x14:formula1>
          <xm:sqref>OWT524293:OWT524316</xm:sqref>
        </x14:dataValidation>
        <x14:dataValidation type="list" allowBlank="1" showInputMessage="1" showErrorMessage="1" xr:uid="{00000000-0002-0000-0300-000010160000}">
          <x14:formula1>
            <xm:f>項目!A4:$PGG$524290</xm:f>
          </x14:formula1>
          <xm:sqref>PGP524293:PGP524316</xm:sqref>
        </x14:dataValidation>
        <x14:dataValidation type="list" allowBlank="1" showInputMessage="1" showErrorMessage="1" xr:uid="{00000000-0002-0000-0300-000011160000}">
          <x14:formula1>
            <xm:f>項目!A4:$PQC$524290</xm:f>
          </x14:formula1>
          <xm:sqref>PQL524293:PQL524316</xm:sqref>
        </x14:dataValidation>
        <x14:dataValidation type="list" allowBlank="1" showInputMessage="1" showErrorMessage="1" xr:uid="{00000000-0002-0000-0300-000012160000}">
          <x14:formula1>
            <xm:f>項目!A4:$PZY$524290</xm:f>
          </x14:formula1>
          <xm:sqref>QAH524293:QAH524316</xm:sqref>
        </x14:dataValidation>
        <x14:dataValidation type="list" allowBlank="1" showInputMessage="1" showErrorMessage="1" xr:uid="{00000000-0002-0000-0300-000013160000}">
          <x14:formula1>
            <xm:f>項目!A4:$QJU$524290</xm:f>
          </x14:formula1>
          <xm:sqref>QKD524293:QKD524316</xm:sqref>
        </x14:dataValidation>
        <x14:dataValidation type="list" allowBlank="1" showInputMessage="1" showErrorMessage="1" xr:uid="{00000000-0002-0000-0300-000014160000}">
          <x14:formula1>
            <xm:f>項目!A4:$QTQ$524290</xm:f>
          </x14:formula1>
          <xm:sqref>QTZ524293:QTZ524316</xm:sqref>
        </x14:dataValidation>
        <x14:dataValidation type="list" allowBlank="1" showInputMessage="1" showErrorMessage="1" xr:uid="{00000000-0002-0000-0300-000015160000}">
          <x14:formula1>
            <xm:f>項目!A4:$RDM$524290</xm:f>
          </x14:formula1>
          <xm:sqref>RDV524293:RDV524316</xm:sqref>
        </x14:dataValidation>
        <x14:dataValidation type="list" allowBlank="1" showInputMessage="1" showErrorMessage="1" xr:uid="{00000000-0002-0000-0300-000016160000}">
          <x14:formula1>
            <xm:f>項目!A4:$RNI$524290</xm:f>
          </x14:formula1>
          <xm:sqref>RNR524293:RNR524316</xm:sqref>
        </x14:dataValidation>
        <x14:dataValidation type="list" allowBlank="1" showInputMessage="1" showErrorMessage="1" xr:uid="{00000000-0002-0000-0300-000017160000}">
          <x14:formula1>
            <xm:f>項目!A4:$RXE$524290</xm:f>
          </x14:formula1>
          <xm:sqref>RXN524293:RXN524316</xm:sqref>
        </x14:dataValidation>
        <x14:dataValidation type="list" allowBlank="1" showInputMessage="1" showErrorMessage="1" xr:uid="{00000000-0002-0000-0300-000018160000}">
          <x14:formula1>
            <xm:f>項目!A4:$SHA$524290</xm:f>
          </x14:formula1>
          <xm:sqref>SHJ524293:SHJ524316</xm:sqref>
        </x14:dataValidation>
        <x14:dataValidation type="list" allowBlank="1" showInputMessage="1" showErrorMessage="1" xr:uid="{00000000-0002-0000-0300-000019160000}">
          <x14:formula1>
            <xm:f>項目!A4:$SQW$524290</xm:f>
          </x14:formula1>
          <xm:sqref>SRF524293:SRF524316</xm:sqref>
        </x14:dataValidation>
        <x14:dataValidation type="list" allowBlank="1" showInputMessage="1" showErrorMessage="1" xr:uid="{00000000-0002-0000-0300-00001A160000}">
          <x14:formula1>
            <xm:f>項目!A4:$TAS$524290</xm:f>
          </x14:formula1>
          <xm:sqref>TBB524293:TBB524316</xm:sqref>
        </x14:dataValidation>
        <x14:dataValidation type="list" allowBlank="1" showInputMessage="1" showErrorMessage="1" xr:uid="{00000000-0002-0000-0300-00001B160000}">
          <x14:formula1>
            <xm:f>項目!A4:$TKO$524290</xm:f>
          </x14:formula1>
          <xm:sqref>TKX524293:TKX524316</xm:sqref>
        </x14:dataValidation>
        <x14:dataValidation type="list" allowBlank="1" showInputMessage="1" showErrorMessage="1" xr:uid="{00000000-0002-0000-0300-00001C160000}">
          <x14:formula1>
            <xm:f>項目!A4:$TUK$524290</xm:f>
          </x14:formula1>
          <xm:sqref>TUT524293:TUT524316</xm:sqref>
        </x14:dataValidation>
        <x14:dataValidation type="list" allowBlank="1" showInputMessage="1" showErrorMessage="1" xr:uid="{00000000-0002-0000-0300-00001D160000}">
          <x14:formula1>
            <xm:f>項目!A4:$UEG$524290</xm:f>
          </x14:formula1>
          <xm:sqref>UEP524293:UEP524316</xm:sqref>
        </x14:dataValidation>
        <x14:dataValidation type="list" allowBlank="1" showInputMessage="1" showErrorMessage="1" xr:uid="{00000000-0002-0000-0300-00001E160000}">
          <x14:formula1>
            <xm:f>項目!A4:$UOC$524290</xm:f>
          </x14:formula1>
          <xm:sqref>UOL524293:UOL524316</xm:sqref>
        </x14:dataValidation>
        <x14:dataValidation type="list" allowBlank="1" showInputMessage="1" showErrorMessage="1" xr:uid="{00000000-0002-0000-0300-00001F160000}">
          <x14:formula1>
            <xm:f>項目!A4:$UXY$524290</xm:f>
          </x14:formula1>
          <xm:sqref>UYH524293:UYH524316</xm:sqref>
        </x14:dataValidation>
        <x14:dataValidation type="list" allowBlank="1" showInputMessage="1" showErrorMessage="1" xr:uid="{00000000-0002-0000-0300-000020160000}">
          <x14:formula1>
            <xm:f>項目!A4:$VHU$524290</xm:f>
          </x14:formula1>
          <xm:sqref>VID524293:VID524316</xm:sqref>
        </x14:dataValidation>
        <x14:dataValidation type="list" allowBlank="1" showInputMessage="1" showErrorMessage="1" xr:uid="{00000000-0002-0000-0300-000021160000}">
          <x14:formula1>
            <xm:f>項目!A4:$VRQ$524290</xm:f>
          </x14:formula1>
          <xm:sqref>VRZ524293:VRZ524316</xm:sqref>
        </x14:dataValidation>
        <x14:dataValidation type="list" allowBlank="1" showInputMessage="1" showErrorMessage="1" xr:uid="{00000000-0002-0000-0300-000022160000}">
          <x14:formula1>
            <xm:f>項目!A4:$WBM$524290</xm:f>
          </x14:formula1>
          <xm:sqref>WBV524293:WBV524316</xm:sqref>
        </x14:dataValidation>
        <x14:dataValidation type="list" allowBlank="1" showInputMessage="1" showErrorMessage="1" xr:uid="{00000000-0002-0000-0300-000023160000}">
          <x14:formula1>
            <xm:f>項目!A4:$WLI$524290</xm:f>
          </x14:formula1>
          <xm:sqref>WLR524293:WLR524316</xm:sqref>
        </x14:dataValidation>
        <x14:dataValidation type="list" allowBlank="1" showInputMessage="1" showErrorMessage="1" xr:uid="{00000000-0002-0000-0300-000024160000}">
          <x14:formula1>
            <xm:f>項目!A4:$WVE$524290</xm:f>
          </x14:formula1>
          <xm:sqref>WVN524293:WVN524316</xm:sqref>
        </x14:dataValidation>
        <x14:dataValidation type="list" allowBlank="1" showInputMessage="1" showErrorMessage="1" xr:uid="{00000000-0002-0000-0300-000025160000}">
          <x14:formula1>
            <xm:f>項目!A4:$IS$589826</xm:f>
          </x14:formula1>
          <xm:sqref>JB589829:JB589852</xm:sqref>
        </x14:dataValidation>
        <x14:dataValidation type="list" allowBlank="1" showInputMessage="1" showErrorMessage="1" xr:uid="{00000000-0002-0000-0300-000026160000}">
          <x14:formula1>
            <xm:f>項目!A4:$SO$589826</xm:f>
          </x14:formula1>
          <xm:sqref>SX589829:SX589852</xm:sqref>
        </x14:dataValidation>
        <x14:dataValidation type="list" allowBlank="1" showInputMessage="1" showErrorMessage="1" xr:uid="{00000000-0002-0000-0300-000027160000}">
          <x14:formula1>
            <xm:f>項目!A4:$ACK$589826</xm:f>
          </x14:formula1>
          <xm:sqref>ACT589829:ACT589852</xm:sqref>
        </x14:dataValidation>
        <x14:dataValidation type="list" allowBlank="1" showInputMessage="1" showErrorMessage="1" xr:uid="{00000000-0002-0000-0300-000028160000}">
          <x14:formula1>
            <xm:f>項目!A4:$AMG$589826</xm:f>
          </x14:formula1>
          <xm:sqref>AMP589829:AMP589852</xm:sqref>
        </x14:dataValidation>
        <x14:dataValidation type="list" allowBlank="1" showInputMessage="1" showErrorMessage="1" xr:uid="{00000000-0002-0000-0300-000029160000}">
          <x14:formula1>
            <xm:f>項目!A4:$AWC$589826</xm:f>
          </x14:formula1>
          <xm:sqref>AWL589829:AWL589852</xm:sqref>
        </x14:dataValidation>
        <x14:dataValidation type="list" allowBlank="1" showInputMessage="1" showErrorMessage="1" xr:uid="{00000000-0002-0000-0300-00002A160000}">
          <x14:formula1>
            <xm:f>項目!A4:$BFY$589826</xm:f>
          </x14:formula1>
          <xm:sqref>BGH589829:BGH589852</xm:sqref>
        </x14:dataValidation>
        <x14:dataValidation type="list" allowBlank="1" showInputMessage="1" showErrorMessage="1" xr:uid="{00000000-0002-0000-0300-00002B160000}">
          <x14:formula1>
            <xm:f>項目!A4:$BPU$589826</xm:f>
          </x14:formula1>
          <xm:sqref>BQD589829:BQD589852</xm:sqref>
        </x14:dataValidation>
        <x14:dataValidation type="list" allowBlank="1" showInputMessage="1" showErrorMessage="1" xr:uid="{00000000-0002-0000-0300-00002C160000}">
          <x14:formula1>
            <xm:f>項目!A4:$BZQ$589826</xm:f>
          </x14:formula1>
          <xm:sqref>BZZ589829:BZZ589852</xm:sqref>
        </x14:dataValidation>
        <x14:dataValidation type="list" allowBlank="1" showInputMessage="1" showErrorMessage="1" xr:uid="{00000000-0002-0000-0300-00002D160000}">
          <x14:formula1>
            <xm:f>項目!A4:$CJM$589826</xm:f>
          </x14:formula1>
          <xm:sqref>CJV589829:CJV589852</xm:sqref>
        </x14:dataValidation>
        <x14:dataValidation type="list" allowBlank="1" showInputMessage="1" showErrorMessage="1" xr:uid="{00000000-0002-0000-0300-00002E160000}">
          <x14:formula1>
            <xm:f>項目!A4:$CTI$589826</xm:f>
          </x14:formula1>
          <xm:sqref>CTR589829:CTR589852</xm:sqref>
        </x14:dataValidation>
        <x14:dataValidation type="list" allowBlank="1" showInputMessage="1" showErrorMessage="1" xr:uid="{00000000-0002-0000-0300-00002F160000}">
          <x14:formula1>
            <xm:f>項目!A4:$DDE$589826</xm:f>
          </x14:formula1>
          <xm:sqref>DDN589829:DDN589852</xm:sqref>
        </x14:dataValidation>
        <x14:dataValidation type="list" allowBlank="1" showInputMessage="1" showErrorMessage="1" xr:uid="{00000000-0002-0000-0300-000030160000}">
          <x14:formula1>
            <xm:f>項目!A4:$DNA$589826</xm:f>
          </x14:formula1>
          <xm:sqref>DNJ589829:DNJ589852</xm:sqref>
        </x14:dataValidation>
        <x14:dataValidation type="list" allowBlank="1" showInputMessage="1" showErrorMessage="1" xr:uid="{00000000-0002-0000-0300-000031160000}">
          <x14:formula1>
            <xm:f>項目!A4:$DWW$589826</xm:f>
          </x14:formula1>
          <xm:sqref>DXF589829:DXF589852</xm:sqref>
        </x14:dataValidation>
        <x14:dataValidation type="list" allowBlank="1" showInputMessage="1" showErrorMessage="1" xr:uid="{00000000-0002-0000-0300-000032160000}">
          <x14:formula1>
            <xm:f>項目!A4:$EGS$589826</xm:f>
          </x14:formula1>
          <xm:sqref>EHB589829:EHB589852</xm:sqref>
        </x14:dataValidation>
        <x14:dataValidation type="list" allowBlank="1" showInputMessage="1" showErrorMessage="1" xr:uid="{00000000-0002-0000-0300-000033160000}">
          <x14:formula1>
            <xm:f>項目!A4:$EQO$589826</xm:f>
          </x14:formula1>
          <xm:sqref>EQX589829:EQX589852</xm:sqref>
        </x14:dataValidation>
        <x14:dataValidation type="list" allowBlank="1" showInputMessage="1" showErrorMessage="1" xr:uid="{00000000-0002-0000-0300-000034160000}">
          <x14:formula1>
            <xm:f>項目!A4:$FAK$589826</xm:f>
          </x14:formula1>
          <xm:sqref>FAT589829:FAT589852</xm:sqref>
        </x14:dataValidation>
        <x14:dataValidation type="list" allowBlank="1" showInputMessage="1" showErrorMessage="1" xr:uid="{00000000-0002-0000-0300-000035160000}">
          <x14:formula1>
            <xm:f>項目!A4:$FKG$589826</xm:f>
          </x14:formula1>
          <xm:sqref>FKP589829:FKP589852</xm:sqref>
        </x14:dataValidation>
        <x14:dataValidation type="list" allowBlank="1" showInputMessage="1" showErrorMessage="1" xr:uid="{00000000-0002-0000-0300-000036160000}">
          <x14:formula1>
            <xm:f>項目!A4:$FUC$589826</xm:f>
          </x14:formula1>
          <xm:sqref>FUL589829:FUL589852</xm:sqref>
        </x14:dataValidation>
        <x14:dataValidation type="list" allowBlank="1" showInputMessage="1" showErrorMessage="1" xr:uid="{00000000-0002-0000-0300-000037160000}">
          <x14:formula1>
            <xm:f>項目!A4:$GDY$589826</xm:f>
          </x14:formula1>
          <xm:sqref>GEH589829:GEH589852</xm:sqref>
        </x14:dataValidation>
        <x14:dataValidation type="list" allowBlank="1" showInputMessage="1" showErrorMessage="1" xr:uid="{00000000-0002-0000-0300-000038160000}">
          <x14:formula1>
            <xm:f>項目!A4:$GNU$589826</xm:f>
          </x14:formula1>
          <xm:sqref>GOD589829:GOD589852</xm:sqref>
        </x14:dataValidation>
        <x14:dataValidation type="list" allowBlank="1" showInputMessage="1" showErrorMessage="1" xr:uid="{00000000-0002-0000-0300-000039160000}">
          <x14:formula1>
            <xm:f>項目!A4:$GXQ$589826</xm:f>
          </x14:formula1>
          <xm:sqref>GXZ589829:GXZ589852</xm:sqref>
        </x14:dataValidation>
        <x14:dataValidation type="list" allowBlank="1" showInputMessage="1" showErrorMessage="1" xr:uid="{00000000-0002-0000-0300-00003A160000}">
          <x14:formula1>
            <xm:f>項目!A4:$HHM$589826</xm:f>
          </x14:formula1>
          <xm:sqref>HHV589829:HHV589852</xm:sqref>
        </x14:dataValidation>
        <x14:dataValidation type="list" allowBlank="1" showInputMessage="1" showErrorMessage="1" xr:uid="{00000000-0002-0000-0300-00003B160000}">
          <x14:formula1>
            <xm:f>項目!A4:$HRI$589826</xm:f>
          </x14:formula1>
          <xm:sqref>HRR589829:HRR589852</xm:sqref>
        </x14:dataValidation>
        <x14:dataValidation type="list" allowBlank="1" showInputMessage="1" showErrorMessage="1" xr:uid="{00000000-0002-0000-0300-00003C160000}">
          <x14:formula1>
            <xm:f>項目!A4:$IBE$589826</xm:f>
          </x14:formula1>
          <xm:sqref>IBN589829:IBN589852</xm:sqref>
        </x14:dataValidation>
        <x14:dataValidation type="list" allowBlank="1" showInputMessage="1" showErrorMessage="1" xr:uid="{00000000-0002-0000-0300-00003D160000}">
          <x14:formula1>
            <xm:f>項目!A4:$ILA$589826</xm:f>
          </x14:formula1>
          <xm:sqref>ILJ589829:ILJ589852</xm:sqref>
        </x14:dataValidation>
        <x14:dataValidation type="list" allowBlank="1" showInputMessage="1" showErrorMessage="1" xr:uid="{00000000-0002-0000-0300-00003E160000}">
          <x14:formula1>
            <xm:f>項目!A4:$IUW$589826</xm:f>
          </x14:formula1>
          <xm:sqref>IVF589829:IVF589852</xm:sqref>
        </x14:dataValidation>
        <x14:dataValidation type="list" allowBlank="1" showInputMessage="1" showErrorMessage="1" xr:uid="{00000000-0002-0000-0300-00003F160000}">
          <x14:formula1>
            <xm:f>項目!A4:$JES$589826</xm:f>
          </x14:formula1>
          <xm:sqref>JFB589829:JFB589852</xm:sqref>
        </x14:dataValidation>
        <x14:dataValidation type="list" allowBlank="1" showInputMessage="1" showErrorMessage="1" xr:uid="{00000000-0002-0000-0300-000040160000}">
          <x14:formula1>
            <xm:f>項目!A4:$JOO$589826</xm:f>
          </x14:formula1>
          <xm:sqref>JOX589829:JOX589852</xm:sqref>
        </x14:dataValidation>
        <x14:dataValidation type="list" allowBlank="1" showInputMessage="1" showErrorMessage="1" xr:uid="{00000000-0002-0000-0300-000041160000}">
          <x14:formula1>
            <xm:f>項目!A4:$JYK$589826</xm:f>
          </x14:formula1>
          <xm:sqref>JYT589829:JYT589852</xm:sqref>
        </x14:dataValidation>
        <x14:dataValidation type="list" allowBlank="1" showInputMessage="1" showErrorMessage="1" xr:uid="{00000000-0002-0000-0300-000042160000}">
          <x14:formula1>
            <xm:f>項目!A4:$KIG$589826</xm:f>
          </x14:formula1>
          <xm:sqref>KIP589829:KIP589852</xm:sqref>
        </x14:dataValidation>
        <x14:dataValidation type="list" allowBlank="1" showInputMessage="1" showErrorMessage="1" xr:uid="{00000000-0002-0000-0300-000043160000}">
          <x14:formula1>
            <xm:f>項目!A4:$KSC$589826</xm:f>
          </x14:formula1>
          <xm:sqref>KSL589829:KSL589852</xm:sqref>
        </x14:dataValidation>
        <x14:dataValidation type="list" allowBlank="1" showInputMessage="1" showErrorMessage="1" xr:uid="{00000000-0002-0000-0300-000044160000}">
          <x14:formula1>
            <xm:f>項目!A4:$LBY$589826</xm:f>
          </x14:formula1>
          <xm:sqref>LCH589829:LCH589852</xm:sqref>
        </x14:dataValidation>
        <x14:dataValidation type="list" allowBlank="1" showInputMessage="1" showErrorMessage="1" xr:uid="{00000000-0002-0000-0300-000045160000}">
          <x14:formula1>
            <xm:f>項目!A4:$LLU$589826</xm:f>
          </x14:formula1>
          <xm:sqref>LMD589829:LMD589852</xm:sqref>
        </x14:dataValidation>
        <x14:dataValidation type="list" allowBlank="1" showInputMessage="1" showErrorMessage="1" xr:uid="{00000000-0002-0000-0300-000046160000}">
          <x14:formula1>
            <xm:f>項目!A4:$LVQ$589826</xm:f>
          </x14:formula1>
          <xm:sqref>LVZ589829:LVZ589852</xm:sqref>
        </x14:dataValidation>
        <x14:dataValidation type="list" allowBlank="1" showInputMessage="1" showErrorMessage="1" xr:uid="{00000000-0002-0000-0300-000047160000}">
          <x14:formula1>
            <xm:f>項目!A4:$MFM$589826</xm:f>
          </x14:formula1>
          <xm:sqref>MFV589829:MFV589852</xm:sqref>
        </x14:dataValidation>
        <x14:dataValidation type="list" allowBlank="1" showInputMessage="1" showErrorMessage="1" xr:uid="{00000000-0002-0000-0300-000048160000}">
          <x14:formula1>
            <xm:f>項目!A4:$MPI$589826</xm:f>
          </x14:formula1>
          <xm:sqref>MPR589829:MPR589852</xm:sqref>
        </x14:dataValidation>
        <x14:dataValidation type="list" allowBlank="1" showInputMessage="1" showErrorMessage="1" xr:uid="{00000000-0002-0000-0300-000049160000}">
          <x14:formula1>
            <xm:f>項目!A4:$MZE$589826</xm:f>
          </x14:formula1>
          <xm:sqref>MZN589829:MZN589852</xm:sqref>
        </x14:dataValidation>
        <x14:dataValidation type="list" allowBlank="1" showInputMessage="1" showErrorMessage="1" xr:uid="{00000000-0002-0000-0300-00004A160000}">
          <x14:formula1>
            <xm:f>項目!A4:$NJA$589826</xm:f>
          </x14:formula1>
          <xm:sqref>NJJ589829:NJJ589852</xm:sqref>
        </x14:dataValidation>
        <x14:dataValidation type="list" allowBlank="1" showInputMessage="1" showErrorMessage="1" xr:uid="{00000000-0002-0000-0300-00004B160000}">
          <x14:formula1>
            <xm:f>項目!A4:$NSW$589826</xm:f>
          </x14:formula1>
          <xm:sqref>NTF589829:NTF589852</xm:sqref>
        </x14:dataValidation>
        <x14:dataValidation type="list" allowBlank="1" showInputMessage="1" showErrorMessage="1" xr:uid="{00000000-0002-0000-0300-00004C160000}">
          <x14:formula1>
            <xm:f>項目!A4:$OCS$589826</xm:f>
          </x14:formula1>
          <xm:sqref>ODB589829:ODB589852</xm:sqref>
        </x14:dataValidation>
        <x14:dataValidation type="list" allowBlank="1" showInputMessage="1" showErrorMessage="1" xr:uid="{00000000-0002-0000-0300-00004D160000}">
          <x14:formula1>
            <xm:f>項目!A4:$OMO$589826</xm:f>
          </x14:formula1>
          <xm:sqref>OMX589829:OMX589852</xm:sqref>
        </x14:dataValidation>
        <x14:dataValidation type="list" allowBlank="1" showInputMessage="1" showErrorMessage="1" xr:uid="{00000000-0002-0000-0300-00004E160000}">
          <x14:formula1>
            <xm:f>項目!A4:$OWK$589826</xm:f>
          </x14:formula1>
          <xm:sqref>OWT589829:OWT589852</xm:sqref>
        </x14:dataValidation>
        <x14:dataValidation type="list" allowBlank="1" showInputMessage="1" showErrorMessage="1" xr:uid="{00000000-0002-0000-0300-00004F160000}">
          <x14:formula1>
            <xm:f>項目!A4:$PGG$589826</xm:f>
          </x14:formula1>
          <xm:sqref>PGP589829:PGP589852</xm:sqref>
        </x14:dataValidation>
        <x14:dataValidation type="list" allowBlank="1" showInputMessage="1" showErrorMessage="1" xr:uid="{00000000-0002-0000-0300-000050160000}">
          <x14:formula1>
            <xm:f>項目!A4:$PQC$589826</xm:f>
          </x14:formula1>
          <xm:sqref>PQL589829:PQL589852</xm:sqref>
        </x14:dataValidation>
        <x14:dataValidation type="list" allowBlank="1" showInputMessage="1" showErrorMessage="1" xr:uid="{00000000-0002-0000-0300-000051160000}">
          <x14:formula1>
            <xm:f>項目!A4:$PZY$589826</xm:f>
          </x14:formula1>
          <xm:sqref>QAH589829:QAH589852</xm:sqref>
        </x14:dataValidation>
        <x14:dataValidation type="list" allowBlank="1" showInputMessage="1" showErrorMessage="1" xr:uid="{00000000-0002-0000-0300-000052160000}">
          <x14:formula1>
            <xm:f>項目!A4:$QJU$589826</xm:f>
          </x14:formula1>
          <xm:sqref>QKD589829:QKD589852</xm:sqref>
        </x14:dataValidation>
        <x14:dataValidation type="list" allowBlank="1" showInputMessage="1" showErrorMessage="1" xr:uid="{00000000-0002-0000-0300-000053160000}">
          <x14:formula1>
            <xm:f>項目!A4:$QTQ$589826</xm:f>
          </x14:formula1>
          <xm:sqref>QTZ589829:QTZ589852</xm:sqref>
        </x14:dataValidation>
        <x14:dataValidation type="list" allowBlank="1" showInputMessage="1" showErrorMessage="1" xr:uid="{00000000-0002-0000-0300-000054160000}">
          <x14:formula1>
            <xm:f>項目!A4:$RDM$589826</xm:f>
          </x14:formula1>
          <xm:sqref>RDV589829:RDV589852</xm:sqref>
        </x14:dataValidation>
        <x14:dataValidation type="list" allowBlank="1" showInputMessage="1" showErrorMessage="1" xr:uid="{00000000-0002-0000-0300-000055160000}">
          <x14:formula1>
            <xm:f>項目!A4:$RNI$589826</xm:f>
          </x14:formula1>
          <xm:sqref>RNR589829:RNR589852</xm:sqref>
        </x14:dataValidation>
        <x14:dataValidation type="list" allowBlank="1" showInputMessage="1" showErrorMessage="1" xr:uid="{00000000-0002-0000-0300-000056160000}">
          <x14:formula1>
            <xm:f>項目!A4:$RXE$589826</xm:f>
          </x14:formula1>
          <xm:sqref>RXN589829:RXN589852</xm:sqref>
        </x14:dataValidation>
        <x14:dataValidation type="list" allowBlank="1" showInputMessage="1" showErrorMessage="1" xr:uid="{00000000-0002-0000-0300-000057160000}">
          <x14:formula1>
            <xm:f>項目!A4:$SHA$589826</xm:f>
          </x14:formula1>
          <xm:sqref>SHJ589829:SHJ589852</xm:sqref>
        </x14:dataValidation>
        <x14:dataValidation type="list" allowBlank="1" showInputMessage="1" showErrorMessage="1" xr:uid="{00000000-0002-0000-0300-000058160000}">
          <x14:formula1>
            <xm:f>項目!A4:$SQW$589826</xm:f>
          </x14:formula1>
          <xm:sqref>SRF589829:SRF589852</xm:sqref>
        </x14:dataValidation>
        <x14:dataValidation type="list" allowBlank="1" showInputMessage="1" showErrorMessage="1" xr:uid="{00000000-0002-0000-0300-000059160000}">
          <x14:formula1>
            <xm:f>項目!A4:$TAS$589826</xm:f>
          </x14:formula1>
          <xm:sqref>TBB589829:TBB589852</xm:sqref>
        </x14:dataValidation>
        <x14:dataValidation type="list" allowBlank="1" showInputMessage="1" showErrorMessage="1" xr:uid="{00000000-0002-0000-0300-00005A160000}">
          <x14:formula1>
            <xm:f>項目!A4:$TKO$589826</xm:f>
          </x14:formula1>
          <xm:sqref>TKX589829:TKX589852</xm:sqref>
        </x14:dataValidation>
        <x14:dataValidation type="list" allowBlank="1" showInputMessage="1" showErrorMessage="1" xr:uid="{00000000-0002-0000-0300-00005B160000}">
          <x14:formula1>
            <xm:f>項目!A4:$TUK$589826</xm:f>
          </x14:formula1>
          <xm:sqref>TUT589829:TUT589852</xm:sqref>
        </x14:dataValidation>
        <x14:dataValidation type="list" allowBlank="1" showInputMessage="1" showErrorMessage="1" xr:uid="{00000000-0002-0000-0300-00005C160000}">
          <x14:formula1>
            <xm:f>項目!A4:$UEG$589826</xm:f>
          </x14:formula1>
          <xm:sqref>UEP589829:UEP589852</xm:sqref>
        </x14:dataValidation>
        <x14:dataValidation type="list" allowBlank="1" showInputMessage="1" showErrorMessage="1" xr:uid="{00000000-0002-0000-0300-00005D160000}">
          <x14:formula1>
            <xm:f>項目!A4:$UOC$589826</xm:f>
          </x14:formula1>
          <xm:sqref>UOL589829:UOL589852</xm:sqref>
        </x14:dataValidation>
        <x14:dataValidation type="list" allowBlank="1" showInputMessage="1" showErrorMessage="1" xr:uid="{00000000-0002-0000-0300-00005E160000}">
          <x14:formula1>
            <xm:f>項目!A4:$UXY$589826</xm:f>
          </x14:formula1>
          <xm:sqref>UYH589829:UYH589852</xm:sqref>
        </x14:dataValidation>
        <x14:dataValidation type="list" allowBlank="1" showInputMessage="1" showErrorMessage="1" xr:uid="{00000000-0002-0000-0300-00005F160000}">
          <x14:formula1>
            <xm:f>項目!A4:$VHU$589826</xm:f>
          </x14:formula1>
          <xm:sqref>VID589829:VID589852</xm:sqref>
        </x14:dataValidation>
        <x14:dataValidation type="list" allowBlank="1" showInputMessage="1" showErrorMessage="1" xr:uid="{00000000-0002-0000-0300-000060160000}">
          <x14:formula1>
            <xm:f>項目!A4:$VRQ$589826</xm:f>
          </x14:formula1>
          <xm:sqref>VRZ589829:VRZ589852</xm:sqref>
        </x14:dataValidation>
        <x14:dataValidation type="list" allowBlank="1" showInputMessage="1" showErrorMessage="1" xr:uid="{00000000-0002-0000-0300-000061160000}">
          <x14:formula1>
            <xm:f>項目!A4:$WBM$589826</xm:f>
          </x14:formula1>
          <xm:sqref>WBV589829:WBV589852</xm:sqref>
        </x14:dataValidation>
        <x14:dataValidation type="list" allowBlank="1" showInputMessage="1" showErrorMessage="1" xr:uid="{00000000-0002-0000-0300-000062160000}">
          <x14:formula1>
            <xm:f>項目!A4:$WLI$589826</xm:f>
          </x14:formula1>
          <xm:sqref>WLR589829:WLR589852</xm:sqref>
        </x14:dataValidation>
        <x14:dataValidation type="list" allowBlank="1" showInputMessage="1" showErrorMessage="1" xr:uid="{00000000-0002-0000-0300-000063160000}">
          <x14:formula1>
            <xm:f>項目!A4:$WVE$589826</xm:f>
          </x14:formula1>
          <xm:sqref>WVN589829:WVN589852</xm:sqref>
        </x14:dataValidation>
        <x14:dataValidation type="list" allowBlank="1" showInputMessage="1" showErrorMessage="1" xr:uid="{00000000-0002-0000-0300-000064160000}">
          <x14:formula1>
            <xm:f>項目!A4:$IS$655362</xm:f>
          </x14:formula1>
          <xm:sqref>JB655365:JB655388</xm:sqref>
        </x14:dataValidation>
        <x14:dataValidation type="list" allowBlank="1" showInputMessage="1" showErrorMessage="1" xr:uid="{00000000-0002-0000-0300-000065160000}">
          <x14:formula1>
            <xm:f>項目!A4:$SO$655362</xm:f>
          </x14:formula1>
          <xm:sqref>SX655365:SX655388</xm:sqref>
        </x14:dataValidation>
        <x14:dataValidation type="list" allowBlank="1" showInputMessage="1" showErrorMessage="1" xr:uid="{00000000-0002-0000-0300-000066160000}">
          <x14:formula1>
            <xm:f>項目!A4:$ACK$655362</xm:f>
          </x14:formula1>
          <xm:sqref>ACT655365:ACT655388</xm:sqref>
        </x14:dataValidation>
        <x14:dataValidation type="list" allowBlank="1" showInputMessage="1" showErrorMessage="1" xr:uid="{00000000-0002-0000-0300-000067160000}">
          <x14:formula1>
            <xm:f>項目!A4:$AMG$655362</xm:f>
          </x14:formula1>
          <xm:sqref>AMP655365:AMP655388</xm:sqref>
        </x14:dataValidation>
        <x14:dataValidation type="list" allowBlank="1" showInputMessage="1" showErrorMessage="1" xr:uid="{00000000-0002-0000-0300-000068160000}">
          <x14:formula1>
            <xm:f>項目!A4:$AWC$655362</xm:f>
          </x14:formula1>
          <xm:sqref>AWL655365:AWL655388</xm:sqref>
        </x14:dataValidation>
        <x14:dataValidation type="list" allowBlank="1" showInputMessage="1" showErrorMessage="1" xr:uid="{00000000-0002-0000-0300-000069160000}">
          <x14:formula1>
            <xm:f>項目!A4:$BFY$655362</xm:f>
          </x14:formula1>
          <xm:sqref>BGH655365:BGH655388</xm:sqref>
        </x14:dataValidation>
        <x14:dataValidation type="list" allowBlank="1" showInputMessage="1" showErrorMessage="1" xr:uid="{00000000-0002-0000-0300-00006A160000}">
          <x14:formula1>
            <xm:f>項目!A4:$BPU$655362</xm:f>
          </x14:formula1>
          <xm:sqref>BQD655365:BQD655388</xm:sqref>
        </x14:dataValidation>
        <x14:dataValidation type="list" allowBlank="1" showInputMessage="1" showErrorMessage="1" xr:uid="{00000000-0002-0000-0300-00006B160000}">
          <x14:formula1>
            <xm:f>項目!A4:$BZQ$655362</xm:f>
          </x14:formula1>
          <xm:sqref>BZZ655365:BZZ655388</xm:sqref>
        </x14:dataValidation>
        <x14:dataValidation type="list" allowBlank="1" showInputMessage="1" showErrorMessage="1" xr:uid="{00000000-0002-0000-0300-00006C160000}">
          <x14:formula1>
            <xm:f>項目!A4:$CJM$655362</xm:f>
          </x14:formula1>
          <xm:sqref>CJV655365:CJV655388</xm:sqref>
        </x14:dataValidation>
        <x14:dataValidation type="list" allowBlank="1" showInputMessage="1" showErrorMessage="1" xr:uid="{00000000-0002-0000-0300-00006D160000}">
          <x14:formula1>
            <xm:f>項目!A4:$CTI$655362</xm:f>
          </x14:formula1>
          <xm:sqref>CTR655365:CTR655388</xm:sqref>
        </x14:dataValidation>
        <x14:dataValidation type="list" allowBlank="1" showInputMessage="1" showErrorMessage="1" xr:uid="{00000000-0002-0000-0300-00006E160000}">
          <x14:formula1>
            <xm:f>項目!A4:$DDE$655362</xm:f>
          </x14:formula1>
          <xm:sqref>DDN655365:DDN655388</xm:sqref>
        </x14:dataValidation>
        <x14:dataValidation type="list" allowBlank="1" showInputMessage="1" showErrorMessage="1" xr:uid="{00000000-0002-0000-0300-00006F160000}">
          <x14:formula1>
            <xm:f>項目!A4:$DNA$655362</xm:f>
          </x14:formula1>
          <xm:sqref>DNJ655365:DNJ655388</xm:sqref>
        </x14:dataValidation>
        <x14:dataValidation type="list" allowBlank="1" showInputMessage="1" showErrorMessage="1" xr:uid="{00000000-0002-0000-0300-000070160000}">
          <x14:formula1>
            <xm:f>項目!A4:$DWW$655362</xm:f>
          </x14:formula1>
          <xm:sqref>DXF655365:DXF655388</xm:sqref>
        </x14:dataValidation>
        <x14:dataValidation type="list" allowBlank="1" showInputMessage="1" showErrorMessage="1" xr:uid="{00000000-0002-0000-0300-000071160000}">
          <x14:formula1>
            <xm:f>項目!A4:$EGS$655362</xm:f>
          </x14:formula1>
          <xm:sqref>EHB655365:EHB655388</xm:sqref>
        </x14:dataValidation>
        <x14:dataValidation type="list" allowBlank="1" showInputMessage="1" showErrorMessage="1" xr:uid="{00000000-0002-0000-0300-000072160000}">
          <x14:formula1>
            <xm:f>項目!A4:$EQO$655362</xm:f>
          </x14:formula1>
          <xm:sqref>EQX655365:EQX655388</xm:sqref>
        </x14:dataValidation>
        <x14:dataValidation type="list" allowBlank="1" showInputMessage="1" showErrorMessage="1" xr:uid="{00000000-0002-0000-0300-000073160000}">
          <x14:formula1>
            <xm:f>項目!A4:$FAK$655362</xm:f>
          </x14:formula1>
          <xm:sqref>FAT655365:FAT655388</xm:sqref>
        </x14:dataValidation>
        <x14:dataValidation type="list" allowBlank="1" showInputMessage="1" showErrorMessage="1" xr:uid="{00000000-0002-0000-0300-000074160000}">
          <x14:formula1>
            <xm:f>項目!A4:$FKG$655362</xm:f>
          </x14:formula1>
          <xm:sqref>FKP655365:FKP655388</xm:sqref>
        </x14:dataValidation>
        <x14:dataValidation type="list" allowBlank="1" showInputMessage="1" showErrorMessage="1" xr:uid="{00000000-0002-0000-0300-000075160000}">
          <x14:formula1>
            <xm:f>項目!A4:$FUC$655362</xm:f>
          </x14:formula1>
          <xm:sqref>FUL655365:FUL655388</xm:sqref>
        </x14:dataValidation>
        <x14:dataValidation type="list" allowBlank="1" showInputMessage="1" showErrorMessage="1" xr:uid="{00000000-0002-0000-0300-000076160000}">
          <x14:formula1>
            <xm:f>項目!A4:$GDY$655362</xm:f>
          </x14:formula1>
          <xm:sqref>GEH655365:GEH655388</xm:sqref>
        </x14:dataValidation>
        <x14:dataValidation type="list" allowBlank="1" showInputMessage="1" showErrorMessage="1" xr:uid="{00000000-0002-0000-0300-000077160000}">
          <x14:formula1>
            <xm:f>項目!A4:$GNU$655362</xm:f>
          </x14:formula1>
          <xm:sqref>GOD655365:GOD655388</xm:sqref>
        </x14:dataValidation>
        <x14:dataValidation type="list" allowBlank="1" showInputMessage="1" showErrorMessage="1" xr:uid="{00000000-0002-0000-0300-000078160000}">
          <x14:formula1>
            <xm:f>項目!A4:$GXQ$655362</xm:f>
          </x14:formula1>
          <xm:sqref>GXZ655365:GXZ655388</xm:sqref>
        </x14:dataValidation>
        <x14:dataValidation type="list" allowBlank="1" showInputMessage="1" showErrorMessage="1" xr:uid="{00000000-0002-0000-0300-000079160000}">
          <x14:formula1>
            <xm:f>項目!A4:$HHM$655362</xm:f>
          </x14:formula1>
          <xm:sqref>HHV655365:HHV655388</xm:sqref>
        </x14:dataValidation>
        <x14:dataValidation type="list" allowBlank="1" showInputMessage="1" showErrorMessage="1" xr:uid="{00000000-0002-0000-0300-00007A160000}">
          <x14:formula1>
            <xm:f>項目!A4:$HRI$655362</xm:f>
          </x14:formula1>
          <xm:sqref>HRR655365:HRR655388</xm:sqref>
        </x14:dataValidation>
        <x14:dataValidation type="list" allowBlank="1" showInputMessage="1" showErrorMessage="1" xr:uid="{00000000-0002-0000-0300-00007B160000}">
          <x14:formula1>
            <xm:f>項目!A4:$IBE$655362</xm:f>
          </x14:formula1>
          <xm:sqref>IBN655365:IBN655388</xm:sqref>
        </x14:dataValidation>
        <x14:dataValidation type="list" allowBlank="1" showInputMessage="1" showErrorMessage="1" xr:uid="{00000000-0002-0000-0300-00007C160000}">
          <x14:formula1>
            <xm:f>項目!A4:$ILA$655362</xm:f>
          </x14:formula1>
          <xm:sqref>ILJ655365:ILJ655388</xm:sqref>
        </x14:dataValidation>
        <x14:dataValidation type="list" allowBlank="1" showInputMessage="1" showErrorMessage="1" xr:uid="{00000000-0002-0000-0300-00007D160000}">
          <x14:formula1>
            <xm:f>項目!A4:$IUW$655362</xm:f>
          </x14:formula1>
          <xm:sqref>IVF655365:IVF655388</xm:sqref>
        </x14:dataValidation>
        <x14:dataValidation type="list" allowBlank="1" showInputMessage="1" showErrorMessage="1" xr:uid="{00000000-0002-0000-0300-00007E160000}">
          <x14:formula1>
            <xm:f>項目!A4:$JES$655362</xm:f>
          </x14:formula1>
          <xm:sqref>JFB655365:JFB655388</xm:sqref>
        </x14:dataValidation>
        <x14:dataValidation type="list" allowBlank="1" showInputMessage="1" showErrorMessage="1" xr:uid="{00000000-0002-0000-0300-00007F160000}">
          <x14:formula1>
            <xm:f>項目!A4:$JOO$655362</xm:f>
          </x14:formula1>
          <xm:sqref>JOX655365:JOX655388</xm:sqref>
        </x14:dataValidation>
        <x14:dataValidation type="list" allowBlank="1" showInputMessage="1" showErrorMessage="1" xr:uid="{00000000-0002-0000-0300-000080160000}">
          <x14:formula1>
            <xm:f>項目!A4:$JYK$655362</xm:f>
          </x14:formula1>
          <xm:sqref>JYT655365:JYT655388</xm:sqref>
        </x14:dataValidation>
        <x14:dataValidation type="list" allowBlank="1" showInputMessage="1" showErrorMessage="1" xr:uid="{00000000-0002-0000-0300-000081160000}">
          <x14:formula1>
            <xm:f>項目!A4:$KIG$655362</xm:f>
          </x14:formula1>
          <xm:sqref>KIP655365:KIP655388</xm:sqref>
        </x14:dataValidation>
        <x14:dataValidation type="list" allowBlank="1" showInputMessage="1" showErrorMessage="1" xr:uid="{00000000-0002-0000-0300-000082160000}">
          <x14:formula1>
            <xm:f>項目!A4:$KSC$655362</xm:f>
          </x14:formula1>
          <xm:sqref>KSL655365:KSL655388</xm:sqref>
        </x14:dataValidation>
        <x14:dataValidation type="list" allowBlank="1" showInputMessage="1" showErrorMessage="1" xr:uid="{00000000-0002-0000-0300-000083160000}">
          <x14:formula1>
            <xm:f>項目!A4:$LBY$655362</xm:f>
          </x14:formula1>
          <xm:sqref>LCH655365:LCH655388</xm:sqref>
        </x14:dataValidation>
        <x14:dataValidation type="list" allowBlank="1" showInputMessage="1" showErrorMessage="1" xr:uid="{00000000-0002-0000-0300-000084160000}">
          <x14:formula1>
            <xm:f>項目!A4:$LLU$655362</xm:f>
          </x14:formula1>
          <xm:sqref>LMD655365:LMD655388</xm:sqref>
        </x14:dataValidation>
        <x14:dataValidation type="list" allowBlank="1" showInputMessage="1" showErrorMessage="1" xr:uid="{00000000-0002-0000-0300-000085160000}">
          <x14:formula1>
            <xm:f>項目!A4:$LVQ$655362</xm:f>
          </x14:formula1>
          <xm:sqref>LVZ655365:LVZ655388</xm:sqref>
        </x14:dataValidation>
        <x14:dataValidation type="list" allowBlank="1" showInputMessage="1" showErrorMessage="1" xr:uid="{00000000-0002-0000-0300-000086160000}">
          <x14:formula1>
            <xm:f>項目!A4:$MFM$655362</xm:f>
          </x14:formula1>
          <xm:sqref>MFV655365:MFV655388</xm:sqref>
        </x14:dataValidation>
        <x14:dataValidation type="list" allowBlank="1" showInputMessage="1" showErrorMessage="1" xr:uid="{00000000-0002-0000-0300-000087160000}">
          <x14:formula1>
            <xm:f>項目!A4:$MPI$655362</xm:f>
          </x14:formula1>
          <xm:sqref>MPR655365:MPR655388</xm:sqref>
        </x14:dataValidation>
        <x14:dataValidation type="list" allowBlank="1" showInputMessage="1" showErrorMessage="1" xr:uid="{00000000-0002-0000-0300-000088160000}">
          <x14:formula1>
            <xm:f>項目!A4:$MZE$655362</xm:f>
          </x14:formula1>
          <xm:sqref>MZN655365:MZN655388</xm:sqref>
        </x14:dataValidation>
        <x14:dataValidation type="list" allowBlank="1" showInputMessage="1" showErrorMessage="1" xr:uid="{00000000-0002-0000-0300-000089160000}">
          <x14:formula1>
            <xm:f>項目!A4:$NJA$655362</xm:f>
          </x14:formula1>
          <xm:sqref>NJJ655365:NJJ655388</xm:sqref>
        </x14:dataValidation>
        <x14:dataValidation type="list" allowBlank="1" showInputMessage="1" showErrorMessage="1" xr:uid="{00000000-0002-0000-0300-00008A160000}">
          <x14:formula1>
            <xm:f>項目!A4:$NSW$655362</xm:f>
          </x14:formula1>
          <xm:sqref>NTF655365:NTF655388</xm:sqref>
        </x14:dataValidation>
        <x14:dataValidation type="list" allowBlank="1" showInputMessage="1" showErrorMessage="1" xr:uid="{00000000-0002-0000-0300-00008B160000}">
          <x14:formula1>
            <xm:f>項目!A4:$OCS$655362</xm:f>
          </x14:formula1>
          <xm:sqref>ODB655365:ODB655388</xm:sqref>
        </x14:dataValidation>
        <x14:dataValidation type="list" allowBlank="1" showInputMessage="1" showErrorMessage="1" xr:uid="{00000000-0002-0000-0300-00008C160000}">
          <x14:formula1>
            <xm:f>項目!A4:$OMO$655362</xm:f>
          </x14:formula1>
          <xm:sqref>OMX655365:OMX655388</xm:sqref>
        </x14:dataValidation>
        <x14:dataValidation type="list" allowBlank="1" showInputMessage="1" showErrorMessage="1" xr:uid="{00000000-0002-0000-0300-00008D160000}">
          <x14:formula1>
            <xm:f>項目!A4:$OWK$655362</xm:f>
          </x14:formula1>
          <xm:sqref>OWT655365:OWT655388</xm:sqref>
        </x14:dataValidation>
        <x14:dataValidation type="list" allowBlank="1" showInputMessage="1" showErrorMessage="1" xr:uid="{00000000-0002-0000-0300-00008E160000}">
          <x14:formula1>
            <xm:f>項目!A4:$PGG$655362</xm:f>
          </x14:formula1>
          <xm:sqref>PGP655365:PGP655388</xm:sqref>
        </x14:dataValidation>
        <x14:dataValidation type="list" allowBlank="1" showInputMessage="1" showErrorMessage="1" xr:uid="{00000000-0002-0000-0300-00008F160000}">
          <x14:formula1>
            <xm:f>項目!A4:$PQC$655362</xm:f>
          </x14:formula1>
          <xm:sqref>PQL655365:PQL655388</xm:sqref>
        </x14:dataValidation>
        <x14:dataValidation type="list" allowBlank="1" showInputMessage="1" showErrorMessage="1" xr:uid="{00000000-0002-0000-0300-000090160000}">
          <x14:formula1>
            <xm:f>項目!A4:$PZY$655362</xm:f>
          </x14:formula1>
          <xm:sqref>QAH655365:QAH655388</xm:sqref>
        </x14:dataValidation>
        <x14:dataValidation type="list" allowBlank="1" showInputMessage="1" showErrorMessage="1" xr:uid="{00000000-0002-0000-0300-000091160000}">
          <x14:formula1>
            <xm:f>項目!A4:$QJU$655362</xm:f>
          </x14:formula1>
          <xm:sqref>QKD655365:QKD655388</xm:sqref>
        </x14:dataValidation>
        <x14:dataValidation type="list" allowBlank="1" showInputMessage="1" showErrorMessage="1" xr:uid="{00000000-0002-0000-0300-000092160000}">
          <x14:formula1>
            <xm:f>項目!A4:$QTQ$655362</xm:f>
          </x14:formula1>
          <xm:sqref>QTZ655365:QTZ655388</xm:sqref>
        </x14:dataValidation>
        <x14:dataValidation type="list" allowBlank="1" showInputMessage="1" showErrorMessage="1" xr:uid="{00000000-0002-0000-0300-000093160000}">
          <x14:formula1>
            <xm:f>項目!A4:$RDM$655362</xm:f>
          </x14:formula1>
          <xm:sqref>RDV655365:RDV655388</xm:sqref>
        </x14:dataValidation>
        <x14:dataValidation type="list" allowBlank="1" showInputMessage="1" showErrorMessage="1" xr:uid="{00000000-0002-0000-0300-000094160000}">
          <x14:formula1>
            <xm:f>項目!A4:$RNI$655362</xm:f>
          </x14:formula1>
          <xm:sqref>RNR655365:RNR655388</xm:sqref>
        </x14:dataValidation>
        <x14:dataValidation type="list" allowBlank="1" showInputMessage="1" showErrorMessage="1" xr:uid="{00000000-0002-0000-0300-000095160000}">
          <x14:formula1>
            <xm:f>項目!A4:$RXE$655362</xm:f>
          </x14:formula1>
          <xm:sqref>RXN655365:RXN655388</xm:sqref>
        </x14:dataValidation>
        <x14:dataValidation type="list" allowBlank="1" showInputMessage="1" showErrorMessage="1" xr:uid="{00000000-0002-0000-0300-000096160000}">
          <x14:formula1>
            <xm:f>項目!A4:$SHA$655362</xm:f>
          </x14:formula1>
          <xm:sqref>SHJ655365:SHJ655388</xm:sqref>
        </x14:dataValidation>
        <x14:dataValidation type="list" allowBlank="1" showInputMessage="1" showErrorMessage="1" xr:uid="{00000000-0002-0000-0300-000097160000}">
          <x14:formula1>
            <xm:f>項目!A4:$SQW$655362</xm:f>
          </x14:formula1>
          <xm:sqref>SRF655365:SRF655388</xm:sqref>
        </x14:dataValidation>
        <x14:dataValidation type="list" allowBlank="1" showInputMessage="1" showErrorMessage="1" xr:uid="{00000000-0002-0000-0300-000098160000}">
          <x14:formula1>
            <xm:f>項目!A4:$TAS$655362</xm:f>
          </x14:formula1>
          <xm:sqref>TBB655365:TBB655388</xm:sqref>
        </x14:dataValidation>
        <x14:dataValidation type="list" allowBlank="1" showInputMessage="1" showErrorMessage="1" xr:uid="{00000000-0002-0000-0300-000099160000}">
          <x14:formula1>
            <xm:f>項目!A4:$TKO$655362</xm:f>
          </x14:formula1>
          <xm:sqref>TKX655365:TKX655388</xm:sqref>
        </x14:dataValidation>
        <x14:dataValidation type="list" allowBlank="1" showInputMessage="1" showErrorMessage="1" xr:uid="{00000000-0002-0000-0300-00009A160000}">
          <x14:formula1>
            <xm:f>項目!A4:$TUK$655362</xm:f>
          </x14:formula1>
          <xm:sqref>TUT655365:TUT655388</xm:sqref>
        </x14:dataValidation>
        <x14:dataValidation type="list" allowBlank="1" showInputMessage="1" showErrorMessage="1" xr:uid="{00000000-0002-0000-0300-00009B160000}">
          <x14:formula1>
            <xm:f>項目!A4:$UEG$655362</xm:f>
          </x14:formula1>
          <xm:sqref>UEP655365:UEP655388</xm:sqref>
        </x14:dataValidation>
        <x14:dataValidation type="list" allowBlank="1" showInputMessage="1" showErrorMessage="1" xr:uid="{00000000-0002-0000-0300-00009C160000}">
          <x14:formula1>
            <xm:f>項目!A4:$UOC$655362</xm:f>
          </x14:formula1>
          <xm:sqref>UOL655365:UOL655388</xm:sqref>
        </x14:dataValidation>
        <x14:dataValidation type="list" allowBlank="1" showInputMessage="1" showErrorMessage="1" xr:uid="{00000000-0002-0000-0300-00009D160000}">
          <x14:formula1>
            <xm:f>項目!A4:$UXY$655362</xm:f>
          </x14:formula1>
          <xm:sqref>UYH655365:UYH655388</xm:sqref>
        </x14:dataValidation>
        <x14:dataValidation type="list" allowBlank="1" showInputMessage="1" showErrorMessage="1" xr:uid="{00000000-0002-0000-0300-00009E160000}">
          <x14:formula1>
            <xm:f>項目!A4:$VHU$655362</xm:f>
          </x14:formula1>
          <xm:sqref>VID655365:VID655388</xm:sqref>
        </x14:dataValidation>
        <x14:dataValidation type="list" allowBlank="1" showInputMessage="1" showErrorMessage="1" xr:uid="{00000000-0002-0000-0300-00009F160000}">
          <x14:formula1>
            <xm:f>項目!A4:$VRQ$655362</xm:f>
          </x14:formula1>
          <xm:sqref>VRZ655365:VRZ655388</xm:sqref>
        </x14:dataValidation>
        <x14:dataValidation type="list" allowBlank="1" showInputMessage="1" showErrorMessage="1" xr:uid="{00000000-0002-0000-0300-0000A0160000}">
          <x14:formula1>
            <xm:f>項目!A4:$WBM$655362</xm:f>
          </x14:formula1>
          <xm:sqref>WBV655365:WBV655388</xm:sqref>
        </x14:dataValidation>
        <x14:dataValidation type="list" allowBlank="1" showInputMessage="1" showErrorMessage="1" xr:uid="{00000000-0002-0000-0300-0000A1160000}">
          <x14:formula1>
            <xm:f>項目!A4:$WLI$655362</xm:f>
          </x14:formula1>
          <xm:sqref>WLR655365:WLR655388</xm:sqref>
        </x14:dataValidation>
        <x14:dataValidation type="list" allowBlank="1" showInputMessage="1" showErrorMessage="1" xr:uid="{00000000-0002-0000-0300-0000A2160000}">
          <x14:formula1>
            <xm:f>項目!A4:$WVE$655362</xm:f>
          </x14:formula1>
          <xm:sqref>WVN655365:WVN655388</xm:sqref>
        </x14:dataValidation>
        <x14:dataValidation type="list" allowBlank="1" showInputMessage="1" showErrorMessage="1" xr:uid="{00000000-0002-0000-0300-0000A3160000}">
          <x14:formula1>
            <xm:f>項目!A4:$IS$720898</xm:f>
          </x14:formula1>
          <xm:sqref>JB720901:JB720924</xm:sqref>
        </x14:dataValidation>
        <x14:dataValidation type="list" allowBlank="1" showInputMessage="1" showErrorMessage="1" xr:uid="{00000000-0002-0000-0300-0000A4160000}">
          <x14:formula1>
            <xm:f>項目!A4:$SO$720898</xm:f>
          </x14:formula1>
          <xm:sqref>SX720901:SX720924</xm:sqref>
        </x14:dataValidation>
        <x14:dataValidation type="list" allowBlank="1" showInputMessage="1" showErrorMessage="1" xr:uid="{00000000-0002-0000-0300-0000A5160000}">
          <x14:formula1>
            <xm:f>項目!A4:$ACK$720898</xm:f>
          </x14:formula1>
          <xm:sqref>ACT720901:ACT720924</xm:sqref>
        </x14:dataValidation>
        <x14:dataValidation type="list" allowBlank="1" showInputMessage="1" showErrorMessage="1" xr:uid="{00000000-0002-0000-0300-0000A6160000}">
          <x14:formula1>
            <xm:f>項目!A4:$AMG$720898</xm:f>
          </x14:formula1>
          <xm:sqref>AMP720901:AMP720924</xm:sqref>
        </x14:dataValidation>
        <x14:dataValidation type="list" allowBlank="1" showInputMessage="1" showErrorMessage="1" xr:uid="{00000000-0002-0000-0300-0000A7160000}">
          <x14:formula1>
            <xm:f>項目!A4:$AWC$720898</xm:f>
          </x14:formula1>
          <xm:sqref>AWL720901:AWL720924</xm:sqref>
        </x14:dataValidation>
        <x14:dataValidation type="list" allowBlank="1" showInputMessage="1" showErrorMessage="1" xr:uid="{00000000-0002-0000-0300-0000A8160000}">
          <x14:formula1>
            <xm:f>項目!A4:$BFY$720898</xm:f>
          </x14:formula1>
          <xm:sqref>BGH720901:BGH720924</xm:sqref>
        </x14:dataValidation>
        <x14:dataValidation type="list" allowBlank="1" showInputMessage="1" showErrorMessage="1" xr:uid="{00000000-0002-0000-0300-0000A9160000}">
          <x14:formula1>
            <xm:f>項目!A4:$BPU$720898</xm:f>
          </x14:formula1>
          <xm:sqref>BQD720901:BQD720924</xm:sqref>
        </x14:dataValidation>
        <x14:dataValidation type="list" allowBlank="1" showInputMessage="1" showErrorMessage="1" xr:uid="{00000000-0002-0000-0300-0000AA160000}">
          <x14:formula1>
            <xm:f>項目!A4:$BZQ$720898</xm:f>
          </x14:formula1>
          <xm:sqref>BZZ720901:BZZ720924</xm:sqref>
        </x14:dataValidation>
        <x14:dataValidation type="list" allowBlank="1" showInputMessage="1" showErrorMessage="1" xr:uid="{00000000-0002-0000-0300-0000AB160000}">
          <x14:formula1>
            <xm:f>項目!A4:$CJM$720898</xm:f>
          </x14:formula1>
          <xm:sqref>CJV720901:CJV720924</xm:sqref>
        </x14:dataValidation>
        <x14:dataValidation type="list" allowBlank="1" showInputMessage="1" showErrorMessage="1" xr:uid="{00000000-0002-0000-0300-0000AC160000}">
          <x14:formula1>
            <xm:f>項目!A4:$CTI$720898</xm:f>
          </x14:formula1>
          <xm:sqref>CTR720901:CTR720924</xm:sqref>
        </x14:dataValidation>
        <x14:dataValidation type="list" allowBlank="1" showInputMessage="1" showErrorMessage="1" xr:uid="{00000000-0002-0000-0300-0000AD160000}">
          <x14:formula1>
            <xm:f>項目!A4:$DDE$720898</xm:f>
          </x14:formula1>
          <xm:sqref>DDN720901:DDN720924</xm:sqref>
        </x14:dataValidation>
        <x14:dataValidation type="list" allowBlank="1" showInputMessage="1" showErrorMessage="1" xr:uid="{00000000-0002-0000-0300-0000AE160000}">
          <x14:formula1>
            <xm:f>項目!A4:$DNA$720898</xm:f>
          </x14:formula1>
          <xm:sqref>DNJ720901:DNJ720924</xm:sqref>
        </x14:dataValidation>
        <x14:dataValidation type="list" allowBlank="1" showInputMessage="1" showErrorMessage="1" xr:uid="{00000000-0002-0000-0300-0000AF160000}">
          <x14:formula1>
            <xm:f>項目!A4:$DWW$720898</xm:f>
          </x14:formula1>
          <xm:sqref>DXF720901:DXF720924</xm:sqref>
        </x14:dataValidation>
        <x14:dataValidation type="list" allowBlank="1" showInputMessage="1" showErrorMessage="1" xr:uid="{00000000-0002-0000-0300-0000B0160000}">
          <x14:formula1>
            <xm:f>項目!A4:$EGS$720898</xm:f>
          </x14:formula1>
          <xm:sqref>EHB720901:EHB720924</xm:sqref>
        </x14:dataValidation>
        <x14:dataValidation type="list" allowBlank="1" showInputMessage="1" showErrorMessage="1" xr:uid="{00000000-0002-0000-0300-0000B1160000}">
          <x14:formula1>
            <xm:f>項目!A4:$EQO$720898</xm:f>
          </x14:formula1>
          <xm:sqref>EQX720901:EQX720924</xm:sqref>
        </x14:dataValidation>
        <x14:dataValidation type="list" allowBlank="1" showInputMessage="1" showErrorMessage="1" xr:uid="{00000000-0002-0000-0300-0000B2160000}">
          <x14:formula1>
            <xm:f>項目!A4:$FAK$720898</xm:f>
          </x14:formula1>
          <xm:sqref>FAT720901:FAT720924</xm:sqref>
        </x14:dataValidation>
        <x14:dataValidation type="list" allowBlank="1" showInputMessage="1" showErrorMessage="1" xr:uid="{00000000-0002-0000-0300-0000B3160000}">
          <x14:formula1>
            <xm:f>項目!A4:$FKG$720898</xm:f>
          </x14:formula1>
          <xm:sqref>FKP720901:FKP720924</xm:sqref>
        </x14:dataValidation>
        <x14:dataValidation type="list" allowBlank="1" showInputMessage="1" showErrorMessage="1" xr:uid="{00000000-0002-0000-0300-0000B4160000}">
          <x14:formula1>
            <xm:f>項目!A4:$FUC$720898</xm:f>
          </x14:formula1>
          <xm:sqref>FUL720901:FUL720924</xm:sqref>
        </x14:dataValidation>
        <x14:dataValidation type="list" allowBlank="1" showInputMessage="1" showErrorMessage="1" xr:uid="{00000000-0002-0000-0300-0000B5160000}">
          <x14:formula1>
            <xm:f>項目!A4:$GDY$720898</xm:f>
          </x14:formula1>
          <xm:sqref>GEH720901:GEH720924</xm:sqref>
        </x14:dataValidation>
        <x14:dataValidation type="list" allowBlank="1" showInputMessage="1" showErrorMessage="1" xr:uid="{00000000-0002-0000-0300-0000B6160000}">
          <x14:formula1>
            <xm:f>項目!A4:$GNU$720898</xm:f>
          </x14:formula1>
          <xm:sqref>GOD720901:GOD720924</xm:sqref>
        </x14:dataValidation>
        <x14:dataValidation type="list" allowBlank="1" showInputMessage="1" showErrorMessage="1" xr:uid="{00000000-0002-0000-0300-0000B7160000}">
          <x14:formula1>
            <xm:f>項目!A4:$GXQ$720898</xm:f>
          </x14:formula1>
          <xm:sqref>GXZ720901:GXZ720924</xm:sqref>
        </x14:dataValidation>
        <x14:dataValidation type="list" allowBlank="1" showInputMessage="1" showErrorMessage="1" xr:uid="{00000000-0002-0000-0300-0000B8160000}">
          <x14:formula1>
            <xm:f>項目!A4:$HHM$720898</xm:f>
          </x14:formula1>
          <xm:sqref>HHV720901:HHV720924</xm:sqref>
        </x14:dataValidation>
        <x14:dataValidation type="list" allowBlank="1" showInputMessage="1" showErrorMessage="1" xr:uid="{00000000-0002-0000-0300-0000B9160000}">
          <x14:formula1>
            <xm:f>項目!A4:$HRI$720898</xm:f>
          </x14:formula1>
          <xm:sqref>HRR720901:HRR720924</xm:sqref>
        </x14:dataValidation>
        <x14:dataValidation type="list" allowBlank="1" showInputMessage="1" showErrorMessage="1" xr:uid="{00000000-0002-0000-0300-0000BA160000}">
          <x14:formula1>
            <xm:f>項目!A4:$IBE$720898</xm:f>
          </x14:formula1>
          <xm:sqref>IBN720901:IBN720924</xm:sqref>
        </x14:dataValidation>
        <x14:dataValidation type="list" allowBlank="1" showInputMessage="1" showErrorMessage="1" xr:uid="{00000000-0002-0000-0300-0000BB160000}">
          <x14:formula1>
            <xm:f>項目!A4:$ILA$720898</xm:f>
          </x14:formula1>
          <xm:sqref>ILJ720901:ILJ720924</xm:sqref>
        </x14:dataValidation>
        <x14:dataValidation type="list" allowBlank="1" showInputMessage="1" showErrorMessage="1" xr:uid="{00000000-0002-0000-0300-0000BC160000}">
          <x14:formula1>
            <xm:f>項目!A4:$IUW$720898</xm:f>
          </x14:formula1>
          <xm:sqref>IVF720901:IVF720924</xm:sqref>
        </x14:dataValidation>
        <x14:dataValidation type="list" allowBlank="1" showInputMessage="1" showErrorMessage="1" xr:uid="{00000000-0002-0000-0300-0000BD160000}">
          <x14:formula1>
            <xm:f>項目!A4:$JES$720898</xm:f>
          </x14:formula1>
          <xm:sqref>JFB720901:JFB720924</xm:sqref>
        </x14:dataValidation>
        <x14:dataValidation type="list" allowBlank="1" showInputMessage="1" showErrorMessage="1" xr:uid="{00000000-0002-0000-0300-0000BE160000}">
          <x14:formula1>
            <xm:f>項目!A4:$JOO$720898</xm:f>
          </x14:formula1>
          <xm:sqref>JOX720901:JOX720924</xm:sqref>
        </x14:dataValidation>
        <x14:dataValidation type="list" allowBlank="1" showInputMessage="1" showErrorMessage="1" xr:uid="{00000000-0002-0000-0300-0000BF160000}">
          <x14:formula1>
            <xm:f>項目!A4:$JYK$720898</xm:f>
          </x14:formula1>
          <xm:sqref>JYT720901:JYT720924</xm:sqref>
        </x14:dataValidation>
        <x14:dataValidation type="list" allowBlank="1" showInputMessage="1" showErrorMessage="1" xr:uid="{00000000-0002-0000-0300-0000C0160000}">
          <x14:formula1>
            <xm:f>項目!A4:$KIG$720898</xm:f>
          </x14:formula1>
          <xm:sqref>KIP720901:KIP720924</xm:sqref>
        </x14:dataValidation>
        <x14:dataValidation type="list" allowBlank="1" showInputMessage="1" showErrorMessage="1" xr:uid="{00000000-0002-0000-0300-0000C1160000}">
          <x14:formula1>
            <xm:f>項目!A4:$KSC$720898</xm:f>
          </x14:formula1>
          <xm:sqref>KSL720901:KSL720924</xm:sqref>
        </x14:dataValidation>
        <x14:dataValidation type="list" allowBlank="1" showInputMessage="1" showErrorMessage="1" xr:uid="{00000000-0002-0000-0300-0000C2160000}">
          <x14:formula1>
            <xm:f>項目!A4:$LBY$720898</xm:f>
          </x14:formula1>
          <xm:sqref>LCH720901:LCH720924</xm:sqref>
        </x14:dataValidation>
        <x14:dataValidation type="list" allowBlank="1" showInputMessage="1" showErrorMessage="1" xr:uid="{00000000-0002-0000-0300-0000C3160000}">
          <x14:formula1>
            <xm:f>項目!A4:$LLU$720898</xm:f>
          </x14:formula1>
          <xm:sqref>LMD720901:LMD720924</xm:sqref>
        </x14:dataValidation>
        <x14:dataValidation type="list" allowBlank="1" showInputMessage="1" showErrorMessage="1" xr:uid="{00000000-0002-0000-0300-0000C4160000}">
          <x14:formula1>
            <xm:f>項目!A4:$LVQ$720898</xm:f>
          </x14:formula1>
          <xm:sqref>LVZ720901:LVZ720924</xm:sqref>
        </x14:dataValidation>
        <x14:dataValidation type="list" allowBlank="1" showInputMessage="1" showErrorMessage="1" xr:uid="{00000000-0002-0000-0300-0000C5160000}">
          <x14:formula1>
            <xm:f>項目!A4:$MFM$720898</xm:f>
          </x14:formula1>
          <xm:sqref>MFV720901:MFV720924</xm:sqref>
        </x14:dataValidation>
        <x14:dataValidation type="list" allowBlank="1" showInputMessage="1" showErrorMessage="1" xr:uid="{00000000-0002-0000-0300-0000C6160000}">
          <x14:formula1>
            <xm:f>項目!A4:$MPI$720898</xm:f>
          </x14:formula1>
          <xm:sqref>MPR720901:MPR720924</xm:sqref>
        </x14:dataValidation>
        <x14:dataValidation type="list" allowBlank="1" showInputMessage="1" showErrorMessage="1" xr:uid="{00000000-0002-0000-0300-0000C7160000}">
          <x14:formula1>
            <xm:f>項目!A4:$MZE$720898</xm:f>
          </x14:formula1>
          <xm:sqref>MZN720901:MZN720924</xm:sqref>
        </x14:dataValidation>
        <x14:dataValidation type="list" allowBlank="1" showInputMessage="1" showErrorMessage="1" xr:uid="{00000000-0002-0000-0300-0000C8160000}">
          <x14:formula1>
            <xm:f>項目!A4:$NJA$720898</xm:f>
          </x14:formula1>
          <xm:sqref>NJJ720901:NJJ720924</xm:sqref>
        </x14:dataValidation>
        <x14:dataValidation type="list" allowBlank="1" showInputMessage="1" showErrorMessage="1" xr:uid="{00000000-0002-0000-0300-0000C9160000}">
          <x14:formula1>
            <xm:f>項目!A4:$NSW$720898</xm:f>
          </x14:formula1>
          <xm:sqref>NTF720901:NTF720924</xm:sqref>
        </x14:dataValidation>
        <x14:dataValidation type="list" allowBlank="1" showInputMessage="1" showErrorMessage="1" xr:uid="{00000000-0002-0000-0300-0000CA160000}">
          <x14:formula1>
            <xm:f>項目!A4:$OCS$720898</xm:f>
          </x14:formula1>
          <xm:sqref>ODB720901:ODB720924</xm:sqref>
        </x14:dataValidation>
        <x14:dataValidation type="list" allowBlank="1" showInputMessage="1" showErrorMessage="1" xr:uid="{00000000-0002-0000-0300-0000CB160000}">
          <x14:formula1>
            <xm:f>項目!A4:$OMO$720898</xm:f>
          </x14:formula1>
          <xm:sqref>OMX720901:OMX720924</xm:sqref>
        </x14:dataValidation>
        <x14:dataValidation type="list" allowBlank="1" showInputMessage="1" showErrorMessage="1" xr:uid="{00000000-0002-0000-0300-0000CC160000}">
          <x14:formula1>
            <xm:f>項目!A4:$OWK$720898</xm:f>
          </x14:formula1>
          <xm:sqref>OWT720901:OWT720924</xm:sqref>
        </x14:dataValidation>
        <x14:dataValidation type="list" allowBlank="1" showInputMessage="1" showErrorMessage="1" xr:uid="{00000000-0002-0000-0300-0000CD160000}">
          <x14:formula1>
            <xm:f>項目!A4:$PGG$720898</xm:f>
          </x14:formula1>
          <xm:sqref>PGP720901:PGP720924</xm:sqref>
        </x14:dataValidation>
        <x14:dataValidation type="list" allowBlank="1" showInputMessage="1" showErrorMessage="1" xr:uid="{00000000-0002-0000-0300-0000CE160000}">
          <x14:formula1>
            <xm:f>項目!A4:$PQC$720898</xm:f>
          </x14:formula1>
          <xm:sqref>PQL720901:PQL720924</xm:sqref>
        </x14:dataValidation>
        <x14:dataValidation type="list" allowBlank="1" showInputMessage="1" showErrorMessage="1" xr:uid="{00000000-0002-0000-0300-0000CF160000}">
          <x14:formula1>
            <xm:f>項目!A4:$PZY$720898</xm:f>
          </x14:formula1>
          <xm:sqref>QAH720901:QAH720924</xm:sqref>
        </x14:dataValidation>
        <x14:dataValidation type="list" allowBlank="1" showInputMessage="1" showErrorMessage="1" xr:uid="{00000000-0002-0000-0300-0000D0160000}">
          <x14:formula1>
            <xm:f>項目!A4:$QJU$720898</xm:f>
          </x14:formula1>
          <xm:sqref>QKD720901:QKD720924</xm:sqref>
        </x14:dataValidation>
        <x14:dataValidation type="list" allowBlank="1" showInputMessage="1" showErrorMessage="1" xr:uid="{00000000-0002-0000-0300-0000D1160000}">
          <x14:formula1>
            <xm:f>項目!A4:$QTQ$720898</xm:f>
          </x14:formula1>
          <xm:sqref>QTZ720901:QTZ720924</xm:sqref>
        </x14:dataValidation>
        <x14:dataValidation type="list" allowBlank="1" showInputMessage="1" showErrorMessage="1" xr:uid="{00000000-0002-0000-0300-0000D2160000}">
          <x14:formula1>
            <xm:f>項目!A4:$RDM$720898</xm:f>
          </x14:formula1>
          <xm:sqref>RDV720901:RDV720924</xm:sqref>
        </x14:dataValidation>
        <x14:dataValidation type="list" allowBlank="1" showInputMessage="1" showErrorMessage="1" xr:uid="{00000000-0002-0000-0300-0000D3160000}">
          <x14:formula1>
            <xm:f>項目!A4:$RNI$720898</xm:f>
          </x14:formula1>
          <xm:sqref>RNR720901:RNR720924</xm:sqref>
        </x14:dataValidation>
        <x14:dataValidation type="list" allowBlank="1" showInputMessage="1" showErrorMessage="1" xr:uid="{00000000-0002-0000-0300-0000D4160000}">
          <x14:formula1>
            <xm:f>項目!A4:$RXE$720898</xm:f>
          </x14:formula1>
          <xm:sqref>RXN720901:RXN720924</xm:sqref>
        </x14:dataValidation>
        <x14:dataValidation type="list" allowBlank="1" showInputMessage="1" showErrorMessage="1" xr:uid="{00000000-0002-0000-0300-0000D5160000}">
          <x14:formula1>
            <xm:f>項目!A4:$SHA$720898</xm:f>
          </x14:formula1>
          <xm:sqref>SHJ720901:SHJ720924</xm:sqref>
        </x14:dataValidation>
        <x14:dataValidation type="list" allowBlank="1" showInputMessage="1" showErrorMessage="1" xr:uid="{00000000-0002-0000-0300-0000D6160000}">
          <x14:formula1>
            <xm:f>項目!A4:$SQW$720898</xm:f>
          </x14:formula1>
          <xm:sqref>SRF720901:SRF720924</xm:sqref>
        </x14:dataValidation>
        <x14:dataValidation type="list" allowBlank="1" showInputMessage="1" showErrorMessage="1" xr:uid="{00000000-0002-0000-0300-0000D7160000}">
          <x14:formula1>
            <xm:f>項目!A4:$TAS$720898</xm:f>
          </x14:formula1>
          <xm:sqref>TBB720901:TBB720924</xm:sqref>
        </x14:dataValidation>
        <x14:dataValidation type="list" allowBlank="1" showInputMessage="1" showErrorMessage="1" xr:uid="{00000000-0002-0000-0300-0000D8160000}">
          <x14:formula1>
            <xm:f>項目!A4:$TKO$720898</xm:f>
          </x14:formula1>
          <xm:sqref>TKX720901:TKX720924</xm:sqref>
        </x14:dataValidation>
        <x14:dataValidation type="list" allowBlank="1" showInputMessage="1" showErrorMessage="1" xr:uid="{00000000-0002-0000-0300-0000D9160000}">
          <x14:formula1>
            <xm:f>項目!A4:$TUK$720898</xm:f>
          </x14:formula1>
          <xm:sqref>TUT720901:TUT720924</xm:sqref>
        </x14:dataValidation>
        <x14:dataValidation type="list" allowBlank="1" showInputMessage="1" showErrorMessage="1" xr:uid="{00000000-0002-0000-0300-0000DA160000}">
          <x14:formula1>
            <xm:f>項目!A4:$UEG$720898</xm:f>
          </x14:formula1>
          <xm:sqref>UEP720901:UEP720924</xm:sqref>
        </x14:dataValidation>
        <x14:dataValidation type="list" allowBlank="1" showInputMessage="1" showErrorMessage="1" xr:uid="{00000000-0002-0000-0300-0000DB160000}">
          <x14:formula1>
            <xm:f>項目!A4:$UOC$720898</xm:f>
          </x14:formula1>
          <xm:sqref>UOL720901:UOL720924</xm:sqref>
        </x14:dataValidation>
        <x14:dataValidation type="list" allowBlank="1" showInputMessage="1" showErrorMessage="1" xr:uid="{00000000-0002-0000-0300-0000DC160000}">
          <x14:formula1>
            <xm:f>項目!A4:$UXY$720898</xm:f>
          </x14:formula1>
          <xm:sqref>UYH720901:UYH720924</xm:sqref>
        </x14:dataValidation>
        <x14:dataValidation type="list" allowBlank="1" showInputMessage="1" showErrorMessage="1" xr:uid="{00000000-0002-0000-0300-0000DD160000}">
          <x14:formula1>
            <xm:f>項目!A4:$VHU$720898</xm:f>
          </x14:formula1>
          <xm:sqref>VID720901:VID720924</xm:sqref>
        </x14:dataValidation>
        <x14:dataValidation type="list" allowBlank="1" showInputMessage="1" showErrorMessage="1" xr:uid="{00000000-0002-0000-0300-0000DE160000}">
          <x14:formula1>
            <xm:f>項目!A4:$VRQ$720898</xm:f>
          </x14:formula1>
          <xm:sqref>VRZ720901:VRZ720924</xm:sqref>
        </x14:dataValidation>
        <x14:dataValidation type="list" allowBlank="1" showInputMessage="1" showErrorMessage="1" xr:uid="{00000000-0002-0000-0300-0000DF160000}">
          <x14:formula1>
            <xm:f>項目!A4:$WBM$720898</xm:f>
          </x14:formula1>
          <xm:sqref>WBV720901:WBV720924</xm:sqref>
        </x14:dataValidation>
        <x14:dataValidation type="list" allowBlank="1" showInputMessage="1" showErrorMessage="1" xr:uid="{00000000-0002-0000-0300-0000E0160000}">
          <x14:formula1>
            <xm:f>項目!A4:$WLI$720898</xm:f>
          </x14:formula1>
          <xm:sqref>WLR720901:WLR720924</xm:sqref>
        </x14:dataValidation>
        <x14:dataValidation type="list" allowBlank="1" showInputMessage="1" showErrorMessage="1" xr:uid="{00000000-0002-0000-0300-0000E1160000}">
          <x14:formula1>
            <xm:f>項目!A4:$WVE$720898</xm:f>
          </x14:formula1>
          <xm:sqref>WVN720901:WVN720924</xm:sqref>
        </x14:dataValidation>
        <x14:dataValidation type="list" allowBlank="1" showInputMessage="1" showErrorMessage="1" xr:uid="{00000000-0002-0000-0300-0000E2160000}">
          <x14:formula1>
            <xm:f>項目!A4:$IS$786434</xm:f>
          </x14:formula1>
          <xm:sqref>JB786437:JB786460</xm:sqref>
        </x14:dataValidation>
        <x14:dataValidation type="list" allowBlank="1" showInputMessage="1" showErrorMessage="1" xr:uid="{00000000-0002-0000-0300-0000E3160000}">
          <x14:formula1>
            <xm:f>項目!A4:$SO$786434</xm:f>
          </x14:formula1>
          <xm:sqref>SX786437:SX786460</xm:sqref>
        </x14:dataValidation>
        <x14:dataValidation type="list" allowBlank="1" showInputMessage="1" showErrorMessage="1" xr:uid="{00000000-0002-0000-0300-0000E4160000}">
          <x14:formula1>
            <xm:f>項目!A4:$ACK$786434</xm:f>
          </x14:formula1>
          <xm:sqref>ACT786437:ACT786460</xm:sqref>
        </x14:dataValidation>
        <x14:dataValidation type="list" allowBlank="1" showInputMessage="1" showErrorMessage="1" xr:uid="{00000000-0002-0000-0300-0000E5160000}">
          <x14:formula1>
            <xm:f>項目!A4:$AMG$786434</xm:f>
          </x14:formula1>
          <xm:sqref>AMP786437:AMP786460</xm:sqref>
        </x14:dataValidation>
        <x14:dataValidation type="list" allowBlank="1" showInputMessage="1" showErrorMessage="1" xr:uid="{00000000-0002-0000-0300-0000E6160000}">
          <x14:formula1>
            <xm:f>項目!A4:$AWC$786434</xm:f>
          </x14:formula1>
          <xm:sqref>AWL786437:AWL786460</xm:sqref>
        </x14:dataValidation>
        <x14:dataValidation type="list" allowBlank="1" showInputMessage="1" showErrorMessage="1" xr:uid="{00000000-0002-0000-0300-0000E7160000}">
          <x14:formula1>
            <xm:f>項目!A4:$BFY$786434</xm:f>
          </x14:formula1>
          <xm:sqref>BGH786437:BGH786460</xm:sqref>
        </x14:dataValidation>
        <x14:dataValidation type="list" allowBlank="1" showInputMessage="1" showErrorMessage="1" xr:uid="{00000000-0002-0000-0300-0000E8160000}">
          <x14:formula1>
            <xm:f>項目!A4:$BPU$786434</xm:f>
          </x14:formula1>
          <xm:sqref>BQD786437:BQD786460</xm:sqref>
        </x14:dataValidation>
        <x14:dataValidation type="list" allowBlank="1" showInputMessage="1" showErrorMessage="1" xr:uid="{00000000-0002-0000-0300-0000E9160000}">
          <x14:formula1>
            <xm:f>項目!A4:$BZQ$786434</xm:f>
          </x14:formula1>
          <xm:sqref>BZZ786437:BZZ786460</xm:sqref>
        </x14:dataValidation>
        <x14:dataValidation type="list" allowBlank="1" showInputMessage="1" showErrorMessage="1" xr:uid="{00000000-0002-0000-0300-0000EA160000}">
          <x14:formula1>
            <xm:f>項目!A4:$CJM$786434</xm:f>
          </x14:formula1>
          <xm:sqref>CJV786437:CJV786460</xm:sqref>
        </x14:dataValidation>
        <x14:dataValidation type="list" allowBlank="1" showInputMessage="1" showErrorMessage="1" xr:uid="{00000000-0002-0000-0300-0000EB160000}">
          <x14:formula1>
            <xm:f>項目!A4:$CTI$786434</xm:f>
          </x14:formula1>
          <xm:sqref>CTR786437:CTR786460</xm:sqref>
        </x14:dataValidation>
        <x14:dataValidation type="list" allowBlank="1" showInputMessage="1" showErrorMessage="1" xr:uid="{00000000-0002-0000-0300-0000EC160000}">
          <x14:formula1>
            <xm:f>項目!A4:$DDE$786434</xm:f>
          </x14:formula1>
          <xm:sqref>DDN786437:DDN786460</xm:sqref>
        </x14:dataValidation>
        <x14:dataValidation type="list" allowBlank="1" showInputMessage="1" showErrorMessage="1" xr:uid="{00000000-0002-0000-0300-0000ED160000}">
          <x14:formula1>
            <xm:f>項目!A4:$DNA$786434</xm:f>
          </x14:formula1>
          <xm:sqref>DNJ786437:DNJ786460</xm:sqref>
        </x14:dataValidation>
        <x14:dataValidation type="list" allowBlank="1" showInputMessage="1" showErrorMessage="1" xr:uid="{00000000-0002-0000-0300-0000EE160000}">
          <x14:formula1>
            <xm:f>項目!A4:$DWW$786434</xm:f>
          </x14:formula1>
          <xm:sqref>DXF786437:DXF786460</xm:sqref>
        </x14:dataValidation>
        <x14:dataValidation type="list" allowBlank="1" showInputMessage="1" showErrorMessage="1" xr:uid="{00000000-0002-0000-0300-0000EF160000}">
          <x14:formula1>
            <xm:f>項目!A4:$EGS$786434</xm:f>
          </x14:formula1>
          <xm:sqref>EHB786437:EHB786460</xm:sqref>
        </x14:dataValidation>
        <x14:dataValidation type="list" allowBlank="1" showInputMessage="1" showErrorMessage="1" xr:uid="{00000000-0002-0000-0300-0000F0160000}">
          <x14:formula1>
            <xm:f>項目!A4:$EQO$786434</xm:f>
          </x14:formula1>
          <xm:sqref>EQX786437:EQX786460</xm:sqref>
        </x14:dataValidation>
        <x14:dataValidation type="list" allowBlank="1" showInputMessage="1" showErrorMessage="1" xr:uid="{00000000-0002-0000-0300-0000F1160000}">
          <x14:formula1>
            <xm:f>項目!A4:$FAK$786434</xm:f>
          </x14:formula1>
          <xm:sqref>FAT786437:FAT786460</xm:sqref>
        </x14:dataValidation>
        <x14:dataValidation type="list" allowBlank="1" showInputMessage="1" showErrorMessage="1" xr:uid="{00000000-0002-0000-0300-0000F2160000}">
          <x14:formula1>
            <xm:f>項目!A4:$FKG$786434</xm:f>
          </x14:formula1>
          <xm:sqref>FKP786437:FKP786460</xm:sqref>
        </x14:dataValidation>
        <x14:dataValidation type="list" allowBlank="1" showInputMessage="1" showErrorMessage="1" xr:uid="{00000000-0002-0000-0300-0000F3160000}">
          <x14:formula1>
            <xm:f>項目!A4:$FUC$786434</xm:f>
          </x14:formula1>
          <xm:sqref>FUL786437:FUL786460</xm:sqref>
        </x14:dataValidation>
        <x14:dataValidation type="list" allowBlank="1" showInputMessage="1" showErrorMessage="1" xr:uid="{00000000-0002-0000-0300-0000F4160000}">
          <x14:formula1>
            <xm:f>項目!A4:$GDY$786434</xm:f>
          </x14:formula1>
          <xm:sqref>GEH786437:GEH786460</xm:sqref>
        </x14:dataValidation>
        <x14:dataValidation type="list" allowBlank="1" showInputMessage="1" showErrorMessage="1" xr:uid="{00000000-0002-0000-0300-0000F5160000}">
          <x14:formula1>
            <xm:f>項目!A4:$GNU$786434</xm:f>
          </x14:formula1>
          <xm:sqref>GOD786437:GOD786460</xm:sqref>
        </x14:dataValidation>
        <x14:dataValidation type="list" allowBlank="1" showInputMessage="1" showErrorMessage="1" xr:uid="{00000000-0002-0000-0300-0000F6160000}">
          <x14:formula1>
            <xm:f>項目!A4:$GXQ$786434</xm:f>
          </x14:formula1>
          <xm:sqref>GXZ786437:GXZ786460</xm:sqref>
        </x14:dataValidation>
        <x14:dataValidation type="list" allowBlank="1" showInputMessage="1" showErrorMessage="1" xr:uid="{00000000-0002-0000-0300-0000F7160000}">
          <x14:formula1>
            <xm:f>項目!A4:$HHM$786434</xm:f>
          </x14:formula1>
          <xm:sqref>HHV786437:HHV786460</xm:sqref>
        </x14:dataValidation>
        <x14:dataValidation type="list" allowBlank="1" showInputMessage="1" showErrorMessage="1" xr:uid="{00000000-0002-0000-0300-0000F8160000}">
          <x14:formula1>
            <xm:f>項目!A4:$HRI$786434</xm:f>
          </x14:formula1>
          <xm:sqref>HRR786437:HRR786460</xm:sqref>
        </x14:dataValidation>
        <x14:dataValidation type="list" allowBlank="1" showInputMessage="1" showErrorMessage="1" xr:uid="{00000000-0002-0000-0300-0000F9160000}">
          <x14:formula1>
            <xm:f>項目!A4:$IBE$786434</xm:f>
          </x14:formula1>
          <xm:sqref>IBN786437:IBN786460</xm:sqref>
        </x14:dataValidation>
        <x14:dataValidation type="list" allowBlank="1" showInputMessage="1" showErrorMessage="1" xr:uid="{00000000-0002-0000-0300-0000FA160000}">
          <x14:formula1>
            <xm:f>項目!A4:$ILA$786434</xm:f>
          </x14:formula1>
          <xm:sqref>ILJ786437:ILJ786460</xm:sqref>
        </x14:dataValidation>
        <x14:dataValidation type="list" allowBlank="1" showInputMessage="1" showErrorMessage="1" xr:uid="{00000000-0002-0000-0300-0000FB160000}">
          <x14:formula1>
            <xm:f>項目!A4:$IUW$786434</xm:f>
          </x14:formula1>
          <xm:sqref>IVF786437:IVF786460</xm:sqref>
        </x14:dataValidation>
        <x14:dataValidation type="list" allowBlank="1" showInputMessage="1" showErrorMessage="1" xr:uid="{00000000-0002-0000-0300-0000FC160000}">
          <x14:formula1>
            <xm:f>項目!A4:$JES$786434</xm:f>
          </x14:formula1>
          <xm:sqref>JFB786437:JFB786460</xm:sqref>
        </x14:dataValidation>
        <x14:dataValidation type="list" allowBlank="1" showInputMessage="1" showErrorMessage="1" xr:uid="{00000000-0002-0000-0300-0000FD160000}">
          <x14:formula1>
            <xm:f>項目!A4:$JOO$786434</xm:f>
          </x14:formula1>
          <xm:sqref>JOX786437:JOX786460</xm:sqref>
        </x14:dataValidation>
        <x14:dataValidation type="list" allowBlank="1" showInputMessage="1" showErrorMessage="1" xr:uid="{00000000-0002-0000-0300-0000FE160000}">
          <x14:formula1>
            <xm:f>項目!A4:$JYK$786434</xm:f>
          </x14:formula1>
          <xm:sqref>JYT786437:JYT786460</xm:sqref>
        </x14:dataValidation>
        <x14:dataValidation type="list" allowBlank="1" showInputMessage="1" showErrorMessage="1" xr:uid="{00000000-0002-0000-0300-0000FF160000}">
          <x14:formula1>
            <xm:f>項目!A4:$KIG$786434</xm:f>
          </x14:formula1>
          <xm:sqref>KIP786437:KIP786460</xm:sqref>
        </x14:dataValidation>
        <x14:dataValidation type="list" allowBlank="1" showInputMessage="1" showErrorMessage="1" xr:uid="{00000000-0002-0000-0300-000000170000}">
          <x14:formula1>
            <xm:f>項目!A4:$KSC$786434</xm:f>
          </x14:formula1>
          <xm:sqref>KSL786437:KSL786460</xm:sqref>
        </x14:dataValidation>
        <x14:dataValidation type="list" allowBlank="1" showInputMessage="1" showErrorMessage="1" xr:uid="{00000000-0002-0000-0300-000001170000}">
          <x14:formula1>
            <xm:f>項目!A4:$LBY$786434</xm:f>
          </x14:formula1>
          <xm:sqref>LCH786437:LCH786460</xm:sqref>
        </x14:dataValidation>
        <x14:dataValidation type="list" allowBlank="1" showInputMessage="1" showErrorMessage="1" xr:uid="{00000000-0002-0000-0300-000002170000}">
          <x14:formula1>
            <xm:f>項目!A4:$LLU$786434</xm:f>
          </x14:formula1>
          <xm:sqref>LMD786437:LMD786460</xm:sqref>
        </x14:dataValidation>
        <x14:dataValidation type="list" allowBlank="1" showInputMessage="1" showErrorMessage="1" xr:uid="{00000000-0002-0000-0300-000003170000}">
          <x14:formula1>
            <xm:f>項目!A4:$LVQ$786434</xm:f>
          </x14:formula1>
          <xm:sqref>LVZ786437:LVZ786460</xm:sqref>
        </x14:dataValidation>
        <x14:dataValidation type="list" allowBlank="1" showInputMessage="1" showErrorMessage="1" xr:uid="{00000000-0002-0000-0300-000004170000}">
          <x14:formula1>
            <xm:f>項目!A4:$MFM$786434</xm:f>
          </x14:formula1>
          <xm:sqref>MFV786437:MFV786460</xm:sqref>
        </x14:dataValidation>
        <x14:dataValidation type="list" allowBlank="1" showInputMessage="1" showErrorMessage="1" xr:uid="{00000000-0002-0000-0300-000005170000}">
          <x14:formula1>
            <xm:f>項目!A4:$MPI$786434</xm:f>
          </x14:formula1>
          <xm:sqref>MPR786437:MPR786460</xm:sqref>
        </x14:dataValidation>
        <x14:dataValidation type="list" allowBlank="1" showInputMessage="1" showErrorMessage="1" xr:uid="{00000000-0002-0000-0300-000006170000}">
          <x14:formula1>
            <xm:f>項目!A4:$MZE$786434</xm:f>
          </x14:formula1>
          <xm:sqref>MZN786437:MZN786460</xm:sqref>
        </x14:dataValidation>
        <x14:dataValidation type="list" allowBlank="1" showInputMessage="1" showErrorMessage="1" xr:uid="{00000000-0002-0000-0300-000007170000}">
          <x14:formula1>
            <xm:f>項目!A4:$NJA$786434</xm:f>
          </x14:formula1>
          <xm:sqref>NJJ786437:NJJ786460</xm:sqref>
        </x14:dataValidation>
        <x14:dataValidation type="list" allowBlank="1" showInputMessage="1" showErrorMessage="1" xr:uid="{00000000-0002-0000-0300-000008170000}">
          <x14:formula1>
            <xm:f>項目!A4:$NSW$786434</xm:f>
          </x14:formula1>
          <xm:sqref>NTF786437:NTF786460</xm:sqref>
        </x14:dataValidation>
        <x14:dataValidation type="list" allowBlank="1" showInputMessage="1" showErrorMessage="1" xr:uid="{00000000-0002-0000-0300-000009170000}">
          <x14:formula1>
            <xm:f>項目!A4:$OCS$786434</xm:f>
          </x14:formula1>
          <xm:sqref>ODB786437:ODB786460</xm:sqref>
        </x14:dataValidation>
        <x14:dataValidation type="list" allowBlank="1" showInputMessage="1" showErrorMessage="1" xr:uid="{00000000-0002-0000-0300-00000A170000}">
          <x14:formula1>
            <xm:f>項目!A4:$OMO$786434</xm:f>
          </x14:formula1>
          <xm:sqref>OMX786437:OMX786460</xm:sqref>
        </x14:dataValidation>
        <x14:dataValidation type="list" allowBlank="1" showInputMessage="1" showErrorMessage="1" xr:uid="{00000000-0002-0000-0300-00000B170000}">
          <x14:formula1>
            <xm:f>項目!A4:$OWK$786434</xm:f>
          </x14:formula1>
          <xm:sqref>OWT786437:OWT786460</xm:sqref>
        </x14:dataValidation>
        <x14:dataValidation type="list" allowBlank="1" showInputMessage="1" showErrorMessage="1" xr:uid="{00000000-0002-0000-0300-00000C170000}">
          <x14:formula1>
            <xm:f>項目!A4:$PGG$786434</xm:f>
          </x14:formula1>
          <xm:sqref>PGP786437:PGP786460</xm:sqref>
        </x14:dataValidation>
        <x14:dataValidation type="list" allowBlank="1" showInputMessage="1" showErrorMessage="1" xr:uid="{00000000-0002-0000-0300-00000D170000}">
          <x14:formula1>
            <xm:f>項目!A4:$PQC$786434</xm:f>
          </x14:formula1>
          <xm:sqref>PQL786437:PQL786460</xm:sqref>
        </x14:dataValidation>
        <x14:dataValidation type="list" allowBlank="1" showInputMessage="1" showErrorMessage="1" xr:uid="{00000000-0002-0000-0300-00000E170000}">
          <x14:formula1>
            <xm:f>項目!A4:$PZY$786434</xm:f>
          </x14:formula1>
          <xm:sqref>QAH786437:QAH786460</xm:sqref>
        </x14:dataValidation>
        <x14:dataValidation type="list" allowBlank="1" showInputMessage="1" showErrorMessage="1" xr:uid="{00000000-0002-0000-0300-00000F170000}">
          <x14:formula1>
            <xm:f>項目!A4:$QJU$786434</xm:f>
          </x14:formula1>
          <xm:sqref>QKD786437:QKD786460</xm:sqref>
        </x14:dataValidation>
        <x14:dataValidation type="list" allowBlank="1" showInputMessage="1" showErrorMessage="1" xr:uid="{00000000-0002-0000-0300-000010170000}">
          <x14:formula1>
            <xm:f>項目!A4:$QTQ$786434</xm:f>
          </x14:formula1>
          <xm:sqref>QTZ786437:QTZ786460</xm:sqref>
        </x14:dataValidation>
        <x14:dataValidation type="list" allowBlank="1" showInputMessage="1" showErrorMessage="1" xr:uid="{00000000-0002-0000-0300-000011170000}">
          <x14:formula1>
            <xm:f>項目!A4:$RDM$786434</xm:f>
          </x14:formula1>
          <xm:sqref>RDV786437:RDV786460</xm:sqref>
        </x14:dataValidation>
        <x14:dataValidation type="list" allowBlank="1" showInputMessage="1" showErrorMessage="1" xr:uid="{00000000-0002-0000-0300-000012170000}">
          <x14:formula1>
            <xm:f>項目!A4:$RNI$786434</xm:f>
          </x14:formula1>
          <xm:sqref>RNR786437:RNR786460</xm:sqref>
        </x14:dataValidation>
        <x14:dataValidation type="list" allowBlank="1" showInputMessage="1" showErrorMessage="1" xr:uid="{00000000-0002-0000-0300-000013170000}">
          <x14:formula1>
            <xm:f>項目!A4:$RXE$786434</xm:f>
          </x14:formula1>
          <xm:sqref>RXN786437:RXN786460</xm:sqref>
        </x14:dataValidation>
        <x14:dataValidation type="list" allowBlank="1" showInputMessage="1" showErrorMessage="1" xr:uid="{00000000-0002-0000-0300-000014170000}">
          <x14:formula1>
            <xm:f>項目!A4:$SHA$786434</xm:f>
          </x14:formula1>
          <xm:sqref>SHJ786437:SHJ786460</xm:sqref>
        </x14:dataValidation>
        <x14:dataValidation type="list" allowBlank="1" showInputMessage="1" showErrorMessage="1" xr:uid="{00000000-0002-0000-0300-000015170000}">
          <x14:formula1>
            <xm:f>項目!A4:$SQW$786434</xm:f>
          </x14:formula1>
          <xm:sqref>SRF786437:SRF786460</xm:sqref>
        </x14:dataValidation>
        <x14:dataValidation type="list" allowBlank="1" showInputMessage="1" showErrorMessage="1" xr:uid="{00000000-0002-0000-0300-000016170000}">
          <x14:formula1>
            <xm:f>項目!A4:$TAS$786434</xm:f>
          </x14:formula1>
          <xm:sqref>TBB786437:TBB786460</xm:sqref>
        </x14:dataValidation>
        <x14:dataValidation type="list" allowBlank="1" showInputMessage="1" showErrorMessage="1" xr:uid="{00000000-0002-0000-0300-000017170000}">
          <x14:formula1>
            <xm:f>項目!A4:$TKO$786434</xm:f>
          </x14:formula1>
          <xm:sqref>TKX786437:TKX786460</xm:sqref>
        </x14:dataValidation>
        <x14:dataValidation type="list" allowBlank="1" showInputMessage="1" showErrorMessage="1" xr:uid="{00000000-0002-0000-0300-000018170000}">
          <x14:formula1>
            <xm:f>項目!A4:$TUK$786434</xm:f>
          </x14:formula1>
          <xm:sqref>TUT786437:TUT786460</xm:sqref>
        </x14:dataValidation>
        <x14:dataValidation type="list" allowBlank="1" showInputMessage="1" showErrorMessage="1" xr:uid="{00000000-0002-0000-0300-000019170000}">
          <x14:formula1>
            <xm:f>項目!A4:$UEG$786434</xm:f>
          </x14:formula1>
          <xm:sqref>UEP786437:UEP786460</xm:sqref>
        </x14:dataValidation>
        <x14:dataValidation type="list" allowBlank="1" showInputMessage="1" showErrorMessage="1" xr:uid="{00000000-0002-0000-0300-00001A170000}">
          <x14:formula1>
            <xm:f>項目!A4:$UOC$786434</xm:f>
          </x14:formula1>
          <xm:sqref>UOL786437:UOL786460</xm:sqref>
        </x14:dataValidation>
        <x14:dataValidation type="list" allowBlank="1" showInputMessage="1" showErrorMessage="1" xr:uid="{00000000-0002-0000-0300-00001B170000}">
          <x14:formula1>
            <xm:f>項目!A4:$UXY$786434</xm:f>
          </x14:formula1>
          <xm:sqref>UYH786437:UYH786460</xm:sqref>
        </x14:dataValidation>
        <x14:dataValidation type="list" allowBlank="1" showInputMessage="1" showErrorMessage="1" xr:uid="{00000000-0002-0000-0300-00001C170000}">
          <x14:formula1>
            <xm:f>項目!A4:$VHU$786434</xm:f>
          </x14:formula1>
          <xm:sqref>VID786437:VID786460</xm:sqref>
        </x14:dataValidation>
        <x14:dataValidation type="list" allowBlank="1" showInputMessage="1" showErrorMessage="1" xr:uid="{00000000-0002-0000-0300-00001D170000}">
          <x14:formula1>
            <xm:f>項目!A4:$VRQ$786434</xm:f>
          </x14:formula1>
          <xm:sqref>VRZ786437:VRZ786460</xm:sqref>
        </x14:dataValidation>
        <x14:dataValidation type="list" allowBlank="1" showInputMessage="1" showErrorMessage="1" xr:uid="{00000000-0002-0000-0300-00001E170000}">
          <x14:formula1>
            <xm:f>項目!A4:$WBM$786434</xm:f>
          </x14:formula1>
          <xm:sqref>WBV786437:WBV786460</xm:sqref>
        </x14:dataValidation>
        <x14:dataValidation type="list" allowBlank="1" showInputMessage="1" showErrorMessage="1" xr:uid="{00000000-0002-0000-0300-00001F170000}">
          <x14:formula1>
            <xm:f>項目!A4:$WLI$786434</xm:f>
          </x14:formula1>
          <xm:sqref>WLR786437:WLR786460</xm:sqref>
        </x14:dataValidation>
        <x14:dataValidation type="list" allowBlank="1" showInputMessage="1" showErrorMessage="1" xr:uid="{00000000-0002-0000-0300-000020170000}">
          <x14:formula1>
            <xm:f>項目!A4:$WVE$786434</xm:f>
          </x14:formula1>
          <xm:sqref>WVN786437:WVN786460</xm:sqref>
        </x14:dataValidation>
        <x14:dataValidation type="list" allowBlank="1" showInputMessage="1" showErrorMessage="1" xr:uid="{00000000-0002-0000-0300-000021170000}">
          <x14:formula1>
            <xm:f>項目!A4:$IS$851970</xm:f>
          </x14:formula1>
          <xm:sqref>JB851973:JB851996</xm:sqref>
        </x14:dataValidation>
        <x14:dataValidation type="list" allowBlank="1" showInputMessage="1" showErrorMessage="1" xr:uid="{00000000-0002-0000-0300-000022170000}">
          <x14:formula1>
            <xm:f>項目!A4:$SO$851970</xm:f>
          </x14:formula1>
          <xm:sqref>SX851973:SX851996</xm:sqref>
        </x14:dataValidation>
        <x14:dataValidation type="list" allowBlank="1" showInputMessage="1" showErrorMessage="1" xr:uid="{00000000-0002-0000-0300-000023170000}">
          <x14:formula1>
            <xm:f>項目!A4:$ACK$851970</xm:f>
          </x14:formula1>
          <xm:sqref>ACT851973:ACT851996</xm:sqref>
        </x14:dataValidation>
        <x14:dataValidation type="list" allowBlank="1" showInputMessage="1" showErrorMessage="1" xr:uid="{00000000-0002-0000-0300-000024170000}">
          <x14:formula1>
            <xm:f>項目!A4:$AMG$851970</xm:f>
          </x14:formula1>
          <xm:sqref>AMP851973:AMP851996</xm:sqref>
        </x14:dataValidation>
        <x14:dataValidation type="list" allowBlank="1" showInputMessage="1" showErrorMessage="1" xr:uid="{00000000-0002-0000-0300-000025170000}">
          <x14:formula1>
            <xm:f>項目!A4:$AWC$851970</xm:f>
          </x14:formula1>
          <xm:sqref>AWL851973:AWL851996</xm:sqref>
        </x14:dataValidation>
        <x14:dataValidation type="list" allowBlank="1" showInputMessage="1" showErrorMessage="1" xr:uid="{00000000-0002-0000-0300-000026170000}">
          <x14:formula1>
            <xm:f>項目!A4:$BFY$851970</xm:f>
          </x14:formula1>
          <xm:sqref>BGH851973:BGH851996</xm:sqref>
        </x14:dataValidation>
        <x14:dataValidation type="list" allowBlank="1" showInputMessage="1" showErrorMessage="1" xr:uid="{00000000-0002-0000-0300-000027170000}">
          <x14:formula1>
            <xm:f>項目!A4:$BPU$851970</xm:f>
          </x14:formula1>
          <xm:sqref>BQD851973:BQD851996</xm:sqref>
        </x14:dataValidation>
        <x14:dataValidation type="list" allowBlank="1" showInputMessage="1" showErrorMessage="1" xr:uid="{00000000-0002-0000-0300-000028170000}">
          <x14:formula1>
            <xm:f>項目!A4:$BZQ$851970</xm:f>
          </x14:formula1>
          <xm:sqref>BZZ851973:BZZ851996</xm:sqref>
        </x14:dataValidation>
        <x14:dataValidation type="list" allowBlank="1" showInputMessage="1" showErrorMessage="1" xr:uid="{00000000-0002-0000-0300-000029170000}">
          <x14:formula1>
            <xm:f>項目!A4:$CJM$851970</xm:f>
          </x14:formula1>
          <xm:sqref>CJV851973:CJV851996</xm:sqref>
        </x14:dataValidation>
        <x14:dataValidation type="list" allowBlank="1" showInputMessage="1" showErrorMessage="1" xr:uid="{00000000-0002-0000-0300-00002A170000}">
          <x14:formula1>
            <xm:f>項目!A4:$CTI$851970</xm:f>
          </x14:formula1>
          <xm:sqref>CTR851973:CTR851996</xm:sqref>
        </x14:dataValidation>
        <x14:dataValidation type="list" allowBlank="1" showInputMessage="1" showErrorMessage="1" xr:uid="{00000000-0002-0000-0300-00002B170000}">
          <x14:formula1>
            <xm:f>項目!A4:$DDE$851970</xm:f>
          </x14:formula1>
          <xm:sqref>DDN851973:DDN851996</xm:sqref>
        </x14:dataValidation>
        <x14:dataValidation type="list" allowBlank="1" showInputMessage="1" showErrorMessage="1" xr:uid="{00000000-0002-0000-0300-00002C170000}">
          <x14:formula1>
            <xm:f>項目!A4:$DNA$851970</xm:f>
          </x14:formula1>
          <xm:sqref>DNJ851973:DNJ851996</xm:sqref>
        </x14:dataValidation>
        <x14:dataValidation type="list" allowBlank="1" showInputMessage="1" showErrorMessage="1" xr:uid="{00000000-0002-0000-0300-00002D170000}">
          <x14:formula1>
            <xm:f>項目!A4:$DWW$851970</xm:f>
          </x14:formula1>
          <xm:sqref>DXF851973:DXF851996</xm:sqref>
        </x14:dataValidation>
        <x14:dataValidation type="list" allowBlank="1" showInputMessage="1" showErrorMessage="1" xr:uid="{00000000-0002-0000-0300-00002E170000}">
          <x14:formula1>
            <xm:f>項目!A4:$EGS$851970</xm:f>
          </x14:formula1>
          <xm:sqref>EHB851973:EHB851996</xm:sqref>
        </x14:dataValidation>
        <x14:dataValidation type="list" allowBlank="1" showInputMessage="1" showErrorMessage="1" xr:uid="{00000000-0002-0000-0300-00002F170000}">
          <x14:formula1>
            <xm:f>項目!A4:$EQO$851970</xm:f>
          </x14:formula1>
          <xm:sqref>EQX851973:EQX851996</xm:sqref>
        </x14:dataValidation>
        <x14:dataValidation type="list" allowBlank="1" showInputMessage="1" showErrorMessage="1" xr:uid="{00000000-0002-0000-0300-000030170000}">
          <x14:formula1>
            <xm:f>項目!A4:$FAK$851970</xm:f>
          </x14:formula1>
          <xm:sqref>FAT851973:FAT851996</xm:sqref>
        </x14:dataValidation>
        <x14:dataValidation type="list" allowBlank="1" showInputMessage="1" showErrorMessage="1" xr:uid="{00000000-0002-0000-0300-000031170000}">
          <x14:formula1>
            <xm:f>項目!A4:$FKG$851970</xm:f>
          </x14:formula1>
          <xm:sqref>FKP851973:FKP851996</xm:sqref>
        </x14:dataValidation>
        <x14:dataValidation type="list" allowBlank="1" showInputMessage="1" showErrorMessage="1" xr:uid="{00000000-0002-0000-0300-000032170000}">
          <x14:formula1>
            <xm:f>項目!A4:$FUC$851970</xm:f>
          </x14:formula1>
          <xm:sqref>FUL851973:FUL851996</xm:sqref>
        </x14:dataValidation>
        <x14:dataValidation type="list" allowBlank="1" showInputMessage="1" showErrorMessage="1" xr:uid="{00000000-0002-0000-0300-000033170000}">
          <x14:formula1>
            <xm:f>項目!A4:$GDY$851970</xm:f>
          </x14:formula1>
          <xm:sqref>GEH851973:GEH851996</xm:sqref>
        </x14:dataValidation>
        <x14:dataValidation type="list" allowBlank="1" showInputMessage="1" showErrorMessage="1" xr:uid="{00000000-0002-0000-0300-000034170000}">
          <x14:formula1>
            <xm:f>項目!A4:$GNU$851970</xm:f>
          </x14:formula1>
          <xm:sqref>GOD851973:GOD851996</xm:sqref>
        </x14:dataValidation>
        <x14:dataValidation type="list" allowBlank="1" showInputMessage="1" showErrorMessage="1" xr:uid="{00000000-0002-0000-0300-000035170000}">
          <x14:formula1>
            <xm:f>項目!A4:$GXQ$851970</xm:f>
          </x14:formula1>
          <xm:sqref>GXZ851973:GXZ851996</xm:sqref>
        </x14:dataValidation>
        <x14:dataValidation type="list" allowBlank="1" showInputMessage="1" showErrorMessage="1" xr:uid="{00000000-0002-0000-0300-000036170000}">
          <x14:formula1>
            <xm:f>項目!A4:$HHM$851970</xm:f>
          </x14:formula1>
          <xm:sqref>HHV851973:HHV851996</xm:sqref>
        </x14:dataValidation>
        <x14:dataValidation type="list" allowBlank="1" showInputMessage="1" showErrorMessage="1" xr:uid="{00000000-0002-0000-0300-000037170000}">
          <x14:formula1>
            <xm:f>項目!A4:$HRI$851970</xm:f>
          </x14:formula1>
          <xm:sqref>HRR851973:HRR851996</xm:sqref>
        </x14:dataValidation>
        <x14:dataValidation type="list" allowBlank="1" showInputMessage="1" showErrorMessage="1" xr:uid="{00000000-0002-0000-0300-000038170000}">
          <x14:formula1>
            <xm:f>項目!A4:$IBE$851970</xm:f>
          </x14:formula1>
          <xm:sqref>IBN851973:IBN851996</xm:sqref>
        </x14:dataValidation>
        <x14:dataValidation type="list" allowBlank="1" showInputMessage="1" showErrorMessage="1" xr:uid="{00000000-0002-0000-0300-000039170000}">
          <x14:formula1>
            <xm:f>項目!A4:$ILA$851970</xm:f>
          </x14:formula1>
          <xm:sqref>ILJ851973:ILJ851996</xm:sqref>
        </x14:dataValidation>
        <x14:dataValidation type="list" allowBlank="1" showInputMessage="1" showErrorMessage="1" xr:uid="{00000000-0002-0000-0300-00003A170000}">
          <x14:formula1>
            <xm:f>項目!A4:$IUW$851970</xm:f>
          </x14:formula1>
          <xm:sqref>IVF851973:IVF851996</xm:sqref>
        </x14:dataValidation>
        <x14:dataValidation type="list" allowBlank="1" showInputMessage="1" showErrorMessage="1" xr:uid="{00000000-0002-0000-0300-00003B170000}">
          <x14:formula1>
            <xm:f>項目!A4:$JES$851970</xm:f>
          </x14:formula1>
          <xm:sqref>JFB851973:JFB851996</xm:sqref>
        </x14:dataValidation>
        <x14:dataValidation type="list" allowBlank="1" showInputMessage="1" showErrorMessage="1" xr:uid="{00000000-0002-0000-0300-00003C170000}">
          <x14:formula1>
            <xm:f>項目!A4:$JOO$851970</xm:f>
          </x14:formula1>
          <xm:sqref>JOX851973:JOX851996</xm:sqref>
        </x14:dataValidation>
        <x14:dataValidation type="list" allowBlank="1" showInputMessage="1" showErrorMessage="1" xr:uid="{00000000-0002-0000-0300-00003D170000}">
          <x14:formula1>
            <xm:f>項目!A4:$JYK$851970</xm:f>
          </x14:formula1>
          <xm:sqref>JYT851973:JYT851996</xm:sqref>
        </x14:dataValidation>
        <x14:dataValidation type="list" allowBlank="1" showInputMessage="1" showErrorMessage="1" xr:uid="{00000000-0002-0000-0300-00003E170000}">
          <x14:formula1>
            <xm:f>項目!A4:$KIG$851970</xm:f>
          </x14:formula1>
          <xm:sqref>KIP851973:KIP851996</xm:sqref>
        </x14:dataValidation>
        <x14:dataValidation type="list" allowBlank="1" showInputMessage="1" showErrorMessage="1" xr:uid="{00000000-0002-0000-0300-00003F170000}">
          <x14:formula1>
            <xm:f>項目!A4:$KSC$851970</xm:f>
          </x14:formula1>
          <xm:sqref>KSL851973:KSL851996</xm:sqref>
        </x14:dataValidation>
        <x14:dataValidation type="list" allowBlank="1" showInputMessage="1" showErrorMessage="1" xr:uid="{00000000-0002-0000-0300-000040170000}">
          <x14:formula1>
            <xm:f>項目!A4:$LBY$851970</xm:f>
          </x14:formula1>
          <xm:sqref>LCH851973:LCH851996</xm:sqref>
        </x14:dataValidation>
        <x14:dataValidation type="list" allowBlank="1" showInputMessage="1" showErrorMessage="1" xr:uid="{00000000-0002-0000-0300-000041170000}">
          <x14:formula1>
            <xm:f>項目!A4:$LLU$851970</xm:f>
          </x14:formula1>
          <xm:sqref>LMD851973:LMD851996</xm:sqref>
        </x14:dataValidation>
        <x14:dataValidation type="list" allowBlank="1" showInputMessage="1" showErrorMessage="1" xr:uid="{00000000-0002-0000-0300-000042170000}">
          <x14:formula1>
            <xm:f>項目!A4:$LVQ$851970</xm:f>
          </x14:formula1>
          <xm:sqref>LVZ851973:LVZ851996</xm:sqref>
        </x14:dataValidation>
        <x14:dataValidation type="list" allowBlank="1" showInputMessage="1" showErrorMessage="1" xr:uid="{00000000-0002-0000-0300-000043170000}">
          <x14:formula1>
            <xm:f>項目!A4:$MFM$851970</xm:f>
          </x14:formula1>
          <xm:sqref>MFV851973:MFV851996</xm:sqref>
        </x14:dataValidation>
        <x14:dataValidation type="list" allowBlank="1" showInputMessage="1" showErrorMessage="1" xr:uid="{00000000-0002-0000-0300-000044170000}">
          <x14:formula1>
            <xm:f>項目!A4:$MPI$851970</xm:f>
          </x14:formula1>
          <xm:sqref>MPR851973:MPR851996</xm:sqref>
        </x14:dataValidation>
        <x14:dataValidation type="list" allowBlank="1" showInputMessage="1" showErrorMessage="1" xr:uid="{00000000-0002-0000-0300-000045170000}">
          <x14:formula1>
            <xm:f>項目!A4:$MZE$851970</xm:f>
          </x14:formula1>
          <xm:sqref>MZN851973:MZN851996</xm:sqref>
        </x14:dataValidation>
        <x14:dataValidation type="list" allowBlank="1" showInputMessage="1" showErrorMessage="1" xr:uid="{00000000-0002-0000-0300-000046170000}">
          <x14:formula1>
            <xm:f>項目!A4:$NJA$851970</xm:f>
          </x14:formula1>
          <xm:sqref>NJJ851973:NJJ851996</xm:sqref>
        </x14:dataValidation>
        <x14:dataValidation type="list" allowBlank="1" showInputMessage="1" showErrorMessage="1" xr:uid="{00000000-0002-0000-0300-000047170000}">
          <x14:formula1>
            <xm:f>項目!A4:$NSW$851970</xm:f>
          </x14:formula1>
          <xm:sqref>NTF851973:NTF851996</xm:sqref>
        </x14:dataValidation>
        <x14:dataValidation type="list" allowBlank="1" showInputMessage="1" showErrorMessage="1" xr:uid="{00000000-0002-0000-0300-000048170000}">
          <x14:formula1>
            <xm:f>項目!A4:$OCS$851970</xm:f>
          </x14:formula1>
          <xm:sqref>ODB851973:ODB851996</xm:sqref>
        </x14:dataValidation>
        <x14:dataValidation type="list" allowBlank="1" showInputMessage="1" showErrorMessage="1" xr:uid="{00000000-0002-0000-0300-000049170000}">
          <x14:formula1>
            <xm:f>項目!A4:$OMO$851970</xm:f>
          </x14:formula1>
          <xm:sqref>OMX851973:OMX851996</xm:sqref>
        </x14:dataValidation>
        <x14:dataValidation type="list" allowBlank="1" showInputMessage="1" showErrorMessage="1" xr:uid="{00000000-0002-0000-0300-00004A170000}">
          <x14:formula1>
            <xm:f>項目!A4:$OWK$851970</xm:f>
          </x14:formula1>
          <xm:sqref>OWT851973:OWT851996</xm:sqref>
        </x14:dataValidation>
        <x14:dataValidation type="list" allowBlank="1" showInputMessage="1" showErrorMessage="1" xr:uid="{00000000-0002-0000-0300-00004B170000}">
          <x14:formula1>
            <xm:f>項目!A4:$PGG$851970</xm:f>
          </x14:formula1>
          <xm:sqref>PGP851973:PGP851996</xm:sqref>
        </x14:dataValidation>
        <x14:dataValidation type="list" allowBlank="1" showInputMessage="1" showErrorMessage="1" xr:uid="{00000000-0002-0000-0300-00004C170000}">
          <x14:formula1>
            <xm:f>項目!A4:$PQC$851970</xm:f>
          </x14:formula1>
          <xm:sqref>PQL851973:PQL851996</xm:sqref>
        </x14:dataValidation>
        <x14:dataValidation type="list" allowBlank="1" showInputMessage="1" showErrorMessage="1" xr:uid="{00000000-0002-0000-0300-00004D170000}">
          <x14:formula1>
            <xm:f>項目!A4:$PZY$851970</xm:f>
          </x14:formula1>
          <xm:sqref>QAH851973:QAH851996</xm:sqref>
        </x14:dataValidation>
        <x14:dataValidation type="list" allowBlank="1" showInputMessage="1" showErrorMessage="1" xr:uid="{00000000-0002-0000-0300-00004E170000}">
          <x14:formula1>
            <xm:f>項目!A4:$QJU$851970</xm:f>
          </x14:formula1>
          <xm:sqref>QKD851973:QKD851996</xm:sqref>
        </x14:dataValidation>
        <x14:dataValidation type="list" allowBlank="1" showInputMessage="1" showErrorMessage="1" xr:uid="{00000000-0002-0000-0300-00004F170000}">
          <x14:formula1>
            <xm:f>項目!A4:$QTQ$851970</xm:f>
          </x14:formula1>
          <xm:sqref>QTZ851973:QTZ851996</xm:sqref>
        </x14:dataValidation>
        <x14:dataValidation type="list" allowBlank="1" showInputMessage="1" showErrorMessage="1" xr:uid="{00000000-0002-0000-0300-000050170000}">
          <x14:formula1>
            <xm:f>項目!A4:$RDM$851970</xm:f>
          </x14:formula1>
          <xm:sqref>RDV851973:RDV851996</xm:sqref>
        </x14:dataValidation>
        <x14:dataValidation type="list" allowBlank="1" showInputMessage="1" showErrorMessage="1" xr:uid="{00000000-0002-0000-0300-000051170000}">
          <x14:formula1>
            <xm:f>項目!A4:$RNI$851970</xm:f>
          </x14:formula1>
          <xm:sqref>RNR851973:RNR851996</xm:sqref>
        </x14:dataValidation>
        <x14:dataValidation type="list" allowBlank="1" showInputMessage="1" showErrorMessage="1" xr:uid="{00000000-0002-0000-0300-000052170000}">
          <x14:formula1>
            <xm:f>項目!A4:$RXE$851970</xm:f>
          </x14:formula1>
          <xm:sqref>RXN851973:RXN851996</xm:sqref>
        </x14:dataValidation>
        <x14:dataValidation type="list" allowBlank="1" showInputMessage="1" showErrorMessage="1" xr:uid="{00000000-0002-0000-0300-000053170000}">
          <x14:formula1>
            <xm:f>項目!A4:$SHA$851970</xm:f>
          </x14:formula1>
          <xm:sqref>SHJ851973:SHJ851996</xm:sqref>
        </x14:dataValidation>
        <x14:dataValidation type="list" allowBlank="1" showInputMessage="1" showErrorMessage="1" xr:uid="{00000000-0002-0000-0300-000054170000}">
          <x14:formula1>
            <xm:f>項目!A4:$SQW$851970</xm:f>
          </x14:formula1>
          <xm:sqref>SRF851973:SRF851996</xm:sqref>
        </x14:dataValidation>
        <x14:dataValidation type="list" allowBlank="1" showInputMessage="1" showErrorMessage="1" xr:uid="{00000000-0002-0000-0300-000055170000}">
          <x14:formula1>
            <xm:f>項目!A4:$TAS$851970</xm:f>
          </x14:formula1>
          <xm:sqref>TBB851973:TBB851996</xm:sqref>
        </x14:dataValidation>
        <x14:dataValidation type="list" allowBlank="1" showInputMessage="1" showErrorMessage="1" xr:uid="{00000000-0002-0000-0300-000056170000}">
          <x14:formula1>
            <xm:f>項目!A4:$TKO$851970</xm:f>
          </x14:formula1>
          <xm:sqref>TKX851973:TKX851996</xm:sqref>
        </x14:dataValidation>
        <x14:dataValidation type="list" allowBlank="1" showInputMessage="1" showErrorMessage="1" xr:uid="{00000000-0002-0000-0300-000057170000}">
          <x14:formula1>
            <xm:f>項目!A4:$TUK$851970</xm:f>
          </x14:formula1>
          <xm:sqref>TUT851973:TUT851996</xm:sqref>
        </x14:dataValidation>
        <x14:dataValidation type="list" allowBlank="1" showInputMessage="1" showErrorMessage="1" xr:uid="{00000000-0002-0000-0300-000058170000}">
          <x14:formula1>
            <xm:f>項目!A4:$UEG$851970</xm:f>
          </x14:formula1>
          <xm:sqref>UEP851973:UEP851996</xm:sqref>
        </x14:dataValidation>
        <x14:dataValidation type="list" allowBlank="1" showInputMessage="1" showErrorMessage="1" xr:uid="{00000000-0002-0000-0300-000059170000}">
          <x14:formula1>
            <xm:f>項目!A4:$UOC$851970</xm:f>
          </x14:formula1>
          <xm:sqref>UOL851973:UOL851996</xm:sqref>
        </x14:dataValidation>
        <x14:dataValidation type="list" allowBlank="1" showInputMessage="1" showErrorMessage="1" xr:uid="{00000000-0002-0000-0300-00005A170000}">
          <x14:formula1>
            <xm:f>項目!A4:$UXY$851970</xm:f>
          </x14:formula1>
          <xm:sqref>UYH851973:UYH851996</xm:sqref>
        </x14:dataValidation>
        <x14:dataValidation type="list" allowBlank="1" showInputMessage="1" showErrorMessage="1" xr:uid="{00000000-0002-0000-0300-00005B170000}">
          <x14:formula1>
            <xm:f>項目!A4:$VHU$851970</xm:f>
          </x14:formula1>
          <xm:sqref>VID851973:VID851996</xm:sqref>
        </x14:dataValidation>
        <x14:dataValidation type="list" allowBlank="1" showInputMessage="1" showErrorMessage="1" xr:uid="{00000000-0002-0000-0300-00005C170000}">
          <x14:formula1>
            <xm:f>項目!A4:$VRQ$851970</xm:f>
          </x14:formula1>
          <xm:sqref>VRZ851973:VRZ851996</xm:sqref>
        </x14:dataValidation>
        <x14:dataValidation type="list" allowBlank="1" showInputMessage="1" showErrorMessage="1" xr:uid="{00000000-0002-0000-0300-00005D170000}">
          <x14:formula1>
            <xm:f>項目!A4:$WBM$851970</xm:f>
          </x14:formula1>
          <xm:sqref>WBV851973:WBV851996</xm:sqref>
        </x14:dataValidation>
        <x14:dataValidation type="list" allowBlank="1" showInputMessage="1" showErrorMessage="1" xr:uid="{00000000-0002-0000-0300-00005E170000}">
          <x14:formula1>
            <xm:f>項目!A4:$WLI$851970</xm:f>
          </x14:formula1>
          <xm:sqref>WLR851973:WLR851996</xm:sqref>
        </x14:dataValidation>
        <x14:dataValidation type="list" allowBlank="1" showInputMessage="1" showErrorMessage="1" xr:uid="{00000000-0002-0000-0300-00005F170000}">
          <x14:formula1>
            <xm:f>項目!A4:$WVE$851970</xm:f>
          </x14:formula1>
          <xm:sqref>WVN851973:WVN851996</xm:sqref>
        </x14:dataValidation>
        <x14:dataValidation type="list" allowBlank="1" showInputMessage="1" showErrorMessage="1" xr:uid="{00000000-0002-0000-0300-000060170000}">
          <x14:formula1>
            <xm:f>項目!A4:$IS$917506</xm:f>
          </x14:formula1>
          <xm:sqref>JB917509:JB917532</xm:sqref>
        </x14:dataValidation>
        <x14:dataValidation type="list" allowBlank="1" showInputMessage="1" showErrorMessage="1" xr:uid="{00000000-0002-0000-0300-000061170000}">
          <x14:formula1>
            <xm:f>項目!A4:$SO$917506</xm:f>
          </x14:formula1>
          <xm:sqref>SX917509:SX917532</xm:sqref>
        </x14:dataValidation>
        <x14:dataValidation type="list" allowBlank="1" showInputMessage="1" showErrorMessage="1" xr:uid="{00000000-0002-0000-0300-000062170000}">
          <x14:formula1>
            <xm:f>項目!A4:$ACK$917506</xm:f>
          </x14:formula1>
          <xm:sqref>ACT917509:ACT917532</xm:sqref>
        </x14:dataValidation>
        <x14:dataValidation type="list" allowBlank="1" showInputMessage="1" showErrorMessage="1" xr:uid="{00000000-0002-0000-0300-000063170000}">
          <x14:formula1>
            <xm:f>項目!A4:$AMG$917506</xm:f>
          </x14:formula1>
          <xm:sqref>AMP917509:AMP917532</xm:sqref>
        </x14:dataValidation>
        <x14:dataValidation type="list" allowBlank="1" showInputMessage="1" showErrorMessage="1" xr:uid="{00000000-0002-0000-0300-000064170000}">
          <x14:formula1>
            <xm:f>項目!A4:$AWC$917506</xm:f>
          </x14:formula1>
          <xm:sqref>AWL917509:AWL917532</xm:sqref>
        </x14:dataValidation>
        <x14:dataValidation type="list" allowBlank="1" showInputMessage="1" showErrorMessage="1" xr:uid="{00000000-0002-0000-0300-000065170000}">
          <x14:formula1>
            <xm:f>項目!A4:$BFY$917506</xm:f>
          </x14:formula1>
          <xm:sqref>BGH917509:BGH917532</xm:sqref>
        </x14:dataValidation>
        <x14:dataValidation type="list" allowBlank="1" showInputMessage="1" showErrorMessage="1" xr:uid="{00000000-0002-0000-0300-000066170000}">
          <x14:formula1>
            <xm:f>項目!A4:$BPU$917506</xm:f>
          </x14:formula1>
          <xm:sqref>BQD917509:BQD917532</xm:sqref>
        </x14:dataValidation>
        <x14:dataValidation type="list" allowBlank="1" showInputMessage="1" showErrorMessage="1" xr:uid="{00000000-0002-0000-0300-000067170000}">
          <x14:formula1>
            <xm:f>項目!A4:$BZQ$917506</xm:f>
          </x14:formula1>
          <xm:sqref>BZZ917509:BZZ917532</xm:sqref>
        </x14:dataValidation>
        <x14:dataValidation type="list" allowBlank="1" showInputMessage="1" showErrorMessage="1" xr:uid="{00000000-0002-0000-0300-000068170000}">
          <x14:formula1>
            <xm:f>項目!A4:$CJM$917506</xm:f>
          </x14:formula1>
          <xm:sqref>CJV917509:CJV917532</xm:sqref>
        </x14:dataValidation>
        <x14:dataValidation type="list" allowBlank="1" showInputMessage="1" showErrorMessage="1" xr:uid="{00000000-0002-0000-0300-000069170000}">
          <x14:formula1>
            <xm:f>項目!A4:$CTI$917506</xm:f>
          </x14:formula1>
          <xm:sqref>CTR917509:CTR917532</xm:sqref>
        </x14:dataValidation>
        <x14:dataValidation type="list" allowBlank="1" showInputMessage="1" showErrorMessage="1" xr:uid="{00000000-0002-0000-0300-00006A170000}">
          <x14:formula1>
            <xm:f>項目!A4:$DDE$917506</xm:f>
          </x14:formula1>
          <xm:sqref>DDN917509:DDN917532</xm:sqref>
        </x14:dataValidation>
        <x14:dataValidation type="list" allowBlank="1" showInputMessage="1" showErrorMessage="1" xr:uid="{00000000-0002-0000-0300-00006B170000}">
          <x14:formula1>
            <xm:f>項目!A4:$DNA$917506</xm:f>
          </x14:formula1>
          <xm:sqref>DNJ917509:DNJ917532</xm:sqref>
        </x14:dataValidation>
        <x14:dataValidation type="list" allowBlank="1" showInputMessage="1" showErrorMessage="1" xr:uid="{00000000-0002-0000-0300-00006C170000}">
          <x14:formula1>
            <xm:f>項目!A4:$DWW$917506</xm:f>
          </x14:formula1>
          <xm:sqref>DXF917509:DXF917532</xm:sqref>
        </x14:dataValidation>
        <x14:dataValidation type="list" allowBlank="1" showInputMessage="1" showErrorMessage="1" xr:uid="{00000000-0002-0000-0300-00006D170000}">
          <x14:formula1>
            <xm:f>項目!A4:$EGS$917506</xm:f>
          </x14:formula1>
          <xm:sqref>EHB917509:EHB917532</xm:sqref>
        </x14:dataValidation>
        <x14:dataValidation type="list" allowBlank="1" showInputMessage="1" showErrorMessage="1" xr:uid="{00000000-0002-0000-0300-00006E170000}">
          <x14:formula1>
            <xm:f>項目!A4:$EQO$917506</xm:f>
          </x14:formula1>
          <xm:sqref>EQX917509:EQX917532</xm:sqref>
        </x14:dataValidation>
        <x14:dataValidation type="list" allowBlank="1" showInputMessage="1" showErrorMessage="1" xr:uid="{00000000-0002-0000-0300-00006F170000}">
          <x14:formula1>
            <xm:f>項目!A4:$FAK$917506</xm:f>
          </x14:formula1>
          <xm:sqref>FAT917509:FAT917532</xm:sqref>
        </x14:dataValidation>
        <x14:dataValidation type="list" allowBlank="1" showInputMessage="1" showErrorMessage="1" xr:uid="{00000000-0002-0000-0300-000070170000}">
          <x14:formula1>
            <xm:f>項目!A4:$FKG$917506</xm:f>
          </x14:formula1>
          <xm:sqref>FKP917509:FKP917532</xm:sqref>
        </x14:dataValidation>
        <x14:dataValidation type="list" allowBlank="1" showInputMessage="1" showErrorMessage="1" xr:uid="{00000000-0002-0000-0300-000071170000}">
          <x14:formula1>
            <xm:f>項目!A4:$FUC$917506</xm:f>
          </x14:formula1>
          <xm:sqref>FUL917509:FUL917532</xm:sqref>
        </x14:dataValidation>
        <x14:dataValidation type="list" allowBlank="1" showInputMessage="1" showErrorMessage="1" xr:uid="{00000000-0002-0000-0300-000072170000}">
          <x14:formula1>
            <xm:f>項目!A4:$GDY$917506</xm:f>
          </x14:formula1>
          <xm:sqref>GEH917509:GEH917532</xm:sqref>
        </x14:dataValidation>
        <x14:dataValidation type="list" allowBlank="1" showInputMessage="1" showErrorMessage="1" xr:uid="{00000000-0002-0000-0300-000073170000}">
          <x14:formula1>
            <xm:f>項目!A4:$GNU$917506</xm:f>
          </x14:formula1>
          <xm:sqref>GOD917509:GOD917532</xm:sqref>
        </x14:dataValidation>
        <x14:dataValidation type="list" allowBlank="1" showInputMessage="1" showErrorMessage="1" xr:uid="{00000000-0002-0000-0300-000074170000}">
          <x14:formula1>
            <xm:f>項目!A4:$GXQ$917506</xm:f>
          </x14:formula1>
          <xm:sqref>GXZ917509:GXZ917532</xm:sqref>
        </x14:dataValidation>
        <x14:dataValidation type="list" allowBlank="1" showInputMessage="1" showErrorMessage="1" xr:uid="{00000000-0002-0000-0300-000075170000}">
          <x14:formula1>
            <xm:f>項目!A4:$HHM$917506</xm:f>
          </x14:formula1>
          <xm:sqref>HHV917509:HHV917532</xm:sqref>
        </x14:dataValidation>
        <x14:dataValidation type="list" allowBlank="1" showInputMessage="1" showErrorMessage="1" xr:uid="{00000000-0002-0000-0300-000076170000}">
          <x14:formula1>
            <xm:f>項目!A4:$HRI$917506</xm:f>
          </x14:formula1>
          <xm:sqref>HRR917509:HRR917532</xm:sqref>
        </x14:dataValidation>
        <x14:dataValidation type="list" allowBlank="1" showInputMessage="1" showErrorMessage="1" xr:uid="{00000000-0002-0000-0300-000077170000}">
          <x14:formula1>
            <xm:f>項目!A4:$IBE$917506</xm:f>
          </x14:formula1>
          <xm:sqref>IBN917509:IBN917532</xm:sqref>
        </x14:dataValidation>
        <x14:dataValidation type="list" allowBlank="1" showInputMessage="1" showErrorMessage="1" xr:uid="{00000000-0002-0000-0300-000078170000}">
          <x14:formula1>
            <xm:f>項目!A4:$ILA$917506</xm:f>
          </x14:formula1>
          <xm:sqref>ILJ917509:ILJ917532</xm:sqref>
        </x14:dataValidation>
        <x14:dataValidation type="list" allowBlank="1" showInputMessage="1" showErrorMessage="1" xr:uid="{00000000-0002-0000-0300-000079170000}">
          <x14:formula1>
            <xm:f>項目!A4:$IUW$917506</xm:f>
          </x14:formula1>
          <xm:sqref>IVF917509:IVF917532</xm:sqref>
        </x14:dataValidation>
        <x14:dataValidation type="list" allowBlank="1" showInputMessage="1" showErrorMessage="1" xr:uid="{00000000-0002-0000-0300-00007A170000}">
          <x14:formula1>
            <xm:f>項目!A4:$JES$917506</xm:f>
          </x14:formula1>
          <xm:sqref>JFB917509:JFB917532</xm:sqref>
        </x14:dataValidation>
        <x14:dataValidation type="list" allowBlank="1" showInputMessage="1" showErrorMessage="1" xr:uid="{00000000-0002-0000-0300-00007B170000}">
          <x14:formula1>
            <xm:f>項目!A4:$JOO$917506</xm:f>
          </x14:formula1>
          <xm:sqref>JOX917509:JOX917532</xm:sqref>
        </x14:dataValidation>
        <x14:dataValidation type="list" allowBlank="1" showInputMessage="1" showErrorMessage="1" xr:uid="{00000000-0002-0000-0300-00007C170000}">
          <x14:formula1>
            <xm:f>項目!A4:$JYK$917506</xm:f>
          </x14:formula1>
          <xm:sqref>JYT917509:JYT917532</xm:sqref>
        </x14:dataValidation>
        <x14:dataValidation type="list" allowBlank="1" showInputMessage="1" showErrorMessage="1" xr:uid="{00000000-0002-0000-0300-00007D170000}">
          <x14:formula1>
            <xm:f>項目!A4:$KIG$917506</xm:f>
          </x14:formula1>
          <xm:sqref>KIP917509:KIP917532</xm:sqref>
        </x14:dataValidation>
        <x14:dataValidation type="list" allowBlank="1" showInputMessage="1" showErrorMessage="1" xr:uid="{00000000-0002-0000-0300-00007E170000}">
          <x14:formula1>
            <xm:f>項目!A4:$KSC$917506</xm:f>
          </x14:formula1>
          <xm:sqref>KSL917509:KSL917532</xm:sqref>
        </x14:dataValidation>
        <x14:dataValidation type="list" allowBlank="1" showInputMessage="1" showErrorMessage="1" xr:uid="{00000000-0002-0000-0300-00007F170000}">
          <x14:formula1>
            <xm:f>項目!A4:$LBY$917506</xm:f>
          </x14:formula1>
          <xm:sqref>LCH917509:LCH917532</xm:sqref>
        </x14:dataValidation>
        <x14:dataValidation type="list" allowBlank="1" showInputMessage="1" showErrorMessage="1" xr:uid="{00000000-0002-0000-0300-000080170000}">
          <x14:formula1>
            <xm:f>項目!A4:$LLU$917506</xm:f>
          </x14:formula1>
          <xm:sqref>LMD917509:LMD917532</xm:sqref>
        </x14:dataValidation>
        <x14:dataValidation type="list" allowBlank="1" showInputMessage="1" showErrorMessage="1" xr:uid="{00000000-0002-0000-0300-000081170000}">
          <x14:formula1>
            <xm:f>項目!A4:$LVQ$917506</xm:f>
          </x14:formula1>
          <xm:sqref>LVZ917509:LVZ917532</xm:sqref>
        </x14:dataValidation>
        <x14:dataValidation type="list" allowBlank="1" showInputMessage="1" showErrorMessage="1" xr:uid="{00000000-0002-0000-0300-000082170000}">
          <x14:formula1>
            <xm:f>項目!A4:$MFM$917506</xm:f>
          </x14:formula1>
          <xm:sqref>MFV917509:MFV917532</xm:sqref>
        </x14:dataValidation>
        <x14:dataValidation type="list" allowBlank="1" showInputMessage="1" showErrorMessage="1" xr:uid="{00000000-0002-0000-0300-000083170000}">
          <x14:formula1>
            <xm:f>項目!A4:$MPI$917506</xm:f>
          </x14:formula1>
          <xm:sqref>MPR917509:MPR917532</xm:sqref>
        </x14:dataValidation>
        <x14:dataValidation type="list" allowBlank="1" showInputMessage="1" showErrorMessage="1" xr:uid="{00000000-0002-0000-0300-000084170000}">
          <x14:formula1>
            <xm:f>項目!A4:$MZE$917506</xm:f>
          </x14:formula1>
          <xm:sqref>MZN917509:MZN917532</xm:sqref>
        </x14:dataValidation>
        <x14:dataValidation type="list" allowBlank="1" showInputMessage="1" showErrorMessage="1" xr:uid="{00000000-0002-0000-0300-000085170000}">
          <x14:formula1>
            <xm:f>項目!A4:$NJA$917506</xm:f>
          </x14:formula1>
          <xm:sqref>NJJ917509:NJJ917532</xm:sqref>
        </x14:dataValidation>
        <x14:dataValidation type="list" allowBlank="1" showInputMessage="1" showErrorMessage="1" xr:uid="{00000000-0002-0000-0300-000086170000}">
          <x14:formula1>
            <xm:f>項目!A4:$NSW$917506</xm:f>
          </x14:formula1>
          <xm:sqref>NTF917509:NTF917532</xm:sqref>
        </x14:dataValidation>
        <x14:dataValidation type="list" allowBlank="1" showInputMessage="1" showErrorMessage="1" xr:uid="{00000000-0002-0000-0300-000087170000}">
          <x14:formula1>
            <xm:f>項目!A4:$OCS$917506</xm:f>
          </x14:formula1>
          <xm:sqref>ODB917509:ODB917532</xm:sqref>
        </x14:dataValidation>
        <x14:dataValidation type="list" allowBlank="1" showInputMessage="1" showErrorMessage="1" xr:uid="{00000000-0002-0000-0300-000088170000}">
          <x14:formula1>
            <xm:f>項目!A4:$OMO$917506</xm:f>
          </x14:formula1>
          <xm:sqref>OMX917509:OMX917532</xm:sqref>
        </x14:dataValidation>
        <x14:dataValidation type="list" allowBlank="1" showInputMessage="1" showErrorMessage="1" xr:uid="{00000000-0002-0000-0300-000089170000}">
          <x14:formula1>
            <xm:f>項目!A4:$OWK$917506</xm:f>
          </x14:formula1>
          <xm:sqref>OWT917509:OWT917532</xm:sqref>
        </x14:dataValidation>
        <x14:dataValidation type="list" allowBlank="1" showInputMessage="1" showErrorMessage="1" xr:uid="{00000000-0002-0000-0300-00008A170000}">
          <x14:formula1>
            <xm:f>項目!A4:$PGG$917506</xm:f>
          </x14:formula1>
          <xm:sqref>PGP917509:PGP917532</xm:sqref>
        </x14:dataValidation>
        <x14:dataValidation type="list" allowBlank="1" showInputMessage="1" showErrorMessage="1" xr:uid="{00000000-0002-0000-0300-00008B170000}">
          <x14:formula1>
            <xm:f>項目!A4:$PQC$917506</xm:f>
          </x14:formula1>
          <xm:sqref>PQL917509:PQL917532</xm:sqref>
        </x14:dataValidation>
        <x14:dataValidation type="list" allowBlank="1" showInputMessage="1" showErrorMessage="1" xr:uid="{00000000-0002-0000-0300-00008C170000}">
          <x14:formula1>
            <xm:f>項目!A4:$PZY$917506</xm:f>
          </x14:formula1>
          <xm:sqref>QAH917509:QAH917532</xm:sqref>
        </x14:dataValidation>
        <x14:dataValidation type="list" allowBlank="1" showInputMessage="1" showErrorMessage="1" xr:uid="{00000000-0002-0000-0300-00008D170000}">
          <x14:formula1>
            <xm:f>項目!A4:$QJU$917506</xm:f>
          </x14:formula1>
          <xm:sqref>QKD917509:QKD917532</xm:sqref>
        </x14:dataValidation>
        <x14:dataValidation type="list" allowBlank="1" showInputMessage="1" showErrorMessage="1" xr:uid="{00000000-0002-0000-0300-00008E170000}">
          <x14:formula1>
            <xm:f>項目!A4:$QTQ$917506</xm:f>
          </x14:formula1>
          <xm:sqref>QTZ917509:QTZ917532</xm:sqref>
        </x14:dataValidation>
        <x14:dataValidation type="list" allowBlank="1" showInputMessage="1" showErrorMessage="1" xr:uid="{00000000-0002-0000-0300-00008F170000}">
          <x14:formula1>
            <xm:f>項目!A4:$RDM$917506</xm:f>
          </x14:formula1>
          <xm:sqref>RDV917509:RDV917532</xm:sqref>
        </x14:dataValidation>
        <x14:dataValidation type="list" allowBlank="1" showInputMessage="1" showErrorMessage="1" xr:uid="{00000000-0002-0000-0300-000090170000}">
          <x14:formula1>
            <xm:f>項目!A4:$RNI$917506</xm:f>
          </x14:formula1>
          <xm:sqref>RNR917509:RNR917532</xm:sqref>
        </x14:dataValidation>
        <x14:dataValidation type="list" allowBlank="1" showInputMessage="1" showErrorMessage="1" xr:uid="{00000000-0002-0000-0300-000091170000}">
          <x14:formula1>
            <xm:f>項目!A4:$RXE$917506</xm:f>
          </x14:formula1>
          <xm:sqref>RXN917509:RXN917532</xm:sqref>
        </x14:dataValidation>
        <x14:dataValidation type="list" allowBlank="1" showInputMessage="1" showErrorMessage="1" xr:uid="{00000000-0002-0000-0300-000092170000}">
          <x14:formula1>
            <xm:f>項目!A4:$SHA$917506</xm:f>
          </x14:formula1>
          <xm:sqref>SHJ917509:SHJ917532</xm:sqref>
        </x14:dataValidation>
        <x14:dataValidation type="list" allowBlank="1" showInputMessage="1" showErrorMessage="1" xr:uid="{00000000-0002-0000-0300-000093170000}">
          <x14:formula1>
            <xm:f>項目!A4:$SQW$917506</xm:f>
          </x14:formula1>
          <xm:sqref>SRF917509:SRF917532</xm:sqref>
        </x14:dataValidation>
        <x14:dataValidation type="list" allowBlank="1" showInputMessage="1" showErrorMessage="1" xr:uid="{00000000-0002-0000-0300-000094170000}">
          <x14:formula1>
            <xm:f>項目!A4:$TAS$917506</xm:f>
          </x14:formula1>
          <xm:sqref>TBB917509:TBB917532</xm:sqref>
        </x14:dataValidation>
        <x14:dataValidation type="list" allowBlank="1" showInputMessage="1" showErrorMessage="1" xr:uid="{00000000-0002-0000-0300-000095170000}">
          <x14:formula1>
            <xm:f>項目!A4:$TKO$917506</xm:f>
          </x14:formula1>
          <xm:sqref>TKX917509:TKX917532</xm:sqref>
        </x14:dataValidation>
        <x14:dataValidation type="list" allowBlank="1" showInputMessage="1" showErrorMessage="1" xr:uid="{00000000-0002-0000-0300-000096170000}">
          <x14:formula1>
            <xm:f>項目!A4:$TUK$917506</xm:f>
          </x14:formula1>
          <xm:sqref>TUT917509:TUT917532</xm:sqref>
        </x14:dataValidation>
        <x14:dataValidation type="list" allowBlank="1" showInputMessage="1" showErrorMessage="1" xr:uid="{00000000-0002-0000-0300-000097170000}">
          <x14:formula1>
            <xm:f>項目!A4:$UEG$917506</xm:f>
          </x14:formula1>
          <xm:sqref>UEP917509:UEP917532</xm:sqref>
        </x14:dataValidation>
        <x14:dataValidation type="list" allowBlank="1" showInputMessage="1" showErrorMessage="1" xr:uid="{00000000-0002-0000-0300-000098170000}">
          <x14:formula1>
            <xm:f>項目!A4:$UOC$917506</xm:f>
          </x14:formula1>
          <xm:sqref>UOL917509:UOL917532</xm:sqref>
        </x14:dataValidation>
        <x14:dataValidation type="list" allowBlank="1" showInputMessage="1" showErrorMessage="1" xr:uid="{00000000-0002-0000-0300-000099170000}">
          <x14:formula1>
            <xm:f>項目!A4:$UXY$917506</xm:f>
          </x14:formula1>
          <xm:sqref>UYH917509:UYH917532</xm:sqref>
        </x14:dataValidation>
        <x14:dataValidation type="list" allowBlank="1" showInputMessage="1" showErrorMessage="1" xr:uid="{00000000-0002-0000-0300-00009A170000}">
          <x14:formula1>
            <xm:f>項目!A4:$VHU$917506</xm:f>
          </x14:formula1>
          <xm:sqref>VID917509:VID917532</xm:sqref>
        </x14:dataValidation>
        <x14:dataValidation type="list" allowBlank="1" showInputMessage="1" showErrorMessage="1" xr:uid="{00000000-0002-0000-0300-00009B170000}">
          <x14:formula1>
            <xm:f>項目!A4:$VRQ$917506</xm:f>
          </x14:formula1>
          <xm:sqref>VRZ917509:VRZ917532</xm:sqref>
        </x14:dataValidation>
        <x14:dataValidation type="list" allowBlank="1" showInputMessage="1" showErrorMessage="1" xr:uid="{00000000-0002-0000-0300-00009C170000}">
          <x14:formula1>
            <xm:f>項目!A4:$WBM$917506</xm:f>
          </x14:formula1>
          <xm:sqref>WBV917509:WBV917532</xm:sqref>
        </x14:dataValidation>
        <x14:dataValidation type="list" allowBlank="1" showInputMessage="1" showErrorMessage="1" xr:uid="{00000000-0002-0000-0300-00009D170000}">
          <x14:formula1>
            <xm:f>項目!A4:$WLI$917506</xm:f>
          </x14:formula1>
          <xm:sqref>WLR917509:WLR917532</xm:sqref>
        </x14:dataValidation>
        <x14:dataValidation type="list" allowBlank="1" showInputMessage="1" showErrorMessage="1" xr:uid="{00000000-0002-0000-0300-00009E170000}">
          <x14:formula1>
            <xm:f>項目!A4:$WVE$917506</xm:f>
          </x14:formula1>
          <xm:sqref>WVN917509:WVN917532</xm:sqref>
        </x14:dataValidation>
        <x14:dataValidation type="list" allowBlank="1" showInputMessage="1" showErrorMessage="1" xr:uid="{00000000-0002-0000-0300-00009F170000}">
          <x14:formula1>
            <xm:f>項目!A4:$IS$983042</xm:f>
          </x14:formula1>
          <xm:sqref>JB983045:JB983068</xm:sqref>
        </x14:dataValidation>
        <x14:dataValidation type="list" allowBlank="1" showInputMessage="1" showErrorMessage="1" xr:uid="{00000000-0002-0000-0300-0000A0170000}">
          <x14:formula1>
            <xm:f>項目!A4:$SO$983042</xm:f>
          </x14:formula1>
          <xm:sqref>SX983045:SX983068</xm:sqref>
        </x14:dataValidation>
        <x14:dataValidation type="list" allowBlank="1" showInputMessage="1" showErrorMessage="1" xr:uid="{00000000-0002-0000-0300-0000A1170000}">
          <x14:formula1>
            <xm:f>項目!A4:$ACK$983042</xm:f>
          </x14:formula1>
          <xm:sqref>ACT983045:ACT983068</xm:sqref>
        </x14:dataValidation>
        <x14:dataValidation type="list" allowBlank="1" showInputMessage="1" showErrorMessage="1" xr:uid="{00000000-0002-0000-0300-0000A2170000}">
          <x14:formula1>
            <xm:f>項目!A4:$AMG$983042</xm:f>
          </x14:formula1>
          <xm:sqref>AMP983045:AMP983068</xm:sqref>
        </x14:dataValidation>
        <x14:dataValidation type="list" allowBlank="1" showInputMessage="1" showErrorMessage="1" xr:uid="{00000000-0002-0000-0300-0000A3170000}">
          <x14:formula1>
            <xm:f>項目!A4:$AWC$983042</xm:f>
          </x14:formula1>
          <xm:sqref>AWL983045:AWL983068</xm:sqref>
        </x14:dataValidation>
        <x14:dataValidation type="list" allowBlank="1" showInputMessage="1" showErrorMessage="1" xr:uid="{00000000-0002-0000-0300-0000A4170000}">
          <x14:formula1>
            <xm:f>項目!A4:$BFY$983042</xm:f>
          </x14:formula1>
          <xm:sqref>BGH983045:BGH983068</xm:sqref>
        </x14:dataValidation>
        <x14:dataValidation type="list" allowBlank="1" showInputMessage="1" showErrorMessage="1" xr:uid="{00000000-0002-0000-0300-0000A5170000}">
          <x14:formula1>
            <xm:f>項目!A4:$BPU$983042</xm:f>
          </x14:formula1>
          <xm:sqref>BQD983045:BQD983068</xm:sqref>
        </x14:dataValidation>
        <x14:dataValidation type="list" allowBlank="1" showInputMessage="1" showErrorMessage="1" xr:uid="{00000000-0002-0000-0300-0000A6170000}">
          <x14:formula1>
            <xm:f>項目!A4:$BZQ$983042</xm:f>
          </x14:formula1>
          <xm:sqref>BZZ983045:BZZ983068</xm:sqref>
        </x14:dataValidation>
        <x14:dataValidation type="list" allowBlank="1" showInputMessage="1" showErrorMessage="1" xr:uid="{00000000-0002-0000-0300-0000A7170000}">
          <x14:formula1>
            <xm:f>項目!A4:$CJM$983042</xm:f>
          </x14:formula1>
          <xm:sqref>CJV983045:CJV983068</xm:sqref>
        </x14:dataValidation>
        <x14:dataValidation type="list" allowBlank="1" showInputMessage="1" showErrorMessage="1" xr:uid="{00000000-0002-0000-0300-0000A8170000}">
          <x14:formula1>
            <xm:f>項目!A4:$CTI$983042</xm:f>
          </x14:formula1>
          <xm:sqref>CTR983045:CTR983068</xm:sqref>
        </x14:dataValidation>
        <x14:dataValidation type="list" allowBlank="1" showInputMessage="1" showErrorMessage="1" xr:uid="{00000000-0002-0000-0300-0000A9170000}">
          <x14:formula1>
            <xm:f>項目!A4:$DDE$983042</xm:f>
          </x14:formula1>
          <xm:sqref>DDN983045:DDN983068</xm:sqref>
        </x14:dataValidation>
        <x14:dataValidation type="list" allowBlank="1" showInputMessage="1" showErrorMessage="1" xr:uid="{00000000-0002-0000-0300-0000AA170000}">
          <x14:formula1>
            <xm:f>項目!A4:$DNA$983042</xm:f>
          </x14:formula1>
          <xm:sqref>DNJ983045:DNJ983068</xm:sqref>
        </x14:dataValidation>
        <x14:dataValidation type="list" allowBlank="1" showInputMessage="1" showErrorMessage="1" xr:uid="{00000000-0002-0000-0300-0000AB170000}">
          <x14:formula1>
            <xm:f>項目!A4:$DWW$983042</xm:f>
          </x14:formula1>
          <xm:sqref>DXF983045:DXF983068</xm:sqref>
        </x14:dataValidation>
        <x14:dataValidation type="list" allowBlank="1" showInputMessage="1" showErrorMessage="1" xr:uid="{00000000-0002-0000-0300-0000AC170000}">
          <x14:formula1>
            <xm:f>項目!A4:$EGS$983042</xm:f>
          </x14:formula1>
          <xm:sqref>EHB983045:EHB983068</xm:sqref>
        </x14:dataValidation>
        <x14:dataValidation type="list" allowBlank="1" showInputMessage="1" showErrorMessage="1" xr:uid="{00000000-0002-0000-0300-0000AD170000}">
          <x14:formula1>
            <xm:f>項目!A4:$EQO$983042</xm:f>
          </x14:formula1>
          <xm:sqref>EQX983045:EQX983068</xm:sqref>
        </x14:dataValidation>
        <x14:dataValidation type="list" allowBlank="1" showInputMessage="1" showErrorMessage="1" xr:uid="{00000000-0002-0000-0300-0000AE170000}">
          <x14:formula1>
            <xm:f>項目!A4:$FAK$983042</xm:f>
          </x14:formula1>
          <xm:sqref>FAT983045:FAT983068</xm:sqref>
        </x14:dataValidation>
        <x14:dataValidation type="list" allowBlank="1" showInputMessage="1" showErrorMessage="1" xr:uid="{00000000-0002-0000-0300-0000AF170000}">
          <x14:formula1>
            <xm:f>項目!A4:$FKG$983042</xm:f>
          </x14:formula1>
          <xm:sqref>FKP983045:FKP983068</xm:sqref>
        </x14:dataValidation>
        <x14:dataValidation type="list" allowBlank="1" showInputMessage="1" showErrorMessage="1" xr:uid="{00000000-0002-0000-0300-0000B0170000}">
          <x14:formula1>
            <xm:f>項目!A4:$FUC$983042</xm:f>
          </x14:formula1>
          <xm:sqref>FUL983045:FUL983068</xm:sqref>
        </x14:dataValidation>
        <x14:dataValidation type="list" allowBlank="1" showInputMessage="1" showErrorMessage="1" xr:uid="{00000000-0002-0000-0300-0000B1170000}">
          <x14:formula1>
            <xm:f>項目!A4:$GDY$983042</xm:f>
          </x14:formula1>
          <xm:sqref>GEH983045:GEH983068</xm:sqref>
        </x14:dataValidation>
        <x14:dataValidation type="list" allowBlank="1" showInputMessage="1" showErrorMessage="1" xr:uid="{00000000-0002-0000-0300-0000B2170000}">
          <x14:formula1>
            <xm:f>項目!A4:$GNU$983042</xm:f>
          </x14:formula1>
          <xm:sqref>GOD983045:GOD983068</xm:sqref>
        </x14:dataValidation>
        <x14:dataValidation type="list" allowBlank="1" showInputMessage="1" showErrorMessage="1" xr:uid="{00000000-0002-0000-0300-0000B3170000}">
          <x14:formula1>
            <xm:f>項目!A4:$GXQ$983042</xm:f>
          </x14:formula1>
          <xm:sqref>GXZ983045:GXZ983068</xm:sqref>
        </x14:dataValidation>
        <x14:dataValidation type="list" allowBlank="1" showInputMessage="1" showErrorMessage="1" xr:uid="{00000000-0002-0000-0300-0000B4170000}">
          <x14:formula1>
            <xm:f>項目!A4:$HHM$983042</xm:f>
          </x14:formula1>
          <xm:sqref>HHV983045:HHV983068</xm:sqref>
        </x14:dataValidation>
        <x14:dataValidation type="list" allowBlank="1" showInputMessage="1" showErrorMessage="1" xr:uid="{00000000-0002-0000-0300-0000B5170000}">
          <x14:formula1>
            <xm:f>項目!A4:$HRI$983042</xm:f>
          </x14:formula1>
          <xm:sqref>HRR983045:HRR983068</xm:sqref>
        </x14:dataValidation>
        <x14:dataValidation type="list" allowBlank="1" showInputMessage="1" showErrorMessage="1" xr:uid="{00000000-0002-0000-0300-0000B6170000}">
          <x14:formula1>
            <xm:f>項目!A4:$IBE$983042</xm:f>
          </x14:formula1>
          <xm:sqref>IBN983045:IBN983068</xm:sqref>
        </x14:dataValidation>
        <x14:dataValidation type="list" allowBlank="1" showInputMessage="1" showErrorMessage="1" xr:uid="{00000000-0002-0000-0300-0000B7170000}">
          <x14:formula1>
            <xm:f>項目!A4:$ILA$983042</xm:f>
          </x14:formula1>
          <xm:sqref>ILJ983045:ILJ983068</xm:sqref>
        </x14:dataValidation>
        <x14:dataValidation type="list" allowBlank="1" showInputMessage="1" showErrorMessage="1" xr:uid="{00000000-0002-0000-0300-0000B8170000}">
          <x14:formula1>
            <xm:f>項目!A4:$IUW$983042</xm:f>
          </x14:formula1>
          <xm:sqref>IVF983045:IVF983068</xm:sqref>
        </x14:dataValidation>
        <x14:dataValidation type="list" allowBlank="1" showInputMessage="1" showErrorMessage="1" xr:uid="{00000000-0002-0000-0300-0000B9170000}">
          <x14:formula1>
            <xm:f>項目!A4:$JES$983042</xm:f>
          </x14:formula1>
          <xm:sqref>JFB983045:JFB983068</xm:sqref>
        </x14:dataValidation>
        <x14:dataValidation type="list" allowBlank="1" showInputMessage="1" showErrorMessage="1" xr:uid="{00000000-0002-0000-0300-0000BA170000}">
          <x14:formula1>
            <xm:f>項目!A4:$JOO$983042</xm:f>
          </x14:formula1>
          <xm:sqref>JOX983045:JOX983068</xm:sqref>
        </x14:dataValidation>
        <x14:dataValidation type="list" allowBlank="1" showInputMessage="1" showErrorMessage="1" xr:uid="{00000000-0002-0000-0300-0000BB170000}">
          <x14:formula1>
            <xm:f>項目!A4:$JYK$983042</xm:f>
          </x14:formula1>
          <xm:sqref>JYT983045:JYT983068</xm:sqref>
        </x14:dataValidation>
        <x14:dataValidation type="list" allowBlank="1" showInputMessage="1" showErrorMessage="1" xr:uid="{00000000-0002-0000-0300-0000BC170000}">
          <x14:formula1>
            <xm:f>項目!A4:$KIG$983042</xm:f>
          </x14:formula1>
          <xm:sqref>KIP983045:KIP983068</xm:sqref>
        </x14:dataValidation>
        <x14:dataValidation type="list" allowBlank="1" showInputMessage="1" showErrorMessage="1" xr:uid="{00000000-0002-0000-0300-0000BD170000}">
          <x14:formula1>
            <xm:f>項目!A4:$KSC$983042</xm:f>
          </x14:formula1>
          <xm:sqref>KSL983045:KSL983068</xm:sqref>
        </x14:dataValidation>
        <x14:dataValidation type="list" allowBlank="1" showInputMessage="1" showErrorMessage="1" xr:uid="{00000000-0002-0000-0300-0000BE170000}">
          <x14:formula1>
            <xm:f>項目!A4:$LBY$983042</xm:f>
          </x14:formula1>
          <xm:sqref>LCH983045:LCH983068</xm:sqref>
        </x14:dataValidation>
        <x14:dataValidation type="list" allowBlank="1" showInputMessage="1" showErrorMessage="1" xr:uid="{00000000-0002-0000-0300-0000BF170000}">
          <x14:formula1>
            <xm:f>項目!A4:$LLU$983042</xm:f>
          </x14:formula1>
          <xm:sqref>LMD983045:LMD983068</xm:sqref>
        </x14:dataValidation>
        <x14:dataValidation type="list" allowBlank="1" showInputMessage="1" showErrorMessage="1" xr:uid="{00000000-0002-0000-0300-0000C0170000}">
          <x14:formula1>
            <xm:f>項目!A4:$LVQ$983042</xm:f>
          </x14:formula1>
          <xm:sqref>LVZ983045:LVZ983068</xm:sqref>
        </x14:dataValidation>
        <x14:dataValidation type="list" allowBlank="1" showInputMessage="1" showErrorMessage="1" xr:uid="{00000000-0002-0000-0300-0000C1170000}">
          <x14:formula1>
            <xm:f>項目!A4:$MFM$983042</xm:f>
          </x14:formula1>
          <xm:sqref>MFV983045:MFV983068</xm:sqref>
        </x14:dataValidation>
        <x14:dataValidation type="list" allowBlank="1" showInputMessage="1" showErrorMessage="1" xr:uid="{00000000-0002-0000-0300-0000C2170000}">
          <x14:formula1>
            <xm:f>項目!A4:$MPI$983042</xm:f>
          </x14:formula1>
          <xm:sqref>MPR983045:MPR983068</xm:sqref>
        </x14:dataValidation>
        <x14:dataValidation type="list" allowBlank="1" showInputMessage="1" showErrorMessage="1" xr:uid="{00000000-0002-0000-0300-0000C3170000}">
          <x14:formula1>
            <xm:f>項目!A4:$MZE$983042</xm:f>
          </x14:formula1>
          <xm:sqref>MZN983045:MZN983068</xm:sqref>
        </x14:dataValidation>
        <x14:dataValidation type="list" allowBlank="1" showInputMessage="1" showErrorMessage="1" xr:uid="{00000000-0002-0000-0300-0000C4170000}">
          <x14:formula1>
            <xm:f>項目!A4:$NJA$983042</xm:f>
          </x14:formula1>
          <xm:sqref>NJJ983045:NJJ983068</xm:sqref>
        </x14:dataValidation>
        <x14:dataValidation type="list" allowBlank="1" showInputMessage="1" showErrorMessage="1" xr:uid="{00000000-0002-0000-0300-0000C5170000}">
          <x14:formula1>
            <xm:f>項目!A4:$NSW$983042</xm:f>
          </x14:formula1>
          <xm:sqref>NTF983045:NTF983068</xm:sqref>
        </x14:dataValidation>
        <x14:dataValidation type="list" allowBlank="1" showInputMessage="1" showErrorMessage="1" xr:uid="{00000000-0002-0000-0300-0000C6170000}">
          <x14:formula1>
            <xm:f>項目!A4:$OCS$983042</xm:f>
          </x14:formula1>
          <xm:sqref>ODB983045:ODB983068</xm:sqref>
        </x14:dataValidation>
        <x14:dataValidation type="list" allowBlank="1" showInputMessage="1" showErrorMessage="1" xr:uid="{00000000-0002-0000-0300-0000C7170000}">
          <x14:formula1>
            <xm:f>項目!A4:$OMO$983042</xm:f>
          </x14:formula1>
          <xm:sqref>OMX983045:OMX983068</xm:sqref>
        </x14:dataValidation>
        <x14:dataValidation type="list" allowBlank="1" showInputMessage="1" showErrorMessage="1" xr:uid="{00000000-0002-0000-0300-0000C8170000}">
          <x14:formula1>
            <xm:f>項目!A4:$OWK$983042</xm:f>
          </x14:formula1>
          <xm:sqref>OWT983045:OWT983068</xm:sqref>
        </x14:dataValidation>
        <x14:dataValidation type="list" allowBlank="1" showInputMessage="1" showErrorMessage="1" xr:uid="{00000000-0002-0000-0300-0000C9170000}">
          <x14:formula1>
            <xm:f>項目!A4:$PGG$983042</xm:f>
          </x14:formula1>
          <xm:sqref>PGP983045:PGP983068</xm:sqref>
        </x14:dataValidation>
        <x14:dataValidation type="list" allowBlank="1" showInputMessage="1" showErrorMessage="1" xr:uid="{00000000-0002-0000-0300-0000CA170000}">
          <x14:formula1>
            <xm:f>項目!A4:$PQC$983042</xm:f>
          </x14:formula1>
          <xm:sqref>PQL983045:PQL983068</xm:sqref>
        </x14:dataValidation>
        <x14:dataValidation type="list" allowBlank="1" showInputMessage="1" showErrorMessage="1" xr:uid="{00000000-0002-0000-0300-0000CB170000}">
          <x14:formula1>
            <xm:f>項目!A4:$PZY$983042</xm:f>
          </x14:formula1>
          <xm:sqref>QAH983045:QAH983068</xm:sqref>
        </x14:dataValidation>
        <x14:dataValidation type="list" allowBlank="1" showInputMessage="1" showErrorMessage="1" xr:uid="{00000000-0002-0000-0300-0000CC170000}">
          <x14:formula1>
            <xm:f>項目!A4:$QJU$983042</xm:f>
          </x14:formula1>
          <xm:sqref>QKD983045:QKD983068</xm:sqref>
        </x14:dataValidation>
        <x14:dataValidation type="list" allowBlank="1" showInputMessage="1" showErrorMessage="1" xr:uid="{00000000-0002-0000-0300-0000CD170000}">
          <x14:formula1>
            <xm:f>項目!A4:$QTQ$983042</xm:f>
          </x14:formula1>
          <xm:sqref>QTZ983045:QTZ983068</xm:sqref>
        </x14:dataValidation>
        <x14:dataValidation type="list" allowBlank="1" showInputMessage="1" showErrorMessage="1" xr:uid="{00000000-0002-0000-0300-0000CE170000}">
          <x14:formula1>
            <xm:f>項目!A4:$RDM$983042</xm:f>
          </x14:formula1>
          <xm:sqref>RDV983045:RDV983068</xm:sqref>
        </x14:dataValidation>
        <x14:dataValidation type="list" allowBlank="1" showInputMessage="1" showErrorMessage="1" xr:uid="{00000000-0002-0000-0300-0000CF170000}">
          <x14:formula1>
            <xm:f>項目!A4:$RNI$983042</xm:f>
          </x14:formula1>
          <xm:sqref>RNR983045:RNR983068</xm:sqref>
        </x14:dataValidation>
        <x14:dataValidation type="list" allowBlank="1" showInputMessage="1" showErrorMessage="1" xr:uid="{00000000-0002-0000-0300-0000D0170000}">
          <x14:formula1>
            <xm:f>項目!A4:$RXE$983042</xm:f>
          </x14:formula1>
          <xm:sqref>RXN983045:RXN983068</xm:sqref>
        </x14:dataValidation>
        <x14:dataValidation type="list" allowBlank="1" showInputMessage="1" showErrorMessage="1" xr:uid="{00000000-0002-0000-0300-0000D1170000}">
          <x14:formula1>
            <xm:f>項目!A4:$SHA$983042</xm:f>
          </x14:formula1>
          <xm:sqref>SHJ983045:SHJ983068</xm:sqref>
        </x14:dataValidation>
        <x14:dataValidation type="list" allowBlank="1" showInputMessage="1" showErrorMessage="1" xr:uid="{00000000-0002-0000-0300-0000D2170000}">
          <x14:formula1>
            <xm:f>項目!A4:$SQW$983042</xm:f>
          </x14:formula1>
          <xm:sqref>SRF983045:SRF983068</xm:sqref>
        </x14:dataValidation>
        <x14:dataValidation type="list" allowBlank="1" showInputMessage="1" showErrorMessage="1" xr:uid="{00000000-0002-0000-0300-0000D3170000}">
          <x14:formula1>
            <xm:f>項目!A4:$TAS$983042</xm:f>
          </x14:formula1>
          <xm:sqref>TBB983045:TBB983068</xm:sqref>
        </x14:dataValidation>
        <x14:dataValidation type="list" allowBlank="1" showInputMessage="1" showErrorMessage="1" xr:uid="{00000000-0002-0000-0300-0000D4170000}">
          <x14:formula1>
            <xm:f>項目!A4:$TKO$983042</xm:f>
          </x14:formula1>
          <xm:sqref>TKX983045:TKX983068</xm:sqref>
        </x14:dataValidation>
        <x14:dataValidation type="list" allowBlank="1" showInputMessage="1" showErrorMessage="1" xr:uid="{00000000-0002-0000-0300-0000D5170000}">
          <x14:formula1>
            <xm:f>項目!A4:$TUK$983042</xm:f>
          </x14:formula1>
          <xm:sqref>TUT983045:TUT983068</xm:sqref>
        </x14:dataValidation>
        <x14:dataValidation type="list" allowBlank="1" showInputMessage="1" showErrorMessage="1" xr:uid="{00000000-0002-0000-0300-0000D6170000}">
          <x14:formula1>
            <xm:f>項目!A4:$UEG$983042</xm:f>
          </x14:formula1>
          <xm:sqref>UEP983045:UEP983068</xm:sqref>
        </x14:dataValidation>
        <x14:dataValidation type="list" allowBlank="1" showInputMessage="1" showErrorMessage="1" xr:uid="{00000000-0002-0000-0300-0000D7170000}">
          <x14:formula1>
            <xm:f>項目!A4:$UOC$983042</xm:f>
          </x14:formula1>
          <xm:sqref>UOL983045:UOL983068</xm:sqref>
        </x14:dataValidation>
        <x14:dataValidation type="list" allowBlank="1" showInputMessage="1" showErrorMessage="1" xr:uid="{00000000-0002-0000-0300-0000D8170000}">
          <x14:formula1>
            <xm:f>項目!A4:$UXY$983042</xm:f>
          </x14:formula1>
          <xm:sqref>UYH983045:UYH983068</xm:sqref>
        </x14:dataValidation>
        <x14:dataValidation type="list" allowBlank="1" showInputMessage="1" showErrorMessage="1" xr:uid="{00000000-0002-0000-0300-0000D9170000}">
          <x14:formula1>
            <xm:f>項目!A4:$VHU$983042</xm:f>
          </x14:formula1>
          <xm:sqref>VID983045:VID983068</xm:sqref>
        </x14:dataValidation>
        <x14:dataValidation type="list" allowBlank="1" showInputMessage="1" showErrorMessage="1" xr:uid="{00000000-0002-0000-0300-0000DA170000}">
          <x14:formula1>
            <xm:f>項目!A4:$VRQ$983042</xm:f>
          </x14:formula1>
          <xm:sqref>VRZ983045:VRZ983068</xm:sqref>
        </x14:dataValidation>
        <x14:dataValidation type="list" allowBlank="1" showInputMessage="1" showErrorMessage="1" xr:uid="{00000000-0002-0000-0300-0000DB170000}">
          <x14:formula1>
            <xm:f>項目!A4:$WBM$983042</xm:f>
          </x14:formula1>
          <xm:sqref>WBV983045:WBV983068</xm:sqref>
        </x14:dataValidation>
        <x14:dataValidation type="list" allowBlank="1" showInputMessage="1" showErrorMessage="1" xr:uid="{00000000-0002-0000-0300-0000DC170000}">
          <x14:formula1>
            <xm:f>項目!A4:$WLI$983042</xm:f>
          </x14:formula1>
          <xm:sqref>WLR983045:WLR983068</xm:sqref>
        </x14:dataValidation>
        <x14:dataValidation type="list" allowBlank="1" showInputMessage="1" showErrorMessage="1" xr:uid="{00000000-0002-0000-0300-0000DD170000}">
          <x14:formula1>
            <xm:f>項目!A4:$WVE$983042</xm:f>
          </x14:formula1>
          <xm:sqref>WVN983045:WVN983068</xm:sqref>
        </x14:dataValidation>
        <x14:dataValidation type="list" allowBlank="1" showInputMessage="1" showErrorMessage="1" xr:uid="{00000000-0002-0000-0300-0000DE170000}">
          <x14:formula1>
            <xm:f>項目!A2:$IW$4</xm:f>
          </x14:formula1>
          <xm:sqref>JF5:JF28</xm:sqref>
        </x14:dataValidation>
        <x14:dataValidation type="list" allowBlank="1" showInputMessage="1" showErrorMessage="1" xr:uid="{00000000-0002-0000-0300-0000DF170000}">
          <x14:formula1>
            <xm:f>項目!A2:$SS$4</xm:f>
          </x14:formula1>
          <xm:sqref>TB5:TB28</xm:sqref>
        </x14:dataValidation>
        <x14:dataValidation type="list" allowBlank="1" showInputMessage="1" showErrorMessage="1" xr:uid="{00000000-0002-0000-0300-0000E0170000}">
          <x14:formula1>
            <xm:f>項目!A2:$ACO$4</xm:f>
          </x14:formula1>
          <xm:sqref>ACX5:ACX28</xm:sqref>
        </x14:dataValidation>
        <x14:dataValidation type="list" allowBlank="1" showInputMessage="1" showErrorMessage="1" xr:uid="{00000000-0002-0000-0300-0000E1170000}">
          <x14:formula1>
            <xm:f>項目!A2:$AMK$4</xm:f>
          </x14:formula1>
          <xm:sqref>AMT5:AMT28</xm:sqref>
        </x14:dataValidation>
        <x14:dataValidation type="list" allowBlank="1" showInputMessage="1" showErrorMessage="1" xr:uid="{00000000-0002-0000-0300-0000E2170000}">
          <x14:formula1>
            <xm:f>項目!A2:$AWG$4</xm:f>
          </x14:formula1>
          <xm:sqref>AWP5:AWP28</xm:sqref>
        </x14:dataValidation>
        <x14:dataValidation type="list" allowBlank="1" showInputMessage="1" showErrorMessage="1" xr:uid="{00000000-0002-0000-0300-0000E3170000}">
          <x14:formula1>
            <xm:f>項目!A2:$BGC$4</xm:f>
          </x14:formula1>
          <xm:sqref>BGL5:BGL28</xm:sqref>
        </x14:dataValidation>
        <x14:dataValidation type="list" allowBlank="1" showInputMessage="1" showErrorMessage="1" xr:uid="{00000000-0002-0000-0300-0000E4170000}">
          <x14:formula1>
            <xm:f>項目!A2:$BPY$4</xm:f>
          </x14:formula1>
          <xm:sqref>BQH5:BQH28</xm:sqref>
        </x14:dataValidation>
        <x14:dataValidation type="list" allowBlank="1" showInputMessage="1" showErrorMessage="1" xr:uid="{00000000-0002-0000-0300-0000E5170000}">
          <x14:formula1>
            <xm:f>項目!A2:$BZU$4</xm:f>
          </x14:formula1>
          <xm:sqref>CAD5:CAD28</xm:sqref>
        </x14:dataValidation>
        <x14:dataValidation type="list" allowBlank="1" showInputMessage="1" showErrorMessage="1" xr:uid="{00000000-0002-0000-0300-0000E6170000}">
          <x14:formula1>
            <xm:f>項目!A2:$CJQ$4</xm:f>
          </x14:formula1>
          <xm:sqref>CJZ5:CJZ28</xm:sqref>
        </x14:dataValidation>
        <x14:dataValidation type="list" allowBlank="1" showInputMessage="1" showErrorMessage="1" xr:uid="{00000000-0002-0000-0300-0000E7170000}">
          <x14:formula1>
            <xm:f>項目!A2:$CTM$4</xm:f>
          </x14:formula1>
          <xm:sqref>CTV5:CTV28</xm:sqref>
        </x14:dataValidation>
        <x14:dataValidation type="list" allowBlank="1" showInputMessage="1" showErrorMessage="1" xr:uid="{00000000-0002-0000-0300-0000E8170000}">
          <x14:formula1>
            <xm:f>項目!A2:$DDI$4</xm:f>
          </x14:formula1>
          <xm:sqref>DDR5:DDR28</xm:sqref>
        </x14:dataValidation>
        <x14:dataValidation type="list" allowBlank="1" showInputMessage="1" showErrorMessage="1" xr:uid="{00000000-0002-0000-0300-0000E9170000}">
          <x14:formula1>
            <xm:f>項目!A2:$DNE$4</xm:f>
          </x14:formula1>
          <xm:sqref>DNN5:DNN28</xm:sqref>
        </x14:dataValidation>
        <x14:dataValidation type="list" allowBlank="1" showInputMessage="1" showErrorMessage="1" xr:uid="{00000000-0002-0000-0300-0000EA170000}">
          <x14:formula1>
            <xm:f>項目!A2:$DXA$4</xm:f>
          </x14:formula1>
          <xm:sqref>DXJ5:DXJ28</xm:sqref>
        </x14:dataValidation>
        <x14:dataValidation type="list" allowBlank="1" showInputMessage="1" showErrorMessage="1" xr:uid="{00000000-0002-0000-0300-0000EB170000}">
          <x14:formula1>
            <xm:f>項目!A2:$EGW$4</xm:f>
          </x14:formula1>
          <xm:sqref>EHF5:EHF28</xm:sqref>
        </x14:dataValidation>
        <x14:dataValidation type="list" allowBlank="1" showInputMessage="1" showErrorMessage="1" xr:uid="{00000000-0002-0000-0300-0000EC170000}">
          <x14:formula1>
            <xm:f>項目!A2:$EQS$4</xm:f>
          </x14:formula1>
          <xm:sqref>ERB5:ERB28</xm:sqref>
        </x14:dataValidation>
        <x14:dataValidation type="list" allowBlank="1" showInputMessage="1" showErrorMessage="1" xr:uid="{00000000-0002-0000-0300-0000ED170000}">
          <x14:formula1>
            <xm:f>項目!A2:$FAO$4</xm:f>
          </x14:formula1>
          <xm:sqref>FAX5:FAX28</xm:sqref>
        </x14:dataValidation>
        <x14:dataValidation type="list" allowBlank="1" showInputMessage="1" showErrorMessage="1" xr:uid="{00000000-0002-0000-0300-0000EE170000}">
          <x14:formula1>
            <xm:f>項目!A2:$FKK$4</xm:f>
          </x14:formula1>
          <xm:sqref>FKT5:FKT28</xm:sqref>
        </x14:dataValidation>
        <x14:dataValidation type="list" allowBlank="1" showInputMessage="1" showErrorMessage="1" xr:uid="{00000000-0002-0000-0300-0000EF170000}">
          <x14:formula1>
            <xm:f>項目!A2:$FUG$4</xm:f>
          </x14:formula1>
          <xm:sqref>FUP5:FUP28</xm:sqref>
        </x14:dataValidation>
        <x14:dataValidation type="list" allowBlank="1" showInputMessage="1" showErrorMessage="1" xr:uid="{00000000-0002-0000-0300-0000F0170000}">
          <x14:formula1>
            <xm:f>項目!A2:$GEC$4</xm:f>
          </x14:formula1>
          <xm:sqref>GEL5:GEL28</xm:sqref>
        </x14:dataValidation>
        <x14:dataValidation type="list" allowBlank="1" showInputMessage="1" showErrorMessage="1" xr:uid="{00000000-0002-0000-0300-0000F1170000}">
          <x14:formula1>
            <xm:f>項目!A2:$GNY$4</xm:f>
          </x14:formula1>
          <xm:sqref>GOH5:GOH28</xm:sqref>
        </x14:dataValidation>
        <x14:dataValidation type="list" allowBlank="1" showInputMessage="1" showErrorMessage="1" xr:uid="{00000000-0002-0000-0300-0000F2170000}">
          <x14:formula1>
            <xm:f>項目!A2:$GXU$4</xm:f>
          </x14:formula1>
          <xm:sqref>GYD5:GYD28</xm:sqref>
        </x14:dataValidation>
        <x14:dataValidation type="list" allowBlank="1" showInputMessage="1" showErrorMessage="1" xr:uid="{00000000-0002-0000-0300-0000F3170000}">
          <x14:formula1>
            <xm:f>項目!A2:$HHQ$4</xm:f>
          </x14:formula1>
          <xm:sqref>HHZ5:HHZ28</xm:sqref>
        </x14:dataValidation>
        <x14:dataValidation type="list" allowBlank="1" showInputMessage="1" showErrorMessage="1" xr:uid="{00000000-0002-0000-0300-0000F4170000}">
          <x14:formula1>
            <xm:f>項目!A2:$HRM$4</xm:f>
          </x14:formula1>
          <xm:sqref>HRV5:HRV28</xm:sqref>
        </x14:dataValidation>
        <x14:dataValidation type="list" allowBlank="1" showInputMessage="1" showErrorMessage="1" xr:uid="{00000000-0002-0000-0300-0000F5170000}">
          <x14:formula1>
            <xm:f>項目!A2:$IBI$4</xm:f>
          </x14:formula1>
          <xm:sqref>IBR5:IBR28</xm:sqref>
        </x14:dataValidation>
        <x14:dataValidation type="list" allowBlank="1" showInputMessage="1" showErrorMessage="1" xr:uid="{00000000-0002-0000-0300-0000F6170000}">
          <x14:formula1>
            <xm:f>項目!A2:$ILE$4</xm:f>
          </x14:formula1>
          <xm:sqref>ILN5:ILN28</xm:sqref>
        </x14:dataValidation>
        <x14:dataValidation type="list" allowBlank="1" showInputMessage="1" showErrorMessage="1" xr:uid="{00000000-0002-0000-0300-0000F7170000}">
          <x14:formula1>
            <xm:f>項目!A2:$IVA$4</xm:f>
          </x14:formula1>
          <xm:sqref>IVJ5:IVJ28</xm:sqref>
        </x14:dataValidation>
        <x14:dataValidation type="list" allowBlank="1" showInputMessage="1" showErrorMessage="1" xr:uid="{00000000-0002-0000-0300-0000F8170000}">
          <x14:formula1>
            <xm:f>項目!A2:$JEW$4</xm:f>
          </x14:formula1>
          <xm:sqref>JFF5:JFF28</xm:sqref>
        </x14:dataValidation>
        <x14:dataValidation type="list" allowBlank="1" showInputMessage="1" showErrorMessage="1" xr:uid="{00000000-0002-0000-0300-0000F9170000}">
          <x14:formula1>
            <xm:f>項目!A2:$JOS$4</xm:f>
          </x14:formula1>
          <xm:sqref>JPB5:JPB28</xm:sqref>
        </x14:dataValidation>
        <x14:dataValidation type="list" allowBlank="1" showInputMessage="1" showErrorMessage="1" xr:uid="{00000000-0002-0000-0300-0000FA170000}">
          <x14:formula1>
            <xm:f>項目!A2:$JYO$4</xm:f>
          </x14:formula1>
          <xm:sqref>JYX5:JYX28</xm:sqref>
        </x14:dataValidation>
        <x14:dataValidation type="list" allowBlank="1" showInputMessage="1" showErrorMessage="1" xr:uid="{00000000-0002-0000-0300-0000FB170000}">
          <x14:formula1>
            <xm:f>項目!A2:$KIK$4</xm:f>
          </x14:formula1>
          <xm:sqref>KIT5:KIT28</xm:sqref>
        </x14:dataValidation>
        <x14:dataValidation type="list" allowBlank="1" showInputMessage="1" showErrorMessage="1" xr:uid="{00000000-0002-0000-0300-0000FC170000}">
          <x14:formula1>
            <xm:f>項目!A2:$KSG$4</xm:f>
          </x14:formula1>
          <xm:sqref>KSP5:KSP28</xm:sqref>
        </x14:dataValidation>
        <x14:dataValidation type="list" allowBlank="1" showInputMessage="1" showErrorMessage="1" xr:uid="{00000000-0002-0000-0300-0000FD170000}">
          <x14:formula1>
            <xm:f>項目!A2:$LCC$4</xm:f>
          </x14:formula1>
          <xm:sqref>LCL5:LCL28</xm:sqref>
        </x14:dataValidation>
        <x14:dataValidation type="list" allowBlank="1" showInputMessage="1" showErrorMessage="1" xr:uid="{00000000-0002-0000-0300-0000FE170000}">
          <x14:formula1>
            <xm:f>項目!A2:$LLY$4</xm:f>
          </x14:formula1>
          <xm:sqref>LMH5:LMH28</xm:sqref>
        </x14:dataValidation>
        <x14:dataValidation type="list" allowBlank="1" showInputMessage="1" showErrorMessage="1" xr:uid="{00000000-0002-0000-0300-0000FF170000}">
          <x14:formula1>
            <xm:f>項目!A2:$LVU$4</xm:f>
          </x14:formula1>
          <xm:sqref>LWD5:LWD28</xm:sqref>
        </x14:dataValidation>
        <x14:dataValidation type="list" allowBlank="1" showInputMessage="1" showErrorMessage="1" xr:uid="{00000000-0002-0000-0300-000000180000}">
          <x14:formula1>
            <xm:f>項目!A2:$MFQ$4</xm:f>
          </x14:formula1>
          <xm:sqref>MFZ5:MFZ28</xm:sqref>
        </x14:dataValidation>
        <x14:dataValidation type="list" allowBlank="1" showInputMessage="1" showErrorMessage="1" xr:uid="{00000000-0002-0000-0300-000001180000}">
          <x14:formula1>
            <xm:f>項目!A2:$MPM$4</xm:f>
          </x14:formula1>
          <xm:sqref>MPV5:MPV28</xm:sqref>
        </x14:dataValidation>
        <x14:dataValidation type="list" allowBlank="1" showInputMessage="1" showErrorMessage="1" xr:uid="{00000000-0002-0000-0300-000002180000}">
          <x14:formula1>
            <xm:f>項目!A2:$MZI$4</xm:f>
          </x14:formula1>
          <xm:sqref>MZR5:MZR28</xm:sqref>
        </x14:dataValidation>
        <x14:dataValidation type="list" allowBlank="1" showInputMessage="1" showErrorMessage="1" xr:uid="{00000000-0002-0000-0300-000003180000}">
          <x14:formula1>
            <xm:f>項目!A2:$NJE$4</xm:f>
          </x14:formula1>
          <xm:sqref>NJN5:NJN28</xm:sqref>
        </x14:dataValidation>
        <x14:dataValidation type="list" allowBlank="1" showInputMessage="1" showErrorMessage="1" xr:uid="{00000000-0002-0000-0300-000004180000}">
          <x14:formula1>
            <xm:f>項目!A2:$NTA$4</xm:f>
          </x14:formula1>
          <xm:sqref>NTJ5:NTJ28</xm:sqref>
        </x14:dataValidation>
        <x14:dataValidation type="list" allowBlank="1" showInputMessage="1" showErrorMessage="1" xr:uid="{00000000-0002-0000-0300-000005180000}">
          <x14:formula1>
            <xm:f>項目!A2:$OCW$4</xm:f>
          </x14:formula1>
          <xm:sqref>ODF5:ODF28</xm:sqref>
        </x14:dataValidation>
        <x14:dataValidation type="list" allowBlank="1" showInputMessage="1" showErrorMessage="1" xr:uid="{00000000-0002-0000-0300-000006180000}">
          <x14:formula1>
            <xm:f>項目!A2:$OMS$4</xm:f>
          </x14:formula1>
          <xm:sqref>ONB5:ONB28</xm:sqref>
        </x14:dataValidation>
        <x14:dataValidation type="list" allowBlank="1" showInputMessage="1" showErrorMessage="1" xr:uid="{00000000-0002-0000-0300-000007180000}">
          <x14:formula1>
            <xm:f>項目!A2:$OWO$4</xm:f>
          </x14:formula1>
          <xm:sqref>OWX5:OWX28</xm:sqref>
        </x14:dataValidation>
        <x14:dataValidation type="list" allowBlank="1" showInputMessage="1" showErrorMessage="1" xr:uid="{00000000-0002-0000-0300-000008180000}">
          <x14:formula1>
            <xm:f>項目!A2:$PGK$4</xm:f>
          </x14:formula1>
          <xm:sqref>PGT5:PGT28</xm:sqref>
        </x14:dataValidation>
        <x14:dataValidation type="list" allowBlank="1" showInputMessage="1" showErrorMessage="1" xr:uid="{00000000-0002-0000-0300-000009180000}">
          <x14:formula1>
            <xm:f>項目!A2:$PQG$4</xm:f>
          </x14:formula1>
          <xm:sqref>PQP5:PQP28</xm:sqref>
        </x14:dataValidation>
        <x14:dataValidation type="list" allowBlank="1" showInputMessage="1" showErrorMessage="1" xr:uid="{00000000-0002-0000-0300-00000A180000}">
          <x14:formula1>
            <xm:f>項目!A2:$QAC$4</xm:f>
          </x14:formula1>
          <xm:sqref>QAL5:QAL28</xm:sqref>
        </x14:dataValidation>
        <x14:dataValidation type="list" allowBlank="1" showInputMessage="1" showErrorMessage="1" xr:uid="{00000000-0002-0000-0300-00000B180000}">
          <x14:formula1>
            <xm:f>項目!A2:$QJY$4</xm:f>
          </x14:formula1>
          <xm:sqref>QKH5:QKH28</xm:sqref>
        </x14:dataValidation>
        <x14:dataValidation type="list" allowBlank="1" showInputMessage="1" showErrorMessage="1" xr:uid="{00000000-0002-0000-0300-00000C180000}">
          <x14:formula1>
            <xm:f>項目!A2:$QTU$4</xm:f>
          </x14:formula1>
          <xm:sqref>QUD5:QUD28</xm:sqref>
        </x14:dataValidation>
        <x14:dataValidation type="list" allowBlank="1" showInputMessage="1" showErrorMessage="1" xr:uid="{00000000-0002-0000-0300-00000D180000}">
          <x14:formula1>
            <xm:f>項目!A2:$RDQ$4</xm:f>
          </x14:formula1>
          <xm:sqref>RDZ5:RDZ28</xm:sqref>
        </x14:dataValidation>
        <x14:dataValidation type="list" allowBlank="1" showInputMessage="1" showErrorMessage="1" xr:uid="{00000000-0002-0000-0300-00000E180000}">
          <x14:formula1>
            <xm:f>項目!A2:$RNM$4</xm:f>
          </x14:formula1>
          <xm:sqref>RNV5:RNV28</xm:sqref>
        </x14:dataValidation>
        <x14:dataValidation type="list" allowBlank="1" showInputMessage="1" showErrorMessage="1" xr:uid="{00000000-0002-0000-0300-00000F180000}">
          <x14:formula1>
            <xm:f>項目!A2:$RXI$4</xm:f>
          </x14:formula1>
          <xm:sqref>RXR5:RXR28</xm:sqref>
        </x14:dataValidation>
        <x14:dataValidation type="list" allowBlank="1" showInputMessage="1" showErrorMessage="1" xr:uid="{00000000-0002-0000-0300-000010180000}">
          <x14:formula1>
            <xm:f>項目!A2:$SHE$4</xm:f>
          </x14:formula1>
          <xm:sqref>SHN5:SHN28</xm:sqref>
        </x14:dataValidation>
        <x14:dataValidation type="list" allowBlank="1" showInputMessage="1" showErrorMessage="1" xr:uid="{00000000-0002-0000-0300-000011180000}">
          <x14:formula1>
            <xm:f>項目!A2:$SRA$4</xm:f>
          </x14:formula1>
          <xm:sqref>SRJ5:SRJ28</xm:sqref>
        </x14:dataValidation>
        <x14:dataValidation type="list" allowBlank="1" showInputMessage="1" showErrorMessage="1" xr:uid="{00000000-0002-0000-0300-000012180000}">
          <x14:formula1>
            <xm:f>項目!A2:$TAW$4</xm:f>
          </x14:formula1>
          <xm:sqref>TBF5:TBF28</xm:sqref>
        </x14:dataValidation>
        <x14:dataValidation type="list" allowBlank="1" showInputMessage="1" showErrorMessage="1" xr:uid="{00000000-0002-0000-0300-000013180000}">
          <x14:formula1>
            <xm:f>項目!A2:$TKS$4</xm:f>
          </x14:formula1>
          <xm:sqref>TLB5:TLB28</xm:sqref>
        </x14:dataValidation>
        <x14:dataValidation type="list" allowBlank="1" showInputMessage="1" showErrorMessage="1" xr:uid="{00000000-0002-0000-0300-000014180000}">
          <x14:formula1>
            <xm:f>項目!A2:$TUO$4</xm:f>
          </x14:formula1>
          <xm:sqref>TUX5:TUX28</xm:sqref>
        </x14:dataValidation>
        <x14:dataValidation type="list" allowBlank="1" showInputMessage="1" showErrorMessage="1" xr:uid="{00000000-0002-0000-0300-000015180000}">
          <x14:formula1>
            <xm:f>項目!A2:$UEK$4</xm:f>
          </x14:formula1>
          <xm:sqref>UET5:UET28</xm:sqref>
        </x14:dataValidation>
        <x14:dataValidation type="list" allowBlank="1" showInputMessage="1" showErrorMessage="1" xr:uid="{00000000-0002-0000-0300-000016180000}">
          <x14:formula1>
            <xm:f>項目!A2:$UOG$4</xm:f>
          </x14:formula1>
          <xm:sqref>UOP5:UOP28</xm:sqref>
        </x14:dataValidation>
        <x14:dataValidation type="list" allowBlank="1" showInputMessage="1" showErrorMessage="1" xr:uid="{00000000-0002-0000-0300-000017180000}">
          <x14:formula1>
            <xm:f>項目!A2:$UYC$4</xm:f>
          </x14:formula1>
          <xm:sqref>UYL5:UYL28</xm:sqref>
        </x14:dataValidation>
        <x14:dataValidation type="list" allowBlank="1" showInputMessage="1" showErrorMessage="1" xr:uid="{00000000-0002-0000-0300-000018180000}">
          <x14:formula1>
            <xm:f>項目!A2:$VHY$4</xm:f>
          </x14:formula1>
          <xm:sqref>VIH5:VIH28</xm:sqref>
        </x14:dataValidation>
        <x14:dataValidation type="list" allowBlank="1" showInputMessage="1" showErrorMessage="1" xr:uid="{00000000-0002-0000-0300-000019180000}">
          <x14:formula1>
            <xm:f>項目!A2:$VRU$4</xm:f>
          </x14:formula1>
          <xm:sqref>VSD5:VSD28</xm:sqref>
        </x14:dataValidation>
        <x14:dataValidation type="list" allowBlank="1" showInputMessage="1" showErrorMessage="1" xr:uid="{00000000-0002-0000-0300-00001A180000}">
          <x14:formula1>
            <xm:f>項目!A2:$WBQ$4</xm:f>
          </x14:formula1>
          <xm:sqref>WBZ5:WBZ28</xm:sqref>
        </x14:dataValidation>
        <x14:dataValidation type="list" allowBlank="1" showInputMessage="1" showErrorMessage="1" xr:uid="{00000000-0002-0000-0300-00001B180000}">
          <x14:formula1>
            <xm:f>項目!A2:$WLM$4</xm:f>
          </x14:formula1>
          <xm:sqref>WLV5:WLV28</xm:sqref>
        </x14:dataValidation>
        <x14:dataValidation type="list" allowBlank="1" showInputMessage="1" showErrorMessage="1" xr:uid="{00000000-0002-0000-0300-00001C180000}">
          <x14:formula1>
            <xm:f>項目!A2:$WVI$4</xm:f>
          </x14:formula1>
          <xm:sqref>WVR5:WVR28</xm:sqref>
        </x14:dataValidation>
        <x14:dataValidation type="list" allowBlank="1" showInputMessage="1" showErrorMessage="1" xr:uid="{00000000-0002-0000-0300-00001D180000}">
          <x14:formula1>
            <xm:f>項目!A4:$IW$65538</xm:f>
          </x14:formula1>
          <xm:sqref>JF65541:JF65564</xm:sqref>
        </x14:dataValidation>
        <x14:dataValidation type="list" allowBlank="1" showInputMessage="1" showErrorMessage="1" xr:uid="{00000000-0002-0000-0300-00001E180000}">
          <x14:formula1>
            <xm:f>項目!A4:$SS$65538</xm:f>
          </x14:formula1>
          <xm:sqref>TB65541:TB65564</xm:sqref>
        </x14:dataValidation>
        <x14:dataValidation type="list" allowBlank="1" showInputMessage="1" showErrorMessage="1" xr:uid="{00000000-0002-0000-0300-00001F180000}">
          <x14:formula1>
            <xm:f>項目!A4:$ACO$65538</xm:f>
          </x14:formula1>
          <xm:sqref>ACX65541:ACX65564</xm:sqref>
        </x14:dataValidation>
        <x14:dataValidation type="list" allowBlank="1" showInputMessage="1" showErrorMessage="1" xr:uid="{00000000-0002-0000-0300-000020180000}">
          <x14:formula1>
            <xm:f>項目!A4:$AMK$65538</xm:f>
          </x14:formula1>
          <xm:sqref>AMT65541:AMT65564</xm:sqref>
        </x14:dataValidation>
        <x14:dataValidation type="list" allowBlank="1" showInputMessage="1" showErrorMessage="1" xr:uid="{00000000-0002-0000-0300-000021180000}">
          <x14:formula1>
            <xm:f>項目!A4:$AWG$65538</xm:f>
          </x14:formula1>
          <xm:sqref>AWP65541:AWP65564</xm:sqref>
        </x14:dataValidation>
        <x14:dataValidation type="list" allowBlank="1" showInputMessage="1" showErrorMessage="1" xr:uid="{00000000-0002-0000-0300-000022180000}">
          <x14:formula1>
            <xm:f>項目!A4:$BGC$65538</xm:f>
          </x14:formula1>
          <xm:sqref>BGL65541:BGL65564</xm:sqref>
        </x14:dataValidation>
        <x14:dataValidation type="list" allowBlank="1" showInputMessage="1" showErrorMessage="1" xr:uid="{00000000-0002-0000-0300-000023180000}">
          <x14:formula1>
            <xm:f>項目!A4:$BPY$65538</xm:f>
          </x14:formula1>
          <xm:sqref>BQH65541:BQH65564</xm:sqref>
        </x14:dataValidation>
        <x14:dataValidation type="list" allowBlank="1" showInputMessage="1" showErrorMessage="1" xr:uid="{00000000-0002-0000-0300-000024180000}">
          <x14:formula1>
            <xm:f>項目!A4:$BZU$65538</xm:f>
          </x14:formula1>
          <xm:sqref>CAD65541:CAD65564</xm:sqref>
        </x14:dataValidation>
        <x14:dataValidation type="list" allowBlank="1" showInputMessage="1" showErrorMessage="1" xr:uid="{00000000-0002-0000-0300-000025180000}">
          <x14:formula1>
            <xm:f>項目!A4:$CJQ$65538</xm:f>
          </x14:formula1>
          <xm:sqref>CJZ65541:CJZ65564</xm:sqref>
        </x14:dataValidation>
        <x14:dataValidation type="list" allowBlank="1" showInputMessage="1" showErrorMessage="1" xr:uid="{00000000-0002-0000-0300-000026180000}">
          <x14:formula1>
            <xm:f>項目!A4:$CTM$65538</xm:f>
          </x14:formula1>
          <xm:sqref>CTV65541:CTV65564</xm:sqref>
        </x14:dataValidation>
        <x14:dataValidation type="list" allowBlank="1" showInputMessage="1" showErrorMessage="1" xr:uid="{00000000-0002-0000-0300-000027180000}">
          <x14:formula1>
            <xm:f>項目!A4:$DDI$65538</xm:f>
          </x14:formula1>
          <xm:sqref>DDR65541:DDR65564</xm:sqref>
        </x14:dataValidation>
        <x14:dataValidation type="list" allowBlank="1" showInputMessage="1" showErrorMessage="1" xr:uid="{00000000-0002-0000-0300-000028180000}">
          <x14:formula1>
            <xm:f>項目!A4:$DNE$65538</xm:f>
          </x14:formula1>
          <xm:sqref>DNN65541:DNN65564</xm:sqref>
        </x14:dataValidation>
        <x14:dataValidation type="list" allowBlank="1" showInputMessage="1" showErrorMessage="1" xr:uid="{00000000-0002-0000-0300-000029180000}">
          <x14:formula1>
            <xm:f>項目!A4:$DXA$65538</xm:f>
          </x14:formula1>
          <xm:sqref>DXJ65541:DXJ65564</xm:sqref>
        </x14:dataValidation>
        <x14:dataValidation type="list" allowBlank="1" showInputMessage="1" showErrorMessage="1" xr:uid="{00000000-0002-0000-0300-00002A180000}">
          <x14:formula1>
            <xm:f>項目!A4:$EGW$65538</xm:f>
          </x14:formula1>
          <xm:sqref>EHF65541:EHF65564</xm:sqref>
        </x14:dataValidation>
        <x14:dataValidation type="list" allowBlank="1" showInputMessage="1" showErrorMessage="1" xr:uid="{00000000-0002-0000-0300-00002B180000}">
          <x14:formula1>
            <xm:f>項目!A4:$EQS$65538</xm:f>
          </x14:formula1>
          <xm:sqref>ERB65541:ERB65564</xm:sqref>
        </x14:dataValidation>
        <x14:dataValidation type="list" allowBlank="1" showInputMessage="1" showErrorMessage="1" xr:uid="{00000000-0002-0000-0300-00002C180000}">
          <x14:formula1>
            <xm:f>項目!A4:$FAO$65538</xm:f>
          </x14:formula1>
          <xm:sqref>FAX65541:FAX65564</xm:sqref>
        </x14:dataValidation>
        <x14:dataValidation type="list" allowBlank="1" showInputMessage="1" showErrorMessage="1" xr:uid="{00000000-0002-0000-0300-00002D180000}">
          <x14:formula1>
            <xm:f>項目!A4:$FKK$65538</xm:f>
          </x14:formula1>
          <xm:sqref>FKT65541:FKT65564</xm:sqref>
        </x14:dataValidation>
        <x14:dataValidation type="list" allowBlank="1" showInputMessage="1" showErrorMessage="1" xr:uid="{00000000-0002-0000-0300-00002E180000}">
          <x14:formula1>
            <xm:f>項目!A4:$FUG$65538</xm:f>
          </x14:formula1>
          <xm:sqref>FUP65541:FUP65564</xm:sqref>
        </x14:dataValidation>
        <x14:dataValidation type="list" allowBlank="1" showInputMessage="1" showErrorMessage="1" xr:uid="{00000000-0002-0000-0300-00002F180000}">
          <x14:formula1>
            <xm:f>項目!A4:$GEC$65538</xm:f>
          </x14:formula1>
          <xm:sqref>GEL65541:GEL65564</xm:sqref>
        </x14:dataValidation>
        <x14:dataValidation type="list" allowBlank="1" showInputMessage="1" showErrorMessage="1" xr:uid="{00000000-0002-0000-0300-000030180000}">
          <x14:formula1>
            <xm:f>項目!A4:$GNY$65538</xm:f>
          </x14:formula1>
          <xm:sqref>GOH65541:GOH65564</xm:sqref>
        </x14:dataValidation>
        <x14:dataValidation type="list" allowBlank="1" showInputMessage="1" showErrorMessage="1" xr:uid="{00000000-0002-0000-0300-000031180000}">
          <x14:formula1>
            <xm:f>項目!A4:$GXU$65538</xm:f>
          </x14:formula1>
          <xm:sqref>GYD65541:GYD65564</xm:sqref>
        </x14:dataValidation>
        <x14:dataValidation type="list" allowBlank="1" showInputMessage="1" showErrorMessage="1" xr:uid="{00000000-0002-0000-0300-000032180000}">
          <x14:formula1>
            <xm:f>項目!A4:$HHQ$65538</xm:f>
          </x14:formula1>
          <xm:sqref>HHZ65541:HHZ65564</xm:sqref>
        </x14:dataValidation>
        <x14:dataValidation type="list" allowBlank="1" showInputMessage="1" showErrorMessage="1" xr:uid="{00000000-0002-0000-0300-000033180000}">
          <x14:formula1>
            <xm:f>項目!A4:$HRM$65538</xm:f>
          </x14:formula1>
          <xm:sqref>HRV65541:HRV65564</xm:sqref>
        </x14:dataValidation>
        <x14:dataValidation type="list" allowBlank="1" showInputMessage="1" showErrorMessage="1" xr:uid="{00000000-0002-0000-0300-000034180000}">
          <x14:formula1>
            <xm:f>項目!A4:$IBI$65538</xm:f>
          </x14:formula1>
          <xm:sqref>IBR65541:IBR65564</xm:sqref>
        </x14:dataValidation>
        <x14:dataValidation type="list" allowBlank="1" showInputMessage="1" showErrorMessage="1" xr:uid="{00000000-0002-0000-0300-000035180000}">
          <x14:formula1>
            <xm:f>項目!A4:$ILE$65538</xm:f>
          </x14:formula1>
          <xm:sqref>ILN65541:ILN65564</xm:sqref>
        </x14:dataValidation>
        <x14:dataValidation type="list" allowBlank="1" showInputMessage="1" showErrorMessage="1" xr:uid="{00000000-0002-0000-0300-000036180000}">
          <x14:formula1>
            <xm:f>項目!A4:$IVA$65538</xm:f>
          </x14:formula1>
          <xm:sqref>IVJ65541:IVJ65564</xm:sqref>
        </x14:dataValidation>
        <x14:dataValidation type="list" allowBlank="1" showInputMessage="1" showErrorMessage="1" xr:uid="{00000000-0002-0000-0300-000037180000}">
          <x14:formula1>
            <xm:f>項目!A4:$JEW$65538</xm:f>
          </x14:formula1>
          <xm:sqref>JFF65541:JFF65564</xm:sqref>
        </x14:dataValidation>
        <x14:dataValidation type="list" allowBlank="1" showInputMessage="1" showErrorMessage="1" xr:uid="{00000000-0002-0000-0300-000038180000}">
          <x14:formula1>
            <xm:f>項目!A4:$JOS$65538</xm:f>
          </x14:formula1>
          <xm:sqref>JPB65541:JPB65564</xm:sqref>
        </x14:dataValidation>
        <x14:dataValidation type="list" allowBlank="1" showInputMessage="1" showErrorMessage="1" xr:uid="{00000000-0002-0000-0300-000039180000}">
          <x14:formula1>
            <xm:f>項目!A4:$JYO$65538</xm:f>
          </x14:formula1>
          <xm:sqref>JYX65541:JYX65564</xm:sqref>
        </x14:dataValidation>
        <x14:dataValidation type="list" allowBlank="1" showInputMessage="1" showErrorMessage="1" xr:uid="{00000000-0002-0000-0300-00003A180000}">
          <x14:formula1>
            <xm:f>項目!A4:$KIK$65538</xm:f>
          </x14:formula1>
          <xm:sqref>KIT65541:KIT65564</xm:sqref>
        </x14:dataValidation>
        <x14:dataValidation type="list" allowBlank="1" showInputMessage="1" showErrorMessage="1" xr:uid="{00000000-0002-0000-0300-00003B180000}">
          <x14:formula1>
            <xm:f>項目!A4:$KSG$65538</xm:f>
          </x14:formula1>
          <xm:sqref>KSP65541:KSP65564</xm:sqref>
        </x14:dataValidation>
        <x14:dataValidation type="list" allowBlank="1" showInputMessage="1" showErrorMessage="1" xr:uid="{00000000-0002-0000-0300-00003C180000}">
          <x14:formula1>
            <xm:f>項目!A4:$LCC$65538</xm:f>
          </x14:formula1>
          <xm:sqref>LCL65541:LCL65564</xm:sqref>
        </x14:dataValidation>
        <x14:dataValidation type="list" allowBlank="1" showInputMessage="1" showErrorMessage="1" xr:uid="{00000000-0002-0000-0300-00003D180000}">
          <x14:formula1>
            <xm:f>項目!A4:$LLY$65538</xm:f>
          </x14:formula1>
          <xm:sqref>LMH65541:LMH65564</xm:sqref>
        </x14:dataValidation>
        <x14:dataValidation type="list" allowBlank="1" showInputMessage="1" showErrorMessage="1" xr:uid="{00000000-0002-0000-0300-00003E180000}">
          <x14:formula1>
            <xm:f>項目!A4:$LVU$65538</xm:f>
          </x14:formula1>
          <xm:sqref>LWD65541:LWD65564</xm:sqref>
        </x14:dataValidation>
        <x14:dataValidation type="list" allowBlank="1" showInputMessage="1" showErrorMessage="1" xr:uid="{00000000-0002-0000-0300-00003F180000}">
          <x14:formula1>
            <xm:f>項目!A4:$MFQ$65538</xm:f>
          </x14:formula1>
          <xm:sqref>MFZ65541:MFZ65564</xm:sqref>
        </x14:dataValidation>
        <x14:dataValidation type="list" allowBlank="1" showInputMessage="1" showErrorMessage="1" xr:uid="{00000000-0002-0000-0300-000040180000}">
          <x14:formula1>
            <xm:f>項目!A4:$MPM$65538</xm:f>
          </x14:formula1>
          <xm:sqref>MPV65541:MPV65564</xm:sqref>
        </x14:dataValidation>
        <x14:dataValidation type="list" allowBlank="1" showInputMessage="1" showErrorMessage="1" xr:uid="{00000000-0002-0000-0300-000041180000}">
          <x14:formula1>
            <xm:f>項目!A4:$MZI$65538</xm:f>
          </x14:formula1>
          <xm:sqref>MZR65541:MZR65564</xm:sqref>
        </x14:dataValidation>
        <x14:dataValidation type="list" allowBlank="1" showInputMessage="1" showErrorMessage="1" xr:uid="{00000000-0002-0000-0300-000042180000}">
          <x14:formula1>
            <xm:f>項目!A4:$NJE$65538</xm:f>
          </x14:formula1>
          <xm:sqref>NJN65541:NJN65564</xm:sqref>
        </x14:dataValidation>
        <x14:dataValidation type="list" allowBlank="1" showInputMessage="1" showErrorMessage="1" xr:uid="{00000000-0002-0000-0300-000043180000}">
          <x14:formula1>
            <xm:f>項目!A4:$NTA$65538</xm:f>
          </x14:formula1>
          <xm:sqref>NTJ65541:NTJ65564</xm:sqref>
        </x14:dataValidation>
        <x14:dataValidation type="list" allowBlank="1" showInputMessage="1" showErrorMessage="1" xr:uid="{00000000-0002-0000-0300-000044180000}">
          <x14:formula1>
            <xm:f>項目!A4:$OCW$65538</xm:f>
          </x14:formula1>
          <xm:sqref>ODF65541:ODF65564</xm:sqref>
        </x14:dataValidation>
        <x14:dataValidation type="list" allowBlank="1" showInputMessage="1" showErrorMessage="1" xr:uid="{00000000-0002-0000-0300-000045180000}">
          <x14:formula1>
            <xm:f>項目!A4:$OMS$65538</xm:f>
          </x14:formula1>
          <xm:sqref>ONB65541:ONB65564</xm:sqref>
        </x14:dataValidation>
        <x14:dataValidation type="list" allowBlank="1" showInputMessage="1" showErrorMessage="1" xr:uid="{00000000-0002-0000-0300-000046180000}">
          <x14:formula1>
            <xm:f>項目!A4:$OWO$65538</xm:f>
          </x14:formula1>
          <xm:sqref>OWX65541:OWX65564</xm:sqref>
        </x14:dataValidation>
        <x14:dataValidation type="list" allowBlank="1" showInputMessage="1" showErrorMessage="1" xr:uid="{00000000-0002-0000-0300-000047180000}">
          <x14:formula1>
            <xm:f>項目!A4:$PGK$65538</xm:f>
          </x14:formula1>
          <xm:sqref>PGT65541:PGT65564</xm:sqref>
        </x14:dataValidation>
        <x14:dataValidation type="list" allowBlank="1" showInputMessage="1" showErrorMessage="1" xr:uid="{00000000-0002-0000-0300-000048180000}">
          <x14:formula1>
            <xm:f>項目!A4:$PQG$65538</xm:f>
          </x14:formula1>
          <xm:sqref>PQP65541:PQP65564</xm:sqref>
        </x14:dataValidation>
        <x14:dataValidation type="list" allowBlank="1" showInputMessage="1" showErrorMessage="1" xr:uid="{00000000-0002-0000-0300-000049180000}">
          <x14:formula1>
            <xm:f>項目!A4:$QAC$65538</xm:f>
          </x14:formula1>
          <xm:sqref>QAL65541:QAL65564</xm:sqref>
        </x14:dataValidation>
        <x14:dataValidation type="list" allowBlank="1" showInputMessage="1" showErrorMessage="1" xr:uid="{00000000-0002-0000-0300-00004A180000}">
          <x14:formula1>
            <xm:f>項目!A4:$QJY$65538</xm:f>
          </x14:formula1>
          <xm:sqref>QKH65541:QKH65564</xm:sqref>
        </x14:dataValidation>
        <x14:dataValidation type="list" allowBlank="1" showInputMessage="1" showErrorMessage="1" xr:uid="{00000000-0002-0000-0300-00004B180000}">
          <x14:formula1>
            <xm:f>項目!A4:$QTU$65538</xm:f>
          </x14:formula1>
          <xm:sqref>QUD65541:QUD65564</xm:sqref>
        </x14:dataValidation>
        <x14:dataValidation type="list" allowBlank="1" showInputMessage="1" showErrorMessage="1" xr:uid="{00000000-0002-0000-0300-00004C180000}">
          <x14:formula1>
            <xm:f>項目!A4:$RDQ$65538</xm:f>
          </x14:formula1>
          <xm:sqref>RDZ65541:RDZ65564</xm:sqref>
        </x14:dataValidation>
        <x14:dataValidation type="list" allowBlank="1" showInputMessage="1" showErrorMessage="1" xr:uid="{00000000-0002-0000-0300-00004D180000}">
          <x14:formula1>
            <xm:f>項目!A4:$RNM$65538</xm:f>
          </x14:formula1>
          <xm:sqref>RNV65541:RNV65564</xm:sqref>
        </x14:dataValidation>
        <x14:dataValidation type="list" allowBlank="1" showInputMessage="1" showErrorMessage="1" xr:uid="{00000000-0002-0000-0300-00004E180000}">
          <x14:formula1>
            <xm:f>項目!A4:$RXI$65538</xm:f>
          </x14:formula1>
          <xm:sqref>RXR65541:RXR65564</xm:sqref>
        </x14:dataValidation>
        <x14:dataValidation type="list" allowBlank="1" showInputMessage="1" showErrorMessage="1" xr:uid="{00000000-0002-0000-0300-00004F180000}">
          <x14:formula1>
            <xm:f>項目!A4:$SHE$65538</xm:f>
          </x14:formula1>
          <xm:sqref>SHN65541:SHN65564</xm:sqref>
        </x14:dataValidation>
        <x14:dataValidation type="list" allowBlank="1" showInputMessage="1" showErrorMessage="1" xr:uid="{00000000-0002-0000-0300-000050180000}">
          <x14:formula1>
            <xm:f>項目!A4:$SRA$65538</xm:f>
          </x14:formula1>
          <xm:sqref>SRJ65541:SRJ65564</xm:sqref>
        </x14:dataValidation>
        <x14:dataValidation type="list" allowBlank="1" showInputMessage="1" showErrorMessage="1" xr:uid="{00000000-0002-0000-0300-000051180000}">
          <x14:formula1>
            <xm:f>項目!A4:$TAW$65538</xm:f>
          </x14:formula1>
          <xm:sqref>TBF65541:TBF65564</xm:sqref>
        </x14:dataValidation>
        <x14:dataValidation type="list" allowBlank="1" showInputMessage="1" showErrorMessage="1" xr:uid="{00000000-0002-0000-0300-000052180000}">
          <x14:formula1>
            <xm:f>項目!A4:$TKS$65538</xm:f>
          </x14:formula1>
          <xm:sqref>TLB65541:TLB65564</xm:sqref>
        </x14:dataValidation>
        <x14:dataValidation type="list" allowBlank="1" showInputMessage="1" showErrorMessage="1" xr:uid="{00000000-0002-0000-0300-000053180000}">
          <x14:formula1>
            <xm:f>項目!A4:$TUO$65538</xm:f>
          </x14:formula1>
          <xm:sqref>TUX65541:TUX65564</xm:sqref>
        </x14:dataValidation>
        <x14:dataValidation type="list" allowBlank="1" showInputMessage="1" showErrorMessage="1" xr:uid="{00000000-0002-0000-0300-000054180000}">
          <x14:formula1>
            <xm:f>項目!A4:$UEK$65538</xm:f>
          </x14:formula1>
          <xm:sqref>UET65541:UET65564</xm:sqref>
        </x14:dataValidation>
        <x14:dataValidation type="list" allowBlank="1" showInputMessage="1" showErrorMessage="1" xr:uid="{00000000-0002-0000-0300-000055180000}">
          <x14:formula1>
            <xm:f>項目!A4:$UOG$65538</xm:f>
          </x14:formula1>
          <xm:sqref>UOP65541:UOP65564</xm:sqref>
        </x14:dataValidation>
        <x14:dataValidation type="list" allowBlank="1" showInputMessage="1" showErrorMessage="1" xr:uid="{00000000-0002-0000-0300-000056180000}">
          <x14:formula1>
            <xm:f>項目!A4:$UYC$65538</xm:f>
          </x14:formula1>
          <xm:sqref>UYL65541:UYL65564</xm:sqref>
        </x14:dataValidation>
        <x14:dataValidation type="list" allowBlank="1" showInputMessage="1" showErrorMessage="1" xr:uid="{00000000-0002-0000-0300-000057180000}">
          <x14:formula1>
            <xm:f>項目!A4:$VHY$65538</xm:f>
          </x14:formula1>
          <xm:sqref>VIH65541:VIH65564</xm:sqref>
        </x14:dataValidation>
        <x14:dataValidation type="list" allowBlank="1" showInputMessage="1" showErrorMessage="1" xr:uid="{00000000-0002-0000-0300-000058180000}">
          <x14:formula1>
            <xm:f>項目!A4:$VRU$65538</xm:f>
          </x14:formula1>
          <xm:sqref>VSD65541:VSD65564</xm:sqref>
        </x14:dataValidation>
        <x14:dataValidation type="list" allowBlank="1" showInputMessage="1" showErrorMessage="1" xr:uid="{00000000-0002-0000-0300-000059180000}">
          <x14:formula1>
            <xm:f>項目!A4:$WBQ$65538</xm:f>
          </x14:formula1>
          <xm:sqref>WBZ65541:WBZ65564</xm:sqref>
        </x14:dataValidation>
        <x14:dataValidation type="list" allowBlank="1" showInputMessage="1" showErrorMessage="1" xr:uid="{00000000-0002-0000-0300-00005A180000}">
          <x14:formula1>
            <xm:f>項目!A4:$WLM$65538</xm:f>
          </x14:formula1>
          <xm:sqref>WLV65541:WLV65564</xm:sqref>
        </x14:dataValidation>
        <x14:dataValidation type="list" allowBlank="1" showInputMessage="1" showErrorMessage="1" xr:uid="{00000000-0002-0000-0300-00005B180000}">
          <x14:formula1>
            <xm:f>項目!A4:$WVI$65538</xm:f>
          </x14:formula1>
          <xm:sqref>WVR65541:WVR65564</xm:sqref>
        </x14:dataValidation>
        <x14:dataValidation type="list" allowBlank="1" showInputMessage="1" showErrorMessage="1" xr:uid="{00000000-0002-0000-0300-00005C180000}">
          <x14:formula1>
            <xm:f>項目!A4:$IW$131074</xm:f>
          </x14:formula1>
          <xm:sqref>JF131077:JF131100</xm:sqref>
        </x14:dataValidation>
        <x14:dataValidation type="list" allowBlank="1" showInputMessage="1" showErrorMessage="1" xr:uid="{00000000-0002-0000-0300-00005D180000}">
          <x14:formula1>
            <xm:f>項目!A4:$SS$131074</xm:f>
          </x14:formula1>
          <xm:sqref>TB131077:TB131100</xm:sqref>
        </x14:dataValidation>
        <x14:dataValidation type="list" allowBlank="1" showInputMessage="1" showErrorMessage="1" xr:uid="{00000000-0002-0000-0300-00005E180000}">
          <x14:formula1>
            <xm:f>項目!A4:$ACO$131074</xm:f>
          </x14:formula1>
          <xm:sqref>ACX131077:ACX131100</xm:sqref>
        </x14:dataValidation>
        <x14:dataValidation type="list" allowBlank="1" showInputMessage="1" showErrorMessage="1" xr:uid="{00000000-0002-0000-0300-00005F180000}">
          <x14:formula1>
            <xm:f>項目!A4:$AMK$131074</xm:f>
          </x14:formula1>
          <xm:sqref>AMT131077:AMT131100</xm:sqref>
        </x14:dataValidation>
        <x14:dataValidation type="list" allowBlank="1" showInputMessage="1" showErrorMessage="1" xr:uid="{00000000-0002-0000-0300-000060180000}">
          <x14:formula1>
            <xm:f>項目!A4:$AWG$131074</xm:f>
          </x14:formula1>
          <xm:sqref>AWP131077:AWP131100</xm:sqref>
        </x14:dataValidation>
        <x14:dataValidation type="list" allowBlank="1" showInputMessage="1" showErrorMessage="1" xr:uid="{00000000-0002-0000-0300-000061180000}">
          <x14:formula1>
            <xm:f>項目!A4:$BGC$131074</xm:f>
          </x14:formula1>
          <xm:sqref>BGL131077:BGL131100</xm:sqref>
        </x14:dataValidation>
        <x14:dataValidation type="list" allowBlank="1" showInputMessage="1" showErrorMessage="1" xr:uid="{00000000-0002-0000-0300-000062180000}">
          <x14:formula1>
            <xm:f>項目!A4:$BPY$131074</xm:f>
          </x14:formula1>
          <xm:sqref>BQH131077:BQH131100</xm:sqref>
        </x14:dataValidation>
        <x14:dataValidation type="list" allowBlank="1" showInputMessage="1" showErrorMessage="1" xr:uid="{00000000-0002-0000-0300-000063180000}">
          <x14:formula1>
            <xm:f>項目!A4:$BZU$131074</xm:f>
          </x14:formula1>
          <xm:sqref>CAD131077:CAD131100</xm:sqref>
        </x14:dataValidation>
        <x14:dataValidation type="list" allowBlank="1" showInputMessage="1" showErrorMessage="1" xr:uid="{00000000-0002-0000-0300-000064180000}">
          <x14:formula1>
            <xm:f>項目!A4:$CJQ$131074</xm:f>
          </x14:formula1>
          <xm:sqref>CJZ131077:CJZ131100</xm:sqref>
        </x14:dataValidation>
        <x14:dataValidation type="list" allowBlank="1" showInputMessage="1" showErrorMessage="1" xr:uid="{00000000-0002-0000-0300-000065180000}">
          <x14:formula1>
            <xm:f>項目!A4:$CTM$131074</xm:f>
          </x14:formula1>
          <xm:sqref>CTV131077:CTV131100</xm:sqref>
        </x14:dataValidation>
        <x14:dataValidation type="list" allowBlank="1" showInputMessage="1" showErrorMessage="1" xr:uid="{00000000-0002-0000-0300-000066180000}">
          <x14:formula1>
            <xm:f>項目!A4:$DDI$131074</xm:f>
          </x14:formula1>
          <xm:sqref>DDR131077:DDR131100</xm:sqref>
        </x14:dataValidation>
        <x14:dataValidation type="list" allowBlank="1" showInputMessage="1" showErrorMessage="1" xr:uid="{00000000-0002-0000-0300-000067180000}">
          <x14:formula1>
            <xm:f>項目!A4:$DNE$131074</xm:f>
          </x14:formula1>
          <xm:sqref>DNN131077:DNN131100</xm:sqref>
        </x14:dataValidation>
        <x14:dataValidation type="list" allowBlank="1" showInputMessage="1" showErrorMessage="1" xr:uid="{00000000-0002-0000-0300-000068180000}">
          <x14:formula1>
            <xm:f>項目!A4:$DXA$131074</xm:f>
          </x14:formula1>
          <xm:sqref>DXJ131077:DXJ131100</xm:sqref>
        </x14:dataValidation>
        <x14:dataValidation type="list" allowBlank="1" showInputMessage="1" showErrorMessage="1" xr:uid="{00000000-0002-0000-0300-000069180000}">
          <x14:formula1>
            <xm:f>項目!A4:$EGW$131074</xm:f>
          </x14:formula1>
          <xm:sqref>EHF131077:EHF131100</xm:sqref>
        </x14:dataValidation>
        <x14:dataValidation type="list" allowBlank="1" showInputMessage="1" showErrorMessage="1" xr:uid="{00000000-0002-0000-0300-00006A180000}">
          <x14:formula1>
            <xm:f>項目!A4:$EQS$131074</xm:f>
          </x14:formula1>
          <xm:sqref>ERB131077:ERB131100</xm:sqref>
        </x14:dataValidation>
        <x14:dataValidation type="list" allowBlank="1" showInputMessage="1" showErrorMessage="1" xr:uid="{00000000-0002-0000-0300-00006B180000}">
          <x14:formula1>
            <xm:f>項目!A4:$FAO$131074</xm:f>
          </x14:formula1>
          <xm:sqref>FAX131077:FAX131100</xm:sqref>
        </x14:dataValidation>
        <x14:dataValidation type="list" allowBlank="1" showInputMessage="1" showErrorMessage="1" xr:uid="{00000000-0002-0000-0300-00006C180000}">
          <x14:formula1>
            <xm:f>項目!A4:$FKK$131074</xm:f>
          </x14:formula1>
          <xm:sqref>FKT131077:FKT131100</xm:sqref>
        </x14:dataValidation>
        <x14:dataValidation type="list" allowBlank="1" showInputMessage="1" showErrorMessage="1" xr:uid="{00000000-0002-0000-0300-00006D180000}">
          <x14:formula1>
            <xm:f>項目!A4:$FUG$131074</xm:f>
          </x14:formula1>
          <xm:sqref>FUP131077:FUP131100</xm:sqref>
        </x14:dataValidation>
        <x14:dataValidation type="list" allowBlank="1" showInputMessage="1" showErrorMessage="1" xr:uid="{00000000-0002-0000-0300-00006E180000}">
          <x14:formula1>
            <xm:f>項目!A4:$GEC$131074</xm:f>
          </x14:formula1>
          <xm:sqref>GEL131077:GEL131100</xm:sqref>
        </x14:dataValidation>
        <x14:dataValidation type="list" allowBlank="1" showInputMessage="1" showErrorMessage="1" xr:uid="{00000000-0002-0000-0300-00006F180000}">
          <x14:formula1>
            <xm:f>項目!A4:$GNY$131074</xm:f>
          </x14:formula1>
          <xm:sqref>GOH131077:GOH131100</xm:sqref>
        </x14:dataValidation>
        <x14:dataValidation type="list" allowBlank="1" showInputMessage="1" showErrorMessage="1" xr:uid="{00000000-0002-0000-0300-000070180000}">
          <x14:formula1>
            <xm:f>項目!A4:$GXU$131074</xm:f>
          </x14:formula1>
          <xm:sqref>GYD131077:GYD131100</xm:sqref>
        </x14:dataValidation>
        <x14:dataValidation type="list" allowBlank="1" showInputMessage="1" showErrorMessage="1" xr:uid="{00000000-0002-0000-0300-000071180000}">
          <x14:formula1>
            <xm:f>項目!A4:$HHQ$131074</xm:f>
          </x14:formula1>
          <xm:sqref>HHZ131077:HHZ131100</xm:sqref>
        </x14:dataValidation>
        <x14:dataValidation type="list" allowBlank="1" showInputMessage="1" showErrorMessage="1" xr:uid="{00000000-0002-0000-0300-000072180000}">
          <x14:formula1>
            <xm:f>項目!A4:$HRM$131074</xm:f>
          </x14:formula1>
          <xm:sqref>HRV131077:HRV131100</xm:sqref>
        </x14:dataValidation>
        <x14:dataValidation type="list" allowBlank="1" showInputMessage="1" showErrorMessage="1" xr:uid="{00000000-0002-0000-0300-000073180000}">
          <x14:formula1>
            <xm:f>項目!A4:$IBI$131074</xm:f>
          </x14:formula1>
          <xm:sqref>IBR131077:IBR131100</xm:sqref>
        </x14:dataValidation>
        <x14:dataValidation type="list" allowBlank="1" showInputMessage="1" showErrorMessage="1" xr:uid="{00000000-0002-0000-0300-000074180000}">
          <x14:formula1>
            <xm:f>項目!A4:$ILE$131074</xm:f>
          </x14:formula1>
          <xm:sqref>ILN131077:ILN131100</xm:sqref>
        </x14:dataValidation>
        <x14:dataValidation type="list" allowBlank="1" showInputMessage="1" showErrorMessage="1" xr:uid="{00000000-0002-0000-0300-000075180000}">
          <x14:formula1>
            <xm:f>項目!A4:$IVA$131074</xm:f>
          </x14:formula1>
          <xm:sqref>IVJ131077:IVJ131100</xm:sqref>
        </x14:dataValidation>
        <x14:dataValidation type="list" allowBlank="1" showInputMessage="1" showErrorMessage="1" xr:uid="{00000000-0002-0000-0300-000076180000}">
          <x14:formula1>
            <xm:f>項目!A4:$JEW$131074</xm:f>
          </x14:formula1>
          <xm:sqref>JFF131077:JFF131100</xm:sqref>
        </x14:dataValidation>
        <x14:dataValidation type="list" allowBlank="1" showInputMessage="1" showErrorMessage="1" xr:uid="{00000000-0002-0000-0300-000077180000}">
          <x14:formula1>
            <xm:f>項目!A4:$JOS$131074</xm:f>
          </x14:formula1>
          <xm:sqref>JPB131077:JPB131100</xm:sqref>
        </x14:dataValidation>
        <x14:dataValidation type="list" allowBlank="1" showInputMessage="1" showErrorMessage="1" xr:uid="{00000000-0002-0000-0300-000078180000}">
          <x14:formula1>
            <xm:f>項目!A4:$JYO$131074</xm:f>
          </x14:formula1>
          <xm:sqref>JYX131077:JYX131100</xm:sqref>
        </x14:dataValidation>
        <x14:dataValidation type="list" allowBlank="1" showInputMessage="1" showErrorMessage="1" xr:uid="{00000000-0002-0000-0300-000079180000}">
          <x14:formula1>
            <xm:f>項目!A4:$KIK$131074</xm:f>
          </x14:formula1>
          <xm:sqref>KIT131077:KIT131100</xm:sqref>
        </x14:dataValidation>
        <x14:dataValidation type="list" allowBlank="1" showInputMessage="1" showErrorMessage="1" xr:uid="{00000000-0002-0000-0300-00007A180000}">
          <x14:formula1>
            <xm:f>項目!A4:$KSG$131074</xm:f>
          </x14:formula1>
          <xm:sqref>KSP131077:KSP131100</xm:sqref>
        </x14:dataValidation>
        <x14:dataValidation type="list" allowBlank="1" showInputMessage="1" showErrorMessage="1" xr:uid="{00000000-0002-0000-0300-00007B180000}">
          <x14:formula1>
            <xm:f>項目!A4:$LCC$131074</xm:f>
          </x14:formula1>
          <xm:sqref>LCL131077:LCL131100</xm:sqref>
        </x14:dataValidation>
        <x14:dataValidation type="list" allowBlank="1" showInputMessage="1" showErrorMessage="1" xr:uid="{00000000-0002-0000-0300-00007C180000}">
          <x14:formula1>
            <xm:f>項目!A4:$LLY$131074</xm:f>
          </x14:formula1>
          <xm:sqref>LMH131077:LMH131100</xm:sqref>
        </x14:dataValidation>
        <x14:dataValidation type="list" allowBlank="1" showInputMessage="1" showErrorMessage="1" xr:uid="{00000000-0002-0000-0300-00007D180000}">
          <x14:formula1>
            <xm:f>項目!A4:$LVU$131074</xm:f>
          </x14:formula1>
          <xm:sqref>LWD131077:LWD131100</xm:sqref>
        </x14:dataValidation>
        <x14:dataValidation type="list" allowBlank="1" showInputMessage="1" showErrorMessage="1" xr:uid="{00000000-0002-0000-0300-00007E180000}">
          <x14:formula1>
            <xm:f>項目!A4:$MFQ$131074</xm:f>
          </x14:formula1>
          <xm:sqref>MFZ131077:MFZ131100</xm:sqref>
        </x14:dataValidation>
        <x14:dataValidation type="list" allowBlank="1" showInputMessage="1" showErrorMessage="1" xr:uid="{00000000-0002-0000-0300-00007F180000}">
          <x14:formula1>
            <xm:f>項目!A4:$MPM$131074</xm:f>
          </x14:formula1>
          <xm:sqref>MPV131077:MPV131100</xm:sqref>
        </x14:dataValidation>
        <x14:dataValidation type="list" allowBlank="1" showInputMessage="1" showErrorMessage="1" xr:uid="{00000000-0002-0000-0300-000080180000}">
          <x14:formula1>
            <xm:f>項目!A4:$MZI$131074</xm:f>
          </x14:formula1>
          <xm:sqref>MZR131077:MZR131100</xm:sqref>
        </x14:dataValidation>
        <x14:dataValidation type="list" allowBlank="1" showInputMessage="1" showErrorMessage="1" xr:uid="{00000000-0002-0000-0300-000081180000}">
          <x14:formula1>
            <xm:f>項目!A4:$NJE$131074</xm:f>
          </x14:formula1>
          <xm:sqref>NJN131077:NJN131100</xm:sqref>
        </x14:dataValidation>
        <x14:dataValidation type="list" allowBlank="1" showInputMessage="1" showErrorMessage="1" xr:uid="{00000000-0002-0000-0300-000082180000}">
          <x14:formula1>
            <xm:f>項目!A4:$NTA$131074</xm:f>
          </x14:formula1>
          <xm:sqref>NTJ131077:NTJ131100</xm:sqref>
        </x14:dataValidation>
        <x14:dataValidation type="list" allowBlank="1" showInputMessage="1" showErrorMessage="1" xr:uid="{00000000-0002-0000-0300-000083180000}">
          <x14:formula1>
            <xm:f>項目!A4:$OCW$131074</xm:f>
          </x14:formula1>
          <xm:sqref>ODF131077:ODF131100</xm:sqref>
        </x14:dataValidation>
        <x14:dataValidation type="list" allowBlank="1" showInputMessage="1" showErrorMessage="1" xr:uid="{00000000-0002-0000-0300-000084180000}">
          <x14:formula1>
            <xm:f>項目!A4:$OMS$131074</xm:f>
          </x14:formula1>
          <xm:sqref>ONB131077:ONB131100</xm:sqref>
        </x14:dataValidation>
        <x14:dataValidation type="list" allowBlank="1" showInputMessage="1" showErrorMessage="1" xr:uid="{00000000-0002-0000-0300-000085180000}">
          <x14:formula1>
            <xm:f>項目!A4:$OWO$131074</xm:f>
          </x14:formula1>
          <xm:sqref>OWX131077:OWX131100</xm:sqref>
        </x14:dataValidation>
        <x14:dataValidation type="list" allowBlank="1" showInputMessage="1" showErrorMessage="1" xr:uid="{00000000-0002-0000-0300-000086180000}">
          <x14:formula1>
            <xm:f>項目!A4:$PGK$131074</xm:f>
          </x14:formula1>
          <xm:sqref>PGT131077:PGT131100</xm:sqref>
        </x14:dataValidation>
        <x14:dataValidation type="list" allowBlank="1" showInputMessage="1" showErrorMessage="1" xr:uid="{00000000-0002-0000-0300-000087180000}">
          <x14:formula1>
            <xm:f>項目!A4:$PQG$131074</xm:f>
          </x14:formula1>
          <xm:sqref>PQP131077:PQP131100</xm:sqref>
        </x14:dataValidation>
        <x14:dataValidation type="list" allowBlank="1" showInputMessage="1" showErrorMessage="1" xr:uid="{00000000-0002-0000-0300-000088180000}">
          <x14:formula1>
            <xm:f>項目!A4:$QAC$131074</xm:f>
          </x14:formula1>
          <xm:sqref>QAL131077:QAL131100</xm:sqref>
        </x14:dataValidation>
        <x14:dataValidation type="list" allowBlank="1" showInputMessage="1" showErrorMessage="1" xr:uid="{00000000-0002-0000-0300-000089180000}">
          <x14:formula1>
            <xm:f>項目!A4:$QJY$131074</xm:f>
          </x14:formula1>
          <xm:sqref>QKH131077:QKH131100</xm:sqref>
        </x14:dataValidation>
        <x14:dataValidation type="list" allowBlank="1" showInputMessage="1" showErrorMessage="1" xr:uid="{00000000-0002-0000-0300-00008A180000}">
          <x14:formula1>
            <xm:f>項目!A4:$QTU$131074</xm:f>
          </x14:formula1>
          <xm:sqref>QUD131077:QUD131100</xm:sqref>
        </x14:dataValidation>
        <x14:dataValidation type="list" allowBlank="1" showInputMessage="1" showErrorMessage="1" xr:uid="{00000000-0002-0000-0300-00008B180000}">
          <x14:formula1>
            <xm:f>項目!A4:$RDQ$131074</xm:f>
          </x14:formula1>
          <xm:sqref>RDZ131077:RDZ131100</xm:sqref>
        </x14:dataValidation>
        <x14:dataValidation type="list" allowBlank="1" showInputMessage="1" showErrorMessage="1" xr:uid="{00000000-0002-0000-0300-00008C180000}">
          <x14:formula1>
            <xm:f>項目!A4:$RNM$131074</xm:f>
          </x14:formula1>
          <xm:sqref>RNV131077:RNV131100</xm:sqref>
        </x14:dataValidation>
        <x14:dataValidation type="list" allowBlank="1" showInputMessage="1" showErrorMessage="1" xr:uid="{00000000-0002-0000-0300-00008D180000}">
          <x14:formula1>
            <xm:f>項目!A4:$RXI$131074</xm:f>
          </x14:formula1>
          <xm:sqref>RXR131077:RXR131100</xm:sqref>
        </x14:dataValidation>
        <x14:dataValidation type="list" allowBlank="1" showInputMessage="1" showErrorMessage="1" xr:uid="{00000000-0002-0000-0300-00008E180000}">
          <x14:formula1>
            <xm:f>項目!A4:$SHE$131074</xm:f>
          </x14:formula1>
          <xm:sqref>SHN131077:SHN131100</xm:sqref>
        </x14:dataValidation>
        <x14:dataValidation type="list" allowBlank="1" showInputMessage="1" showErrorMessage="1" xr:uid="{00000000-0002-0000-0300-00008F180000}">
          <x14:formula1>
            <xm:f>項目!A4:$SRA$131074</xm:f>
          </x14:formula1>
          <xm:sqref>SRJ131077:SRJ131100</xm:sqref>
        </x14:dataValidation>
        <x14:dataValidation type="list" allowBlank="1" showInputMessage="1" showErrorMessage="1" xr:uid="{00000000-0002-0000-0300-000090180000}">
          <x14:formula1>
            <xm:f>項目!A4:$TAW$131074</xm:f>
          </x14:formula1>
          <xm:sqref>TBF131077:TBF131100</xm:sqref>
        </x14:dataValidation>
        <x14:dataValidation type="list" allowBlank="1" showInputMessage="1" showErrorMessage="1" xr:uid="{00000000-0002-0000-0300-000091180000}">
          <x14:formula1>
            <xm:f>項目!A4:$TKS$131074</xm:f>
          </x14:formula1>
          <xm:sqref>TLB131077:TLB131100</xm:sqref>
        </x14:dataValidation>
        <x14:dataValidation type="list" allowBlank="1" showInputMessage="1" showErrorMessage="1" xr:uid="{00000000-0002-0000-0300-000092180000}">
          <x14:formula1>
            <xm:f>項目!A4:$TUO$131074</xm:f>
          </x14:formula1>
          <xm:sqref>TUX131077:TUX131100</xm:sqref>
        </x14:dataValidation>
        <x14:dataValidation type="list" allowBlank="1" showInputMessage="1" showErrorMessage="1" xr:uid="{00000000-0002-0000-0300-000093180000}">
          <x14:formula1>
            <xm:f>項目!A4:$UEK$131074</xm:f>
          </x14:formula1>
          <xm:sqref>UET131077:UET131100</xm:sqref>
        </x14:dataValidation>
        <x14:dataValidation type="list" allowBlank="1" showInputMessage="1" showErrorMessage="1" xr:uid="{00000000-0002-0000-0300-000094180000}">
          <x14:formula1>
            <xm:f>項目!A4:$UOG$131074</xm:f>
          </x14:formula1>
          <xm:sqref>UOP131077:UOP131100</xm:sqref>
        </x14:dataValidation>
        <x14:dataValidation type="list" allowBlank="1" showInputMessage="1" showErrorMessage="1" xr:uid="{00000000-0002-0000-0300-000095180000}">
          <x14:formula1>
            <xm:f>項目!A4:$UYC$131074</xm:f>
          </x14:formula1>
          <xm:sqref>UYL131077:UYL131100</xm:sqref>
        </x14:dataValidation>
        <x14:dataValidation type="list" allowBlank="1" showInputMessage="1" showErrorMessage="1" xr:uid="{00000000-0002-0000-0300-000096180000}">
          <x14:formula1>
            <xm:f>項目!A4:$VHY$131074</xm:f>
          </x14:formula1>
          <xm:sqref>VIH131077:VIH131100</xm:sqref>
        </x14:dataValidation>
        <x14:dataValidation type="list" allowBlank="1" showInputMessage="1" showErrorMessage="1" xr:uid="{00000000-0002-0000-0300-000097180000}">
          <x14:formula1>
            <xm:f>項目!A4:$VRU$131074</xm:f>
          </x14:formula1>
          <xm:sqref>VSD131077:VSD131100</xm:sqref>
        </x14:dataValidation>
        <x14:dataValidation type="list" allowBlank="1" showInputMessage="1" showErrorMessage="1" xr:uid="{00000000-0002-0000-0300-000098180000}">
          <x14:formula1>
            <xm:f>項目!A4:$WBQ$131074</xm:f>
          </x14:formula1>
          <xm:sqref>WBZ131077:WBZ131100</xm:sqref>
        </x14:dataValidation>
        <x14:dataValidation type="list" allowBlank="1" showInputMessage="1" showErrorMessage="1" xr:uid="{00000000-0002-0000-0300-000099180000}">
          <x14:formula1>
            <xm:f>項目!A4:$WLM$131074</xm:f>
          </x14:formula1>
          <xm:sqref>WLV131077:WLV131100</xm:sqref>
        </x14:dataValidation>
        <x14:dataValidation type="list" allowBlank="1" showInputMessage="1" showErrorMessage="1" xr:uid="{00000000-0002-0000-0300-00009A180000}">
          <x14:formula1>
            <xm:f>項目!A4:$WVI$131074</xm:f>
          </x14:formula1>
          <xm:sqref>WVR131077:WVR131100</xm:sqref>
        </x14:dataValidation>
        <x14:dataValidation type="list" allowBlank="1" showInputMessage="1" showErrorMessage="1" xr:uid="{00000000-0002-0000-0300-00009B180000}">
          <x14:formula1>
            <xm:f>項目!A4:$IW$196610</xm:f>
          </x14:formula1>
          <xm:sqref>JF196613:JF196636</xm:sqref>
        </x14:dataValidation>
        <x14:dataValidation type="list" allowBlank="1" showInputMessage="1" showErrorMessage="1" xr:uid="{00000000-0002-0000-0300-00009C180000}">
          <x14:formula1>
            <xm:f>項目!A4:$SS$196610</xm:f>
          </x14:formula1>
          <xm:sqref>TB196613:TB196636</xm:sqref>
        </x14:dataValidation>
        <x14:dataValidation type="list" allowBlank="1" showInputMessage="1" showErrorMessage="1" xr:uid="{00000000-0002-0000-0300-00009D180000}">
          <x14:formula1>
            <xm:f>項目!A4:$ACO$196610</xm:f>
          </x14:formula1>
          <xm:sqref>ACX196613:ACX196636</xm:sqref>
        </x14:dataValidation>
        <x14:dataValidation type="list" allowBlank="1" showInputMessage="1" showErrorMessage="1" xr:uid="{00000000-0002-0000-0300-00009E180000}">
          <x14:formula1>
            <xm:f>項目!A4:$AMK$196610</xm:f>
          </x14:formula1>
          <xm:sqref>AMT196613:AMT196636</xm:sqref>
        </x14:dataValidation>
        <x14:dataValidation type="list" allowBlank="1" showInputMessage="1" showErrorMessage="1" xr:uid="{00000000-0002-0000-0300-00009F180000}">
          <x14:formula1>
            <xm:f>項目!A4:$AWG$196610</xm:f>
          </x14:formula1>
          <xm:sqref>AWP196613:AWP196636</xm:sqref>
        </x14:dataValidation>
        <x14:dataValidation type="list" allowBlank="1" showInputMessage="1" showErrorMessage="1" xr:uid="{00000000-0002-0000-0300-0000A0180000}">
          <x14:formula1>
            <xm:f>項目!A4:$BGC$196610</xm:f>
          </x14:formula1>
          <xm:sqref>BGL196613:BGL196636</xm:sqref>
        </x14:dataValidation>
        <x14:dataValidation type="list" allowBlank="1" showInputMessage="1" showErrorMessage="1" xr:uid="{00000000-0002-0000-0300-0000A1180000}">
          <x14:formula1>
            <xm:f>項目!A4:$BPY$196610</xm:f>
          </x14:formula1>
          <xm:sqref>BQH196613:BQH196636</xm:sqref>
        </x14:dataValidation>
        <x14:dataValidation type="list" allowBlank="1" showInputMessage="1" showErrorMessage="1" xr:uid="{00000000-0002-0000-0300-0000A2180000}">
          <x14:formula1>
            <xm:f>項目!A4:$BZU$196610</xm:f>
          </x14:formula1>
          <xm:sqref>CAD196613:CAD196636</xm:sqref>
        </x14:dataValidation>
        <x14:dataValidation type="list" allowBlank="1" showInputMessage="1" showErrorMessage="1" xr:uid="{00000000-0002-0000-0300-0000A3180000}">
          <x14:formula1>
            <xm:f>項目!A4:$CJQ$196610</xm:f>
          </x14:formula1>
          <xm:sqref>CJZ196613:CJZ196636</xm:sqref>
        </x14:dataValidation>
        <x14:dataValidation type="list" allowBlank="1" showInputMessage="1" showErrorMessage="1" xr:uid="{00000000-0002-0000-0300-0000A4180000}">
          <x14:formula1>
            <xm:f>項目!A4:$CTM$196610</xm:f>
          </x14:formula1>
          <xm:sqref>CTV196613:CTV196636</xm:sqref>
        </x14:dataValidation>
        <x14:dataValidation type="list" allowBlank="1" showInputMessage="1" showErrorMessage="1" xr:uid="{00000000-0002-0000-0300-0000A5180000}">
          <x14:formula1>
            <xm:f>項目!A4:$DDI$196610</xm:f>
          </x14:formula1>
          <xm:sqref>DDR196613:DDR196636</xm:sqref>
        </x14:dataValidation>
        <x14:dataValidation type="list" allowBlank="1" showInputMessage="1" showErrorMessage="1" xr:uid="{00000000-0002-0000-0300-0000A6180000}">
          <x14:formula1>
            <xm:f>項目!A4:$DNE$196610</xm:f>
          </x14:formula1>
          <xm:sqref>DNN196613:DNN196636</xm:sqref>
        </x14:dataValidation>
        <x14:dataValidation type="list" allowBlank="1" showInputMessage="1" showErrorMessage="1" xr:uid="{00000000-0002-0000-0300-0000A7180000}">
          <x14:formula1>
            <xm:f>項目!A4:$DXA$196610</xm:f>
          </x14:formula1>
          <xm:sqref>DXJ196613:DXJ196636</xm:sqref>
        </x14:dataValidation>
        <x14:dataValidation type="list" allowBlank="1" showInputMessage="1" showErrorMessage="1" xr:uid="{00000000-0002-0000-0300-0000A8180000}">
          <x14:formula1>
            <xm:f>項目!A4:$EGW$196610</xm:f>
          </x14:formula1>
          <xm:sqref>EHF196613:EHF196636</xm:sqref>
        </x14:dataValidation>
        <x14:dataValidation type="list" allowBlank="1" showInputMessage="1" showErrorMessage="1" xr:uid="{00000000-0002-0000-0300-0000A9180000}">
          <x14:formula1>
            <xm:f>項目!A4:$EQS$196610</xm:f>
          </x14:formula1>
          <xm:sqref>ERB196613:ERB196636</xm:sqref>
        </x14:dataValidation>
        <x14:dataValidation type="list" allowBlank="1" showInputMessage="1" showErrorMessage="1" xr:uid="{00000000-0002-0000-0300-0000AA180000}">
          <x14:formula1>
            <xm:f>項目!A4:$FAO$196610</xm:f>
          </x14:formula1>
          <xm:sqref>FAX196613:FAX196636</xm:sqref>
        </x14:dataValidation>
        <x14:dataValidation type="list" allowBlank="1" showInputMessage="1" showErrorMessage="1" xr:uid="{00000000-0002-0000-0300-0000AB180000}">
          <x14:formula1>
            <xm:f>項目!A4:$FKK$196610</xm:f>
          </x14:formula1>
          <xm:sqref>FKT196613:FKT196636</xm:sqref>
        </x14:dataValidation>
        <x14:dataValidation type="list" allowBlank="1" showInputMessage="1" showErrorMessage="1" xr:uid="{00000000-0002-0000-0300-0000AC180000}">
          <x14:formula1>
            <xm:f>項目!A4:$FUG$196610</xm:f>
          </x14:formula1>
          <xm:sqref>FUP196613:FUP196636</xm:sqref>
        </x14:dataValidation>
        <x14:dataValidation type="list" allowBlank="1" showInputMessage="1" showErrorMessage="1" xr:uid="{00000000-0002-0000-0300-0000AD180000}">
          <x14:formula1>
            <xm:f>項目!A4:$GEC$196610</xm:f>
          </x14:formula1>
          <xm:sqref>GEL196613:GEL196636</xm:sqref>
        </x14:dataValidation>
        <x14:dataValidation type="list" allowBlank="1" showInputMessage="1" showErrorMessage="1" xr:uid="{00000000-0002-0000-0300-0000AE180000}">
          <x14:formula1>
            <xm:f>項目!A4:$GNY$196610</xm:f>
          </x14:formula1>
          <xm:sqref>GOH196613:GOH196636</xm:sqref>
        </x14:dataValidation>
        <x14:dataValidation type="list" allowBlank="1" showInputMessage="1" showErrorMessage="1" xr:uid="{00000000-0002-0000-0300-0000AF180000}">
          <x14:formula1>
            <xm:f>項目!A4:$GXU$196610</xm:f>
          </x14:formula1>
          <xm:sqref>GYD196613:GYD196636</xm:sqref>
        </x14:dataValidation>
        <x14:dataValidation type="list" allowBlank="1" showInputMessage="1" showErrorMessage="1" xr:uid="{00000000-0002-0000-0300-0000B0180000}">
          <x14:formula1>
            <xm:f>項目!A4:$HHQ$196610</xm:f>
          </x14:formula1>
          <xm:sqref>HHZ196613:HHZ196636</xm:sqref>
        </x14:dataValidation>
        <x14:dataValidation type="list" allowBlank="1" showInputMessage="1" showErrorMessage="1" xr:uid="{00000000-0002-0000-0300-0000B1180000}">
          <x14:formula1>
            <xm:f>項目!A4:$HRM$196610</xm:f>
          </x14:formula1>
          <xm:sqref>HRV196613:HRV196636</xm:sqref>
        </x14:dataValidation>
        <x14:dataValidation type="list" allowBlank="1" showInputMessage="1" showErrorMessage="1" xr:uid="{00000000-0002-0000-0300-0000B2180000}">
          <x14:formula1>
            <xm:f>項目!A4:$IBI$196610</xm:f>
          </x14:formula1>
          <xm:sqref>IBR196613:IBR196636</xm:sqref>
        </x14:dataValidation>
        <x14:dataValidation type="list" allowBlank="1" showInputMessage="1" showErrorMessage="1" xr:uid="{00000000-0002-0000-0300-0000B3180000}">
          <x14:formula1>
            <xm:f>項目!A4:$ILE$196610</xm:f>
          </x14:formula1>
          <xm:sqref>ILN196613:ILN196636</xm:sqref>
        </x14:dataValidation>
        <x14:dataValidation type="list" allowBlank="1" showInputMessage="1" showErrorMessage="1" xr:uid="{00000000-0002-0000-0300-0000B4180000}">
          <x14:formula1>
            <xm:f>項目!A4:$IVA$196610</xm:f>
          </x14:formula1>
          <xm:sqref>IVJ196613:IVJ196636</xm:sqref>
        </x14:dataValidation>
        <x14:dataValidation type="list" allowBlank="1" showInputMessage="1" showErrorMessage="1" xr:uid="{00000000-0002-0000-0300-0000B5180000}">
          <x14:formula1>
            <xm:f>項目!A4:$JEW$196610</xm:f>
          </x14:formula1>
          <xm:sqref>JFF196613:JFF196636</xm:sqref>
        </x14:dataValidation>
        <x14:dataValidation type="list" allowBlank="1" showInputMessage="1" showErrorMessage="1" xr:uid="{00000000-0002-0000-0300-0000B6180000}">
          <x14:formula1>
            <xm:f>項目!A4:$JOS$196610</xm:f>
          </x14:formula1>
          <xm:sqref>JPB196613:JPB196636</xm:sqref>
        </x14:dataValidation>
        <x14:dataValidation type="list" allowBlank="1" showInputMessage="1" showErrorMessage="1" xr:uid="{00000000-0002-0000-0300-0000B7180000}">
          <x14:formula1>
            <xm:f>項目!A4:$JYO$196610</xm:f>
          </x14:formula1>
          <xm:sqref>JYX196613:JYX196636</xm:sqref>
        </x14:dataValidation>
        <x14:dataValidation type="list" allowBlank="1" showInputMessage="1" showErrorMessage="1" xr:uid="{00000000-0002-0000-0300-0000B8180000}">
          <x14:formula1>
            <xm:f>項目!A4:$KIK$196610</xm:f>
          </x14:formula1>
          <xm:sqref>KIT196613:KIT196636</xm:sqref>
        </x14:dataValidation>
        <x14:dataValidation type="list" allowBlank="1" showInputMessage="1" showErrorMessage="1" xr:uid="{00000000-0002-0000-0300-0000B9180000}">
          <x14:formula1>
            <xm:f>項目!A4:$KSG$196610</xm:f>
          </x14:formula1>
          <xm:sqref>KSP196613:KSP196636</xm:sqref>
        </x14:dataValidation>
        <x14:dataValidation type="list" allowBlank="1" showInputMessage="1" showErrorMessage="1" xr:uid="{00000000-0002-0000-0300-0000BA180000}">
          <x14:formula1>
            <xm:f>項目!A4:$LCC$196610</xm:f>
          </x14:formula1>
          <xm:sqref>LCL196613:LCL196636</xm:sqref>
        </x14:dataValidation>
        <x14:dataValidation type="list" allowBlank="1" showInputMessage="1" showErrorMessage="1" xr:uid="{00000000-0002-0000-0300-0000BB180000}">
          <x14:formula1>
            <xm:f>項目!A4:$LLY$196610</xm:f>
          </x14:formula1>
          <xm:sqref>LMH196613:LMH196636</xm:sqref>
        </x14:dataValidation>
        <x14:dataValidation type="list" allowBlank="1" showInputMessage="1" showErrorMessage="1" xr:uid="{00000000-0002-0000-0300-0000BC180000}">
          <x14:formula1>
            <xm:f>項目!A4:$LVU$196610</xm:f>
          </x14:formula1>
          <xm:sqref>LWD196613:LWD196636</xm:sqref>
        </x14:dataValidation>
        <x14:dataValidation type="list" allowBlank="1" showInputMessage="1" showErrorMessage="1" xr:uid="{00000000-0002-0000-0300-0000BD180000}">
          <x14:formula1>
            <xm:f>項目!A4:$MFQ$196610</xm:f>
          </x14:formula1>
          <xm:sqref>MFZ196613:MFZ196636</xm:sqref>
        </x14:dataValidation>
        <x14:dataValidation type="list" allowBlank="1" showInputMessage="1" showErrorMessage="1" xr:uid="{00000000-0002-0000-0300-0000BE180000}">
          <x14:formula1>
            <xm:f>項目!A4:$MPM$196610</xm:f>
          </x14:formula1>
          <xm:sqref>MPV196613:MPV196636</xm:sqref>
        </x14:dataValidation>
        <x14:dataValidation type="list" allowBlank="1" showInputMessage="1" showErrorMessage="1" xr:uid="{00000000-0002-0000-0300-0000BF180000}">
          <x14:formula1>
            <xm:f>項目!A4:$MZI$196610</xm:f>
          </x14:formula1>
          <xm:sqref>MZR196613:MZR196636</xm:sqref>
        </x14:dataValidation>
        <x14:dataValidation type="list" allowBlank="1" showInputMessage="1" showErrorMessage="1" xr:uid="{00000000-0002-0000-0300-0000C0180000}">
          <x14:formula1>
            <xm:f>項目!A4:$NJE$196610</xm:f>
          </x14:formula1>
          <xm:sqref>NJN196613:NJN196636</xm:sqref>
        </x14:dataValidation>
        <x14:dataValidation type="list" allowBlank="1" showInputMessage="1" showErrorMessage="1" xr:uid="{00000000-0002-0000-0300-0000C1180000}">
          <x14:formula1>
            <xm:f>項目!A4:$NTA$196610</xm:f>
          </x14:formula1>
          <xm:sqref>NTJ196613:NTJ196636</xm:sqref>
        </x14:dataValidation>
        <x14:dataValidation type="list" allowBlank="1" showInputMessage="1" showErrorMessage="1" xr:uid="{00000000-0002-0000-0300-0000C2180000}">
          <x14:formula1>
            <xm:f>項目!A4:$OCW$196610</xm:f>
          </x14:formula1>
          <xm:sqref>ODF196613:ODF196636</xm:sqref>
        </x14:dataValidation>
        <x14:dataValidation type="list" allowBlank="1" showInputMessage="1" showErrorMessage="1" xr:uid="{00000000-0002-0000-0300-0000C3180000}">
          <x14:formula1>
            <xm:f>項目!A4:$OMS$196610</xm:f>
          </x14:formula1>
          <xm:sqref>ONB196613:ONB196636</xm:sqref>
        </x14:dataValidation>
        <x14:dataValidation type="list" allowBlank="1" showInputMessage="1" showErrorMessage="1" xr:uid="{00000000-0002-0000-0300-0000C4180000}">
          <x14:formula1>
            <xm:f>項目!A4:$OWO$196610</xm:f>
          </x14:formula1>
          <xm:sqref>OWX196613:OWX196636</xm:sqref>
        </x14:dataValidation>
        <x14:dataValidation type="list" allowBlank="1" showInputMessage="1" showErrorMessage="1" xr:uid="{00000000-0002-0000-0300-0000C5180000}">
          <x14:formula1>
            <xm:f>項目!A4:$PGK$196610</xm:f>
          </x14:formula1>
          <xm:sqref>PGT196613:PGT196636</xm:sqref>
        </x14:dataValidation>
        <x14:dataValidation type="list" allowBlank="1" showInputMessage="1" showErrorMessage="1" xr:uid="{00000000-0002-0000-0300-0000C6180000}">
          <x14:formula1>
            <xm:f>項目!A4:$PQG$196610</xm:f>
          </x14:formula1>
          <xm:sqref>PQP196613:PQP196636</xm:sqref>
        </x14:dataValidation>
        <x14:dataValidation type="list" allowBlank="1" showInputMessage="1" showErrorMessage="1" xr:uid="{00000000-0002-0000-0300-0000C7180000}">
          <x14:formula1>
            <xm:f>項目!A4:$QAC$196610</xm:f>
          </x14:formula1>
          <xm:sqref>QAL196613:QAL196636</xm:sqref>
        </x14:dataValidation>
        <x14:dataValidation type="list" allowBlank="1" showInputMessage="1" showErrorMessage="1" xr:uid="{00000000-0002-0000-0300-0000C8180000}">
          <x14:formula1>
            <xm:f>項目!A4:$QJY$196610</xm:f>
          </x14:formula1>
          <xm:sqref>QKH196613:QKH196636</xm:sqref>
        </x14:dataValidation>
        <x14:dataValidation type="list" allowBlank="1" showInputMessage="1" showErrorMessage="1" xr:uid="{00000000-0002-0000-0300-0000C9180000}">
          <x14:formula1>
            <xm:f>項目!A4:$QTU$196610</xm:f>
          </x14:formula1>
          <xm:sqref>QUD196613:QUD196636</xm:sqref>
        </x14:dataValidation>
        <x14:dataValidation type="list" allowBlank="1" showInputMessage="1" showErrorMessage="1" xr:uid="{00000000-0002-0000-0300-0000CA180000}">
          <x14:formula1>
            <xm:f>項目!A4:$RDQ$196610</xm:f>
          </x14:formula1>
          <xm:sqref>RDZ196613:RDZ196636</xm:sqref>
        </x14:dataValidation>
        <x14:dataValidation type="list" allowBlank="1" showInputMessage="1" showErrorMessage="1" xr:uid="{00000000-0002-0000-0300-0000CB180000}">
          <x14:formula1>
            <xm:f>項目!A4:$RNM$196610</xm:f>
          </x14:formula1>
          <xm:sqref>RNV196613:RNV196636</xm:sqref>
        </x14:dataValidation>
        <x14:dataValidation type="list" allowBlank="1" showInputMessage="1" showErrorMessage="1" xr:uid="{00000000-0002-0000-0300-0000CC180000}">
          <x14:formula1>
            <xm:f>項目!A4:$RXI$196610</xm:f>
          </x14:formula1>
          <xm:sqref>RXR196613:RXR196636</xm:sqref>
        </x14:dataValidation>
        <x14:dataValidation type="list" allowBlank="1" showInputMessage="1" showErrorMessage="1" xr:uid="{00000000-0002-0000-0300-0000CD180000}">
          <x14:formula1>
            <xm:f>項目!A4:$SHE$196610</xm:f>
          </x14:formula1>
          <xm:sqref>SHN196613:SHN196636</xm:sqref>
        </x14:dataValidation>
        <x14:dataValidation type="list" allowBlank="1" showInputMessage="1" showErrorMessage="1" xr:uid="{00000000-0002-0000-0300-0000CE180000}">
          <x14:formula1>
            <xm:f>項目!A4:$SRA$196610</xm:f>
          </x14:formula1>
          <xm:sqref>SRJ196613:SRJ196636</xm:sqref>
        </x14:dataValidation>
        <x14:dataValidation type="list" allowBlank="1" showInputMessage="1" showErrorMessage="1" xr:uid="{00000000-0002-0000-0300-0000CF180000}">
          <x14:formula1>
            <xm:f>項目!A4:$TAW$196610</xm:f>
          </x14:formula1>
          <xm:sqref>TBF196613:TBF196636</xm:sqref>
        </x14:dataValidation>
        <x14:dataValidation type="list" allowBlank="1" showInputMessage="1" showErrorMessage="1" xr:uid="{00000000-0002-0000-0300-0000D0180000}">
          <x14:formula1>
            <xm:f>項目!A4:$TKS$196610</xm:f>
          </x14:formula1>
          <xm:sqref>TLB196613:TLB196636</xm:sqref>
        </x14:dataValidation>
        <x14:dataValidation type="list" allowBlank="1" showInputMessage="1" showErrorMessage="1" xr:uid="{00000000-0002-0000-0300-0000D1180000}">
          <x14:formula1>
            <xm:f>項目!A4:$TUO$196610</xm:f>
          </x14:formula1>
          <xm:sqref>TUX196613:TUX196636</xm:sqref>
        </x14:dataValidation>
        <x14:dataValidation type="list" allowBlank="1" showInputMessage="1" showErrorMessage="1" xr:uid="{00000000-0002-0000-0300-0000D2180000}">
          <x14:formula1>
            <xm:f>項目!A4:$UEK$196610</xm:f>
          </x14:formula1>
          <xm:sqref>UET196613:UET196636</xm:sqref>
        </x14:dataValidation>
        <x14:dataValidation type="list" allowBlank="1" showInputMessage="1" showErrorMessage="1" xr:uid="{00000000-0002-0000-0300-0000D3180000}">
          <x14:formula1>
            <xm:f>項目!A4:$UOG$196610</xm:f>
          </x14:formula1>
          <xm:sqref>UOP196613:UOP196636</xm:sqref>
        </x14:dataValidation>
        <x14:dataValidation type="list" allowBlank="1" showInputMessage="1" showErrorMessage="1" xr:uid="{00000000-0002-0000-0300-0000D4180000}">
          <x14:formula1>
            <xm:f>項目!A4:$UYC$196610</xm:f>
          </x14:formula1>
          <xm:sqref>UYL196613:UYL196636</xm:sqref>
        </x14:dataValidation>
        <x14:dataValidation type="list" allowBlank="1" showInputMessage="1" showErrorMessage="1" xr:uid="{00000000-0002-0000-0300-0000D5180000}">
          <x14:formula1>
            <xm:f>項目!A4:$VHY$196610</xm:f>
          </x14:formula1>
          <xm:sqref>VIH196613:VIH196636</xm:sqref>
        </x14:dataValidation>
        <x14:dataValidation type="list" allowBlank="1" showInputMessage="1" showErrorMessage="1" xr:uid="{00000000-0002-0000-0300-0000D6180000}">
          <x14:formula1>
            <xm:f>項目!A4:$VRU$196610</xm:f>
          </x14:formula1>
          <xm:sqref>VSD196613:VSD196636</xm:sqref>
        </x14:dataValidation>
        <x14:dataValidation type="list" allowBlank="1" showInputMessage="1" showErrorMessage="1" xr:uid="{00000000-0002-0000-0300-0000D7180000}">
          <x14:formula1>
            <xm:f>項目!A4:$WBQ$196610</xm:f>
          </x14:formula1>
          <xm:sqref>WBZ196613:WBZ196636</xm:sqref>
        </x14:dataValidation>
        <x14:dataValidation type="list" allowBlank="1" showInputMessage="1" showErrorMessage="1" xr:uid="{00000000-0002-0000-0300-0000D8180000}">
          <x14:formula1>
            <xm:f>項目!A4:$WLM$196610</xm:f>
          </x14:formula1>
          <xm:sqref>WLV196613:WLV196636</xm:sqref>
        </x14:dataValidation>
        <x14:dataValidation type="list" allowBlank="1" showInputMessage="1" showErrorMessage="1" xr:uid="{00000000-0002-0000-0300-0000D9180000}">
          <x14:formula1>
            <xm:f>項目!A4:$WVI$196610</xm:f>
          </x14:formula1>
          <xm:sqref>WVR196613:WVR196636</xm:sqref>
        </x14:dataValidation>
        <x14:dataValidation type="list" allowBlank="1" showInputMessage="1" showErrorMessage="1" xr:uid="{00000000-0002-0000-0300-0000DA180000}">
          <x14:formula1>
            <xm:f>項目!A4:$IW$262146</xm:f>
          </x14:formula1>
          <xm:sqref>JF262149:JF262172</xm:sqref>
        </x14:dataValidation>
        <x14:dataValidation type="list" allowBlank="1" showInputMessage="1" showErrorMessage="1" xr:uid="{00000000-0002-0000-0300-0000DB180000}">
          <x14:formula1>
            <xm:f>項目!A4:$SS$262146</xm:f>
          </x14:formula1>
          <xm:sqref>TB262149:TB262172</xm:sqref>
        </x14:dataValidation>
        <x14:dataValidation type="list" allowBlank="1" showInputMessage="1" showErrorMessage="1" xr:uid="{00000000-0002-0000-0300-0000DC180000}">
          <x14:formula1>
            <xm:f>項目!A4:$ACO$262146</xm:f>
          </x14:formula1>
          <xm:sqref>ACX262149:ACX262172</xm:sqref>
        </x14:dataValidation>
        <x14:dataValidation type="list" allowBlank="1" showInputMessage="1" showErrorMessage="1" xr:uid="{00000000-0002-0000-0300-0000DD180000}">
          <x14:formula1>
            <xm:f>項目!A4:$AMK$262146</xm:f>
          </x14:formula1>
          <xm:sqref>AMT262149:AMT262172</xm:sqref>
        </x14:dataValidation>
        <x14:dataValidation type="list" allowBlank="1" showInputMessage="1" showErrorMessage="1" xr:uid="{00000000-0002-0000-0300-0000DE180000}">
          <x14:formula1>
            <xm:f>項目!A4:$AWG$262146</xm:f>
          </x14:formula1>
          <xm:sqref>AWP262149:AWP262172</xm:sqref>
        </x14:dataValidation>
        <x14:dataValidation type="list" allowBlank="1" showInputMessage="1" showErrorMessage="1" xr:uid="{00000000-0002-0000-0300-0000DF180000}">
          <x14:formula1>
            <xm:f>項目!A4:$BGC$262146</xm:f>
          </x14:formula1>
          <xm:sqref>BGL262149:BGL262172</xm:sqref>
        </x14:dataValidation>
        <x14:dataValidation type="list" allowBlank="1" showInputMessage="1" showErrorMessage="1" xr:uid="{00000000-0002-0000-0300-0000E0180000}">
          <x14:formula1>
            <xm:f>項目!A4:$BPY$262146</xm:f>
          </x14:formula1>
          <xm:sqref>BQH262149:BQH262172</xm:sqref>
        </x14:dataValidation>
        <x14:dataValidation type="list" allowBlank="1" showInputMessage="1" showErrorMessage="1" xr:uid="{00000000-0002-0000-0300-0000E1180000}">
          <x14:formula1>
            <xm:f>項目!A4:$BZU$262146</xm:f>
          </x14:formula1>
          <xm:sqref>CAD262149:CAD262172</xm:sqref>
        </x14:dataValidation>
        <x14:dataValidation type="list" allowBlank="1" showInputMessage="1" showErrorMessage="1" xr:uid="{00000000-0002-0000-0300-0000E2180000}">
          <x14:formula1>
            <xm:f>項目!A4:$CJQ$262146</xm:f>
          </x14:formula1>
          <xm:sqref>CJZ262149:CJZ262172</xm:sqref>
        </x14:dataValidation>
        <x14:dataValidation type="list" allowBlank="1" showInputMessage="1" showErrorMessage="1" xr:uid="{00000000-0002-0000-0300-0000E3180000}">
          <x14:formula1>
            <xm:f>項目!A4:$CTM$262146</xm:f>
          </x14:formula1>
          <xm:sqref>CTV262149:CTV262172</xm:sqref>
        </x14:dataValidation>
        <x14:dataValidation type="list" allowBlank="1" showInputMessage="1" showErrorMessage="1" xr:uid="{00000000-0002-0000-0300-0000E4180000}">
          <x14:formula1>
            <xm:f>項目!A4:$DDI$262146</xm:f>
          </x14:formula1>
          <xm:sqref>DDR262149:DDR262172</xm:sqref>
        </x14:dataValidation>
        <x14:dataValidation type="list" allowBlank="1" showInputMessage="1" showErrorMessage="1" xr:uid="{00000000-0002-0000-0300-0000E5180000}">
          <x14:formula1>
            <xm:f>項目!A4:$DNE$262146</xm:f>
          </x14:formula1>
          <xm:sqref>DNN262149:DNN262172</xm:sqref>
        </x14:dataValidation>
        <x14:dataValidation type="list" allowBlank="1" showInputMessage="1" showErrorMessage="1" xr:uid="{00000000-0002-0000-0300-0000E6180000}">
          <x14:formula1>
            <xm:f>項目!A4:$DXA$262146</xm:f>
          </x14:formula1>
          <xm:sqref>DXJ262149:DXJ262172</xm:sqref>
        </x14:dataValidation>
        <x14:dataValidation type="list" allowBlank="1" showInputMessage="1" showErrorMessage="1" xr:uid="{00000000-0002-0000-0300-0000E7180000}">
          <x14:formula1>
            <xm:f>項目!A4:$EGW$262146</xm:f>
          </x14:formula1>
          <xm:sqref>EHF262149:EHF262172</xm:sqref>
        </x14:dataValidation>
        <x14:dataValidation type="list" allowBlank="1" showInputMessage="1" showErrorMessage="1" xr:uid="{00000000-0002-0000-0300-0000E8180000}">
          <x14:formula1>
            <xm:f>項目!A4:$EQS$262146</xm:f>
          </x14:formula1>
          <xm:sqref>ERB262149:ERB262172</xm:sqref>
        </x14:dataValidation>
        <x14:dataValidation type="list" allowBlank="1" showInputMessage="1" showErrorMessage="1" xr:uid="{00000000-0002-0000-0300-0000E9180000}">
          <x14:formula1>
            <xm:f>項目!A4:$FAO$262146</xm:f>
          </x14:formula1>
          <xm:sqref>FAX262149:FAX262172</xm:sqref>
        </x14:dataValidation>
        <x14:dataValidation type="list" allowBlank="1" showInputMessage="1" showErrorMessage="1" xr:uid="{00000000-0002-0000-0300-0000EA180000}">
          <x14:formula1>
            <xm:f>項目!A4:$FKK$262146</xm:f>
          </x14:formula1>
          <xm:sqref>FKT262149:FKT262172</xm:sqref>
        </x14:dataValidation>
        <x14:dataValidation type="list" allowBlank="1" showInputMessage="1" showErrorMessage="1" xr:uid="{00000000-0002-0000-0300-0000EB180000}">
          <x14:formula1>
            <xm:f>項目!A4:$FUG$262146</xm:f>
          </x14:formula1>
          <xm:sqref>FUP262149:FUP262172</xm:sqref>
        </x14:dataValidation>
        <x14:dataValidation type="list" allowBlank="1" showInputMessage="1" showErrorMessage="1" xr:uid="{00000000-0002-0000-0300-0000EC180000}">
          <x14:formula1>
            <xm:f>項目!A4:$GEC$262146</xm:f>
          </x14:formula1>
          <xm:sqref>GEL262149:GEL262172</xm:sqref>
        </x14:dataValidation>
        <x14:dataValidation type="list" allowBlank="1" showInputMessage="1" showErrorMessage="1" xr:uid="{00000000-0002-0000-0300-0000ED180000}">
          <x14:formula1>
            <xm:f>項目!A4:$GNY$262146</xm:f>
          </x14:formula1>
          <xm:sqref>GOH262149:GOH262172</xm:sqref>
        </x14:dataValidation>
        <x14:dataValidation type="list" allowBlank="1" showInputMessage="1" showErrorMessage="1" xr:uid="{00000000-0002-0000-0300-0000EE180000}">
          <x14:formula1>
            <xm:f>項目!A4:$GXU$262146</xm:f>
          </x14:formula1>
          <xm:sqref>GYD262149:GYD262172</xm:sqref>
        </x14:dataValidation>
        <x14:dataValidation type="list" allowBlank="1" showInputMessage="1" showErrorMessage="1" xr:uid="{00000000-0002-0000-0300-0000EF180000}">
          <x14:formula1>
            <xm:f>項目!A4:$HHQ$262146</xm:f>
          </x14:formula1>
          <xm:sqref>HHZ262149:HHZ262172</xm:sqref>
        </x14:dataValidation>
        <x14:dataValidation type="list" allowBlank="1" showInputMessage="1" showErrorMessage="1" xr:uid="{00000000-0002-0000-0300-0000F0180000}">
          <x14:formula1>
            <xm:f>項目!A4:$HRM$262146</xm:f>
          </x14:formula1>
          <xm:sqref>HRV262149:HRV262172</xm:sqref>
        </x14:dataValidation>
        <x14:dataValidation type="list" allowBlank="1" showInputMessage="1" showErrorMessage="1" xr:uid="{00000000-0002-0000-0300-0000F1180000}">
          <x14:formula1>
            <xm:f>項目!A4:$IBI$262146</xm:f>
          </x14:formula1>
          <xm:sqref>IBR262149:IBR262172</xm:sqref>
        </x14:dataValidation>
        <x14:dataValidation type="list" allowBlank="1" showInputMessage="1" showErrorMessage="1" xr:uid="{00000000-0002-0000-0300-0000F2180000}">
          <x14:formula1>
            <xm:f>項目!A4:$ILE$262146</xm:f>
          </x14:formula1>
          <xm:sqref>ILN262149:ILN262172</xm:sqref>
        </x14:dataValidation>
        <x14:dataValidation type="list" allowBlank="1" showInputMessage="1" showErrorMessage="1" xr:uid="{00000000-0002-0000-0300-0000F3180000}">
          <x14:formula1>
            <xm:f>項目!A4:$IVA$262146</xm:f>
          </x14:formula1>
          <xm:sqref>IVJ262149:IVJ262172</xm:sqref>
        </x14:dataValidation>
        <x14:dataValidation type="list" allowBlank="1" showInputMessage="1" showErrorMessage="1" xr:uid="{00000000-0002-0000-0300-0000F4180000}">
          <x14:formula1>
            <xm:f>項目!A4:$JEW$262146</xm:f>
          </x14:formula1>
          <xm:sqref>JFF262149:JFF262172</xm:sqref>
        </x14:dataValidation>
        <x14:dataValidation type="list" allowBlank="1" showInputMessage="1" showErrorMessage="1" xr:uid="{00000000-0002-0000-0300-0000F5180000}">
          <x14:formula1>
            <xm:f>項目!A4:$JOS$262146</xm:f>
          </x14:formula1>
          <xm:sqref>JPB262149:JPB262172</xm:sqref>
        </x14:dataValidation>
        <x14:dataValidation type="list" allowBlank="1" showInputMessage="1" showErrorMessage="1" xr:uid="{00000000-0002-0000-0300-0000F6180000}">
          <x14:formula1>
            <xm:f>項目!A4:$JYO$262146</xm:f>
          </x14:formula1>
          <xm:sqref>JYX262149:JYX262172</xm:sqref>
        </x14:dataValidation>
        <x14:dataValidation type="list" allowBlank="1" showInputMessage="1" showErrorMessage="1" xr:uid="{00000000-0002-0000-0300-0000F7180000}">
          <x14:formula1>
            <xm:f>項目!A4:$KIK$262146</xm:f>
          </x14:formula1>
          <xm:sqref>KIT262149:KIT262172</xm:sqref>
        </x14:dataValidation>
        <x14:dataValidation type="list" allowBlank="1" showInputMessage="1" showErrorMessage="1" xr:uid="{00000000-0002-0000-0300-0000F8180000}">
          <x14:formula1>
            <xm:f>項目!A4:$KSG$262146</xm:f>
          </x14:formula1>
          <xm:sqref>KSP262149:KSP262172</xm:sqref>
        </x14:dataValidation>
        <x14:dataValidation type="list" allowBlank="1" showInputMessage="1" showErrorMessage="1" xr:uid="{00000000-0002-0000-0300-0000F9180000}">
          <x14:formula1>
            <xm:f>項目!A4:$LCC$262146</xm:f>
          </x14:formula1>
          <xm:sqref>LCL262149:LCL262172</xm:sqref>
        </x14:dataValidation>
        <x14:dataValidation type="list" allowBlank="1" showInputMessage="1" showErrorMessage="1" xr:uid="{00000000-0002-0000-0300-0000FA180000}">
          <x14:formula1>
            <xm:f>項目!A4:$LLY$262146</xm:f>
          </x14:formula1>
          <xm:sqref>LMH262149:LMH262172</xm:sqref>
        </x14:dataValidation>
        <x14:dataValidation type="list" allowBlank="1" showInputMessage="1" showErrorMessage="1" xr:uid="{00000000-0002-0000-0300-0000FB180000}">
          <x14:formula1>
            <xm:f>項目!A4:$LVU$262146</xm:f>
          </x14:formula1>
          <xm:sqref>LWD262149:LWD262172</xm:sqref>
        </x14:dataValidation>
        <x14:dataValidation type="list" allowBlank="1" showInputMessage="1" showErrorMessage="1" xr:uid="{00000000-0002-0000-0300-0000FC180000}">
          <x14:formula1>
            <xm:f>項目!A4:$MFQ$262146</xm:f>
          </x14:formula1>
          <xm:sqref>MFZ262149:MFZ262172</xm:sqref>
        </x14:dataValidation>
        <x14:dataValidation type="list" allowBlank="1" showInputMessage="1" showErrorMessage="1" xr:uid="{00000000-0002-0000-0300-0000FD180000}">
          <x14:formula1>
            <xm:f>項目!A4:$MPM$262146</xm:f>
          </x14:formula1>
          <xm:sqref>MPV262149:MPV262172</xm:sqref>
        </x14:dataValidation>
        <x14:dataValidation type="list" allowBlank="1" showInputMessage="1" showErrorMessage="1" xr:uid="{00000000-0002-0000-0300-0000FE180000}">
          <x14:formula1>
            <xm:f>項目!A4:$MZI$262146</xm:f>
          </x14:formula1>
          <xm:sqref>MZR262149:MZR262172</xm:sqref>
        </x14:dataValidation>
        <x14:dataValidation type="list" allowBlank="1" showInputMessage="1" showErrorMessage="1" xr:uid="{00000000-0002-0000-0300-0000FF180000}">
          <x14:formula1>
            <xm:f>項目!A4:$NJE$262146</xm:f>
          </x14:formula1>
          <xm:sqref>NJN262149:NJN262172</xm:sqref>
        </x14:dataValidation>
        <x14:dataValidation type="list" allowBlank="1" showInputMessage="1" showErrorMessage="1" xr:uid="{00000000-0002-0000-0300-000000190000}">
          <x14:formula1>
            <xm:f>項目!A4:$NTA$262146</xm:f>
          </x14:formula1>
          <xm:sqref>NTJ262149:NTJ262172</xm:sqref>
        </x14:dataValidation>
        <x14:dataValidation type="list" allowBlank="1" showInputMessage="1" showErrorMessage="1" xr:uid="{00000000-0002-0000-0300-000001190000}">
          <x14:formula1>
            <xm:f>項目!A4:$OCW$262146</xm:f>
          </x14:formula1>
          <xm:sqref>ODF262149:ODF262172</xm:sqref>
        </x14:dataValidation>
        <x14:dataValidation type="list" allowBlank="1" showInputMessage="1" showErrorMessage="1" xr:uid="{00000000-0002-0000-0300-000002190000}">
          <x14:formula1>
            <xm:f>項目!A4:$OMS$262146</xm:f>
          </x14:formula1>
          <xm:sqref>ONB262149:ONB262172</xm:sqref>
        </x14:dataValidation>
        <x14:dataValidation type="list" allowBlank="1" showInputMessage="1" showErrorMessage="1" xr:uid="{00000000-0002-0000-0300-000003190000}">
          <x14:formula1>
            <xm:f>項目!A4:$OWO$262146</xm:f>
          </x14:formula1>
          <xm:sqref>OWX262149:OWX262172</xm:sqref>
        </x14:dataValidation>
        <x14:dataValidation type="list" allowBlank="1" showInputMessage="1" showErrorMessage="1" xr:uid="{00000000-0002-0000-0300-000004190000}">
          <x14:formula1>
            <xm:f>項目!A4:$PGK$262146</xm:f>
          </x14:formula1>
          <xm:sqref>PGT262149:PGT262172</xm:sqref>
        </x14:dataValidation>
        <x14:dataValidation type="list" allowBlank="1" showInputMessage="1" showErrorMessage="1" xr:uid="{00000000-0002-0000-0300-000005190000}">
          <x14:formula1>
            <xm:f>項目!A4:$PQG$262146</xm:f>
          </x14:formula1>
          <xm:sqref>PQP262149:PQP262172</xm:sqref>
        </x14:dataValidation>
        <x14:dataValidation type="list" allowBlank="1" showInputMessage="1" showErrorMessage="1" xr:uid="{00000000-0002-0000-0300-000006190000}">
          <x14:formula1>
            <xm:f>項目!A4:$QAC$262146</xm:f>
          </x14:formula1>
          <xm:sqref>QAL262149:QAL262172</xm:sqref>
        </x14:dataValidation>
        <x14:dataValidation type="list" allowBlank="1" showInputMessage="1" showErrorMessage="1" xr:uid="{00000000-0002-0000-0300-000007190000}">
          <x14:formula1>
            <xm:f>項目!A4:$QJY$262146</xm:f>
          </x14:formula1>
          <xm:sqref>QKH262149:QKH262172</xm:sqref>
        </x14:dataValidation>
        <x14:dataValidation type="list" allowBlank="1" showInputMessage="1" showErrorMessage="1" xr:uid="{00000000-0002-0000-0300-000008190000}">
          <x14:formula1>
            <xm:f>項目!A4:$QTU$262146</xm:f>
          </x14:formula1>
          <xm:sqref>QUD262149:QUD262172</xm:sqref>
        </x14:dataValidation>
        <x14:dataValidation type="list" allowBlank="1" showInputMessage="1" showErrorMessage="1" xr:uid="{00000000-0002-0000-0300-000009190000}">
          <x14:formula1>
            <xm:f>項目!A4:$RDQ$262146</xm:f>
          </x14:formula1>
          <xm:sqref>RDZ262149:RDZ262172</xm:sqref>
        </x14:dataValidation>
        <x14:dataValidation type="list" allowBlank="1" showInputMessage="1" showErrorMessage="1" xr:uid="{00000000-0002-0000-0300-00000A190000}">
          <x14:formula1>
            <xm:f>項目!A4:$RNM$262146</xm:f>
          </x14:formula1>
          <xm:sqref>RNV262149:RNV262172</xm:sqref>
        </x14:dataValidation>
        <x14:dataValidation type="list" allowBlank="1" showInputMessage="1" showErrorMessage="1" xr:uid="{00000000-0002-0000-0300-00000B190000}">
          <x14:formula1>
            <xm:f>項目!A4:$RXI$262146</xm:f>
          </x14:formula1>
          <xm:sqref>RXR262149:RXR262172</xm:sqref>
        </x14:dataValidation>
        <x14:dataValidation type="list" allowBlank="1" showInputMessage="1" showErrorMessage="1" xr:uid="{00000000-0002-0000-0300-00000C190000}">
          <x14:formula1>
            <xm:f>項目!A4:$SHE$262146</xm:f>
          </x14:formula1>
          <xm:sqref>SHN262149:SHN262172</xm:sqref>
        </x14:dataValidation>
        <x14:dataValidation type="list" allowBlank="1" showInputMessage="1" showErrorMessage="1" xr:uid="{00000000-0002-0000-0300-00000D190000}">
          <x14:formula1>
            <xm:f>項目!A4:$SRA$262146</xm:f>
          </x14:formula1>
          <xm:sqref>SRJ262149:SRJ262172</xm:sqref>
        </x14:dataValidation>
        <x14:dataValidation type="list" allowBlank="1" showInputMessage="1" showErrorMessage="1" xr:uid="{00000000-0002-0000-0300-00000E190000}">
          <x14:formula1>
            <xm:f>項目!A4:$TAW$262146</xm:f>
          </x14:formula1>
          <xm:sqref>TBF262149:TBF262172</xm:sqref>
        </x14:dataValidation>
        <x14:dataValidation type="list" allowBlank="1" showInputMessage="1" showErrorMessage="1" xr:uid="{00000000-0002-0000-0300-00000F190000}">
          <x14:formula1>
            <xm:f>項目!A4:$TKS$262146</xm:f>
          </x14:formula1>
          <xm:sqref>TLB262149:TLB262172</xm:sqref>
        </x14:dataValidation>
        <x14:dataValidation type="list" allowBlank="1" showInputMessage="1" showErrorMessage="1" xr:uid="{00000000-0002-0000-0300-000010190000}">
          <x14:formula1>
            <xm:f>項目!A4:$TUO$262146</xm:f>
          </x14:formula1>
          <xm:sqref>TUX262149:TUX262172</xm:sqref>
        </x14:dataValidation>
        <x14:dataValidation type="list" allowBlank="1" showInputMessage="1" showErrorMessage="1" xr:uid="{00000000-0002-0000-0300-000011190000}">
          <x14:formula1>
            <xm:f>項目!A4:$UEK$262146</xm:f>
          </x14:formula1>
          <xm:sqref>UET262149:UET262172</xm:sqref>
        </x14:dataValidation>
        <x14:dataValidation type="list" allowBlank="1" showInputMessage="1" showErrorMessage="1" xr:uid="{00000000-0002-0000-0300-000012190000}">
          <x14:formula1>
            <xm:f>項目!A4:$UOG$262146</xm:f>
          </x14:formula1>
          <xm:sqref>UOP262149:UOP262172</xm:sqref>
        </x14:dataValidation>
        <x14:dataValidation type="list" allowBlank="1" showInputMessage="1" showErrorMessage="1" xr:uid="{00000000-0002-0000-0300-000013190000}">
          <x14:formula1>
            <xm:f>項目!A4:$UYC$262146</xm:f>
          </x14:formula1>
          <xm:sqref>UYL262149:UYL262172</xm:sqref>
        </x14:dataValidation>
        <x14:dataValidation type="list" allowBlank="1" showInputMessage="1" showErrorMessage="1" xr:uid="{00000000-0002-0000-0300-000014190000}">
          <x14:formula1>
            <xm:f>項目!A4:$VHY$262146</xm:f>
          </x14:formula1>
          <xm:sqref>VIH262149:VIH262172</xm:sqref>
        </x14:dataValidation>
        <x14:dataValidation type="list" allowBlank="1" showInputMessage="1" showErrorMessage="1" xr:uid="{00000000-0002-0000-0300-000015190000}">
          <x14:formula1>
            <xm:f>項目!A4:$VRU$262146</xm:f>
          </x14:formula1>
          <xm:sqref>VSD262149:VSD262172</xm:sqref>
        </x14:dataValidation>
        <x14:dataValidation type="list" allowBlank="1" showInputMessage="1" showErrorMessage="1" xr:uid="{00000000-0002-0000-0300-000016190000}">
          <x14:formula1>
            <xm:f>項目!A4:$WBQ$262146</xm:f>
          </x14:formula1>
          <xm:sqref>WBZ262149:WBZ262172</xm:sqref>
        </x14:dataValidation>
        <x14:dataValidation type="list" allowBlank="1" showInputMessage="1" showErrorMessage="1" xr:uid="{00000000-0002-0000-0300-000017190000}">
          <x14:formula1>
            <xm:f>項目!A4:$WLM$262146</xm:f>
          </x14:formula1>
          <xm:sqref>WLV262149:WLV262172</xm:sqref>
        </x14:dataValidation>
        <x14:dataValidation type="list" allowBlank="1" showInputMessage="1" showErrorMessage="1" xr:uid="{00000000-0002-0000-0300-000018190000}">
          <x14:formula1>
            <xm:f>項目!A4:$WVI$262146</xm:f>
          </x14:formula1>
          <xm:sqref>WVR262149:WVR262172</xm:sqref>
        </x14:dataValidation>
        <x14:dataValidation type="list" allowBlank="1" showInputMessage="1" showErrorMessage="1" xr:uid="{00000000-0002-0000-0300-000019190000}">
          <x14:formula1>
            <xm:f>項目!A4:$IW$327682</xm:f>
          </x14:formula1>
          <xm:sqref>JF327685:JF327708</xm:sqref>
        </x14:dataValidation>
        <x14:dataValidation type="list" allowBlank="1" showInputMessage="1" showErrorMessage="1" xr:uid="{00000000-0002-0000-0300-00001A190000}">
          <x14:formula1>
            <xm:f>項目!A4:$SS$327682</xm:f>
          </x14:formula1>
          <xm:sqref>TB327685:TB327708</xm:sqref>
        </x14:dataValidation>
        <x14:dataValidation type="list" allowBlank="1" showInputMessage="1" showErrorMessage="1" xr:uid="{00000000-0002-0000-0300-00001B190000}">
          <x14:formula1>
            <xm:f>項目!A4:$ACO$327682</xm:f>
          </x14:formula1>
          <xm:sqref>ACX327685:ACX327708</xm:sqref>
        </x14:dataValidation>
        <x14:dataValidation type="list" allowBlank="1" showInputMessage="1" showErrorMessage="1" xr:uid="{00000000-0002-0000-0300-00001C190000}">
          <x14:formula1>
            <xm:f>項目!A4:$AMK$327682</xm:f>
          </x14:formula1>
          <xm:sqref>AMT327685:AMT327708</xm:sqref>
        </x14:dataValidation>
        <x14:dataValidation type="list" allowBlank="1" showInputMessage="1" showErrorMessage="1" xr:uid="{00000000-0002-0000-0300-00001D190000}">
          <x14:formula1>
            <xm:f>項目!A4:$AWG$327682</xm:f>
          </x14:formula1>
          <xm:sqref>AWP327685:AWP327708</xm:sqref>
        </x14:dataValidation>
        <x14:dataValidation type="list" allowBlank="1" showInputMessage="1" showErrorMessage="1" xr:uid="{00000000-0002-0000-0300-00001E190000}">
          <x14:formula1>
            <xm:f>項目!A4:$BGC$327682</xm:f>
          </x14:formula1>
          <xm:sqref>BGL327685:BGL327708</xm:sqref>
        </x14:dataValidation>
        <x14:dataValidation type="list" allowBlank="1" showInputMessage="1" showErrorMessage="1" xr:uid="{00000000-0002-0000-0300-00001F190000}">
          <x14:formula1>
            <xm:f>項目!A4:$BPY$327682</xm:f>
          </x14:formula1>
          <xm:sqref>BQH327685:BQH327708</xm:sqref>
        </x14:dataValidation>
        <x14:dataValidation type="list" allowBlank="1" showInputMessage="1" showErrorMessage="1" xr:uid="{00000000-0002-0000-0300-000020190000}">
          <x14:formula1>
            <xm:f>項目!A4:$BZU$327682</xm:f>
          </x14:formula1>
          <xm:sqref>CAD327685:CAD327708</xm:sqref>
        </x14:dataValidation>
        <x14:dataValidation type="list" allowBlank="1" showInputMessage="1" showErrorMessage="1" xr:uid="{00000000-0002-0000-0300-000021190000}">
          <x14:formula1>
            <xm:f>項目!A4:$CJQ$327682</xm:f>
          </x14:formula1>
          <xm:sqref>CJZ327685:CJZ327708</xm:sqref>
        </x14:dataValidation>
        <x14:dataValidation type="list" allowBlank="1" showInputMessage="1" showErrorMessage="1" xr:uid="{00000000-0002-0000-0300-000022190000}">
          <x14:formula1>
            <xm:f>項目!A4:$CTM$327682</xm:f>
          </x14:formula1>
          <xm:sqref>CTV327685:CTV327708</xm:sqref>
        </x14:dataValidation>
        <x14:dataValidation type="list" allowBlank="1" showInputMessage="1" showErrorMessage="1" xr:uid="{00000000-0002-0000-0300-000023190000}">
          <x14:formula1>
            <xm:f>項目!A4:$DDI$327682</xm:f>
          </x14:formula1>
          <xm:sqref>DDR327685:DDR327708</xm:sqref>
        </x14:dataValidation>
        <x14:dataValidation type="list" allowBlank="1" showInputMessage="1" showErrorMessage="1" xr:uid="{00000000-0002-0000-0300-000024190000}">
          <x14:formula1>
            <xm:f>項目!A4:$DNE$327682</xm:f>
          </x14:formula1>
          <xm:sqref>DNN327685:DNN327708</xm:sqref>
        </x14:dataValidation>
        <x14:dataValidation type="list" allowBlank="1" showInputMessage="1" showErrorMessage="1" xr:uid="{00000000-0002-0000-0300-000025190000}">
          <x14:formula1>
            <xm:f>項目!A4:$DXA$327682</xm:f>
          </x14:formula1>
          <xm:sqref>DXJ327685:DXJ327708</xm:sqref>
        </x14:dataValidation>
        <x14:dataValidation type="list" allowBlank="1" showInputMessage="1" showErrorMessage="1" xr:uid="{00000000-0002-0000-0300-000026190000}">
          <x14:formula1>
            <xm:f>項目!A4:$EGW$327682</xm:f>
          </x14:formula1>
          <xm:sqref>EHF327685:EHF327708</xm:sqref>
        </x14:dataValidation>
        <x14:dataValidation type="list" allowBlank="1" showInputMessage="1" showErrorMessage="1" xr:uid="{00000000-0002-0000-0300-000027190000}">
          <x14:formula1>
            <xm:f>項目!A4:$EQS$327682</xm:f>
          </x14:formula1>
          <xm:sqref>ERB327685:ERB327708</xm:sqref>
        </x14:dataValidation>
        <x14:dataValidation type="list" allowBlank="1" showInputMessage="1" showErrorMessage="1" xr:uid="{00000000-0002-0000-0300-000028190000}">
          <x14:formula1>
            <xm:f>項目!A4:$FAO$327682</xm:f>
          </x14:formula1>
          <xm:sqref>FAX327685:FAX327708</xm:sqref>
        </x14:dataValidation>
        <x14:dataValidation type="list" allowBlank="1" showInputMessage="1" showErrorMessage="1" xr:uid="{00000000-0002-0000-0300-000029190000}">
          <x14:formula1>
            <xm:f>項目!A4:$FKK$327682</xm:f>
          </x14:formula1>
          <xm:sqref>FKT327685:FKT327708</xm:sqref>
        </x14:dataValidation>
        <x14:dataValidation type="list" allowBlank="1" showInputMessage="1" showErrorMessage="1" xr:uid="{00000000-0002-0000-0300-00002A190000}">
          <x14:formula1>
            <xm:f>項目!A4:$FUG$327682</xm:f>
          </x14:formula1>
          <xm:sqref>FUP327685:FUP327708</xm:sqref>
        </x14:dataValidation>
        <x14:dataValidation type="list" allowBlank="1" showInputMessage="1" showErrorMessage="1" xr:uid="{00000000-0002-0000-0300-00002B190000}">
          <x14:formula1>
            <xm:f>項目!A4:$GEC$327682</xm:f>
          </x14:formula1>
          <xm:sqref>GEL327685:GEL327708</xm:sqref>
        </x14:dataValidation>
        <x14:dataValidation type="list" allowBlank="1" showInputMessage="1" showErrorMessage="1" xr:uid="{00000000-0002-0000-0300-00002C190000}">
          <x14:formula1>
            <xm:f>項目!A4:$GNY$327682</xm:f>
          </x14:formula1>
          <xm:sqref>GOH327685:GOH327708</xm:sqref>
        </x14:dataValidation>
        <x14:dataValidation type="list" allowBlank="1" showInputMessage="1" showErrorMessage="1" xr:uid="{00000000-0002-0000-0300-00002D190000}">
          <x14:formula1>
            <xm:f>項目!A4:$GXU$327682</xm:f>
          </x14:formula1>
          <xm:sqref>GYD327685:GYD327708</xm:sqref>
        </x14:dataValidation>
        <x14:dataValidation type="list" allowBlank="1" showInputMessage="1" showErrorMessage="1" xr:uid="{00000000-0002-0000-0300-00002E190000}">
          <x14:formula1>
            <xm:f>項目!A4:$HHQ$327682</xm:f>
          </x14:formula1>
          <xm:sqref>HHZ327685:HHZ327708</xm:sqref>
        </x14:dataValidation>
        <x14:dataValidation type="list" allowBlank="1" showInputMessage="1" showErrorMessage="1" xr:uid="{00000000-0002-0000-0300-00002F190000}">
          <x14:formula1>
            <xm:f>項目!A4:$HRM$327682</xm:f>
          </x14:formula1>
          <xm:sqref>HRV327685:HRV327708</xm:sqref>
        </x14:dataValidation>
        <x14:dataValidation type="list" allowBlank="1" showInputMessage="1" showErrorMessage="1" xr:uid="{00000000-0002-0000-0300-000030190000}">
          <x14:formula1>
            <xm:f>項目!A4:$IBI$327682</xm:f>
          </x14:formula1>
          <xm:sqref>IBR327685:IBR327708</xm:sqref>
        </x14:dataValidation>
        <x14:dataValidation type="list" allowBlank="1" showInputMessage="1" showErrorMessage="1" xr:uid="{00000000-0002-0000-0300-000031190000}">
          <x14:formula1>
            <xm:f>項目!A4:$ILE$327682</xm:f>
          </x14:formula1>
          <xm:sqref>ILN327685:ILN327708</xm:sqref>
        </x14:dataValidation>
        <x14:dataValidation type="list" allowBlank="1" showInputMessage="1" showErrorMessage="1" xr:uid="{00000000-0002-0000-0300-000032190000}">
          <x14:formula1>
            <xm:f>項目!A4:$IVA$327682</xm:f>
          </x14:formula1>
          <xm:sqref>IVJ327685:IVJ327708</xm:sqref>
        </x14:dataValidation>
        <x14:dataValidation type="list" allowBlank="1" showInputMessage="1" showErrorMessage="1" xr:uid="{00000000-0002-0000-0300-000033190000}">
          <x14:formula1>
            <xm:f>項目!A4:$JEW$327682</xm:f>
          </x14:formula1>
          <xm:sqref>JFF327685:JFF327708</xm:sqref>
        </x14:dataValidation>
        <x14:dataValidation type="list" allowBlank="1" showInputMessage="1" showErrorMessage="1" xr:uid="{00000000-0002-0000-0300-000034190000}">
          <x14:formula1>
            <xm:f>項目!A4:$JOS$327682</xm:f>
          </x14:formula1>
          <xm:sqref>JPB327685:JPB327708</xm:sqref>
        </x14:dataValidation>
        <x14:dataValidation type="list" allowBlank="1" showInputMessage="1" showErrorMessage="1" xr:uid="{00000000-0002-0000-0300-000035190000}">
          <x14:formula1>
            <xm:f>項目!A4:$JYO$327682</xm:f>
          </x14:formula1>
          <xm:sqref>JYX327685:JYX327708</xm:sqref>
        </x14:dataValidation>
        <x14:dataValidation type="list" allowBlank="1" showInputMessage="1" showErrorMessage="1" xr:uid="{00000000-0002-0000-0300-000036190000}">
          <x14:formula1>
            <xm:f>項目!A4:$KIK$327682</xm:f>
          </x14:formula1>
          <xm:sqref>KIT327685:KIT327708</xm:sqref>
        </x14:dataValidation>
        <x14:dataValidation type="list" allowBlank="1" showInputMessage="1" showErrorMessage="1" xr:uid="{00000000-0002-0000-0300-000037190000}">
          <x14:formula1>
            <xm:f>項目!A4:$KSG$327682</xm:f>
          </x14:formula1>
          <xm:sqref>KSP327685:KSP327708</xm:sqref>
        </x14:dataValidation>
        <x14:dataValidation type="list" allowBlank="1" showInputMessage="1" showErrorMessage="1" xr:uid="{00000000-0002-0000-0300-000038190000}">
          <x14:formula1>
            <xm:f>項目!A4:$LCC$327682</xm:f>
          </x14:formula1>
          <xm:sqref>LCL327685:LCL327708</xm:sqref>
        </x14:dataValidation>
        <x14:dataValidation type="list" allowBlank="1" showInputMessage="1" showErrorMessage="1" xr:uid="{00000000-0002-0000-0300-000039190000}">
          <x14:formula1>
            <xm:f>項目!A4:$LLY$327682</xm:f>
          </x14:formula1>
          <xm:sqref>LMH327685:LMH327708</xm:sqref>
        </x14:dataValidation>
        <x14:dataValidation type="list" allowBlank="1" showInputMessage="1" showErrorMessage="1" xr:uid="{00000000-0002-0000-0300-00003A190000}">
          <x14:formula1>
            <xm:f>項目!A4:$LVU$327682</xm:f>
          </x14:formula1>
          <xm:sqref>LWD327685:LWD327708</xm:sqref>
        </x14:dataValidation>
        <x14:dataValidation type="list" allowBlank="1" showInputMessage="1" showErrorMessage="1" xr:uid="{00000000-0002-0000-0300-00003B190000}">
          <x14:formula1>
            <xm:f>項目!A4:$MFQ$327682</xm:f>
          </x14:formula1>
          <xm:sqref>MFZ327685:MFZ327708</xm:sqref>
        </x14:dataValidation>
        <x14:dataValidation type="list" allowBlank="1" showInputMessage="1" showErrorMessage="1" xr:uid="{00000000-0002-0000-0300-00003C190000}">
          <x14:formula1>
            <xm:f>項目!A4:$MPM$327682</xm:f>
          </x14:formula1>
          <xm:sqref>MPV327685:MPV327708</xm:sqref>
        </x14:dataValidation>
        <x14:dataValidation type="list" allowBlank="1" showInputMessage="1" showErrorMessage="1" xr:uid="{00000000-0002-0000-0300-00003D190000}">
          <x14:formula1>
            <xm:f>項目!A4:$MZI$327682</xm:f>
          </x14:formula1>
          <xm:sqref>MZR327685:MZR327708</xm:sqref>
        </x14:dataValidation>
        <x14:dataValidation type="list" allowBlank="1" showInputMessage="1" showErrorMessage="1" xr:uid="{00000000-0002-0000-0300-00003E190000}">
          <x14:formula1>
            <xm:f>項目!A4:$NJE$327682</xm:f>
          </x14:formula1>
          <xm:sqref>NJN327685:NJN327708</xm:sqref>
        </x14:dataValidation>
        <x14:dataValidation type="list" allowBlank="1" showInputMessage="1" showErrorMessage="1" xr:uid="{00000000-0002-0000-0300-00003F190000}">
          <x14:formula1>
            <xm:f>項目!A4:$NTA$327682</xm:f>
          </x14:formula1>
          <xm:sqref>NTJ327685:NTJ327708</xm:sqref>
        </x14:dataValidation>
        <x14:dataValidation type="list" allowBlank="1" showInputMessage="1" showErrorMessage="1" xr:uid="{00000000-0002-0000-0300-000040190000}">
          <x14:formula1>
            <xm:f>項目!A4:$OCW$327682</xm:f>
          </x14:formula1>
          <xm:sqref>ODF327685:ODF327708</xm:sqref>
        </x14:dataValidation>
        <x14:dataValidation type="list" allowBlank="1" showInputMessage="1" showErrorMessage="1" xr:uid="{00000000-0002-0000-0300-000041190000}">
          <x14:formula1>
            <xm:f>項目!A4:$OMS$327682</xm:f>
          </x14:formula1>
          <xm:sqref>ONB327685:ONB327708</xm:sqref>
        </x14:dataValidation>
        <x14:dataValidation type="list" allowBlank="1" showInputMessage="1" showErrorMessage="1" xr:uid="{00000000-0002-0000-0300-000042190000}">
          <x14:formula1>
            <xm:f>項目!A4:$OWO$327682</xm:f>
          </x14:formula1>
          <xm:sqref>OWX327685:OWX327708</xm:sqref>
        </x14:dataValidation>
        <x14:dataValidation type="list" allowBlank="1" showInputMessage="1" showErrorMessage="1" xr:uid="{00000000-0002-0000-0300-000043190000}">
          <x14:formula1>
            <xm:f>項目!A4:$PGK$327682</xm:f>
          </x14:formula1>
          <xm:sqref>PGT327685:PGT327708</xm:sqref>
        </x14:dataValidation>
        <x14:dataValidation type="list" allowBlank="1" showInputMessage="1" showErrorMessage="1" xr:uid="{00000000-0002-0000-0300-000044190000}">
          <x14:formula1>
            <xm:f>項目!A4:$PQG$327682</xm:f>
          </x14:formula1>
          <xm:sqref>PQP327685:PQP327708</xm:sqref>
        </x14:dataValidation>
        <x14:dataValidation type="list" allowBlank="1" showInputMessage="1" showErrorMessage="1" xr:uid="{00000000-0002-0000-0300-000045190000}">
          <x14:formula1>
            <xm:f>項目!A4:$QAC$327682</xm:f>
          </x14:formula1>
          <xm:sqref>QAL327685:QAL327708</xm:sqref>
        </x14:dataValidation>
        <x14:dataValidation type="list" allowBlank="1" showInputMessage="1" showErrorMessage="1" xr:uid="{00000000-0002-0000-0300-000046190000}">
          <x14:formula1>
            <xm:f>項目!A4:$QJY$327682</xm:f>
          </x14:formula1>
          <xm:sqref>QKH327685:QKH327708</xm:sqref>
        </x14:dataValidation>
        <x14:dataValidation type="list" allowBlank="1" showInputMessage="1" showErrorMessage="1" xr:uid="{00000000-0002-0000-0300-000047190000}">
          <x14:formula1>
            <xm:f>項目!A4:$QTU$327682</xm:f>
          </x14:formula1>
          <xm:sqref>QUD327685:QUD327708</xm:sqref>
        </x14:dataValidation>
        <x14:dataValidation type="list" allowBlank="1" showInputMessage="1" showErrorMessage="1" xr:uid="{00000000-0002-0000-0300-000048190000}">
          <x14:formula1>
            <xm:f>項目!A4:$RDQ$327682</xm:f>
          </x14:formula1>
          <xm:sqref>RDZ327685:RDZ327708</xm:sqref>
        </x14:dataValidation>
        <x14:dataValidation type="list" allowBlank="1" showInputMessage="1" showErrorMessage="1" xr:uid="{00000000-0002-0000-0300-000049190000}">
          <x14:formula1>
            <xm:f>項目!A4:$RNM$327682</xm:f>
          </x14:formula1>
          <xm:sqref>RNV327685:RNV327708</xm:sqref>
        </x14:dataValidation>
        <x14:dataValidation type="list" allowBlank="1" showInputMessage="1" showErrorMessage="1" xr:uid="{00000000-0002-0000-0300-00004A190000}">
          <x14:formula1>
            <xm:f>項目!A4:$RXI$327682</xm:f>
          </x14:formula1>
          <xm:sqref>RXR327685:RXR327708</xm:sqref>
        </x14:dataValidation>
        <x14:dataValidation type="list" allowBlank="1" showInputMessage="1" showErrorMessage="1" xr:uid="{00000000-0002-0000-0300-00004B190000}">
          <x14:formula1>
            <xm:f>項目!A4:$SHE$327682</xm:f>
          </x14:formula1>
          <xm:sqref>SHN327685:SHN327708</xm:sqref>
        </x14:dataValidation>
        <x14:dataValidation type="list" allowBlank="1" showInputMessage="1" showErrorMessage="1" xr:uid="{00000000-0002-0000-0300-00004C190000}">
          <x14:formula1>
            <xm:f>項目!A4:$SRA$327682</xm:f>
          </x14:formula1>
          <xm:sqref>SRJ327685:SRJ327708</xm:sqref>
        </x14:dataValidation>
        <x14:dataValidation type="list" allowBlank="1" showInputMessage="1" showErrorMessage="1" xr:uid="{00000000-0002-0000-0300-00004D190000}">
          <x14:formula1>
            <xm:f>項目!A4:$TAW$327682</xm:f>
          </x14:formula1>
          <xm:sqref>TBF327685:TBF327708</xm:sqref>
        </x14:dataValidation>
        <x14:dataValidation type="list" allowBlank="1" showInputMessage="1" showErrorMessage="1" xr:uid="{00000000-0002-0000-0300-00004E190000}">
          <x14:formula1>
            <xm:f>項目!A4:$TKS$327682</xm:f>
          </x14:formula1>
          <xm:sqref>TLB327685:TLB327708</xm:sqref>
        </x14:dataValidation>
        <x14:dataValidation type="list" allowBlank="1" showInputMessage="1" showErrorMessage="1" xr:uid="{00000000-0002-0000-0300-00004F190000}">
          <x14:formula1>
            <xm:f>項目!A4:$TUO$327682</xm:f>
          </x14:formula1>
          <xm:sqref>TUX327685:TUX327708</xm:sqref>
        </x14:dataValidation>
        <x14:dataValidation type="list" allowBlank="1" showInputMessage="1" showErrorMessage="1" xr:uid="{00000000-0002-0000-0300-000050190000}">
          <x14:formula1>
            <xm:f>項目!A4:$UEK$327682</xm:f>
          </x14:formula1>
          <xm:sqref>UET327685:UET327708</xm:sqref>
        </x14:dataValidation>
        <x14:dataValidation type="list" allowBlank="1" showInputMessage="1" showErrorMessage="1" xr:uid="{00000000-0002-0000-0300-000051190000}">
          <x14:formula1>
            <xm:f>項目!A4:$UOG$327682</xm:f>
          </x14:formula1>
          <xm:sqref>UOP327685:UOP327708</xm:sqref>
        </x14:dataValidation>
        <x14:dataValidation type="list" allowBlank="1" showInputMessage="1" showErrorMessage="1" xr:uid="{00000000-0002-0000-0300-000052190000}">
          <x14:formula1>
            <xm:f>項目!A4:$UYC$327682</xm:f>
          </x14:formula1>
          <xm:sqref>UYL327685:UYL327708</xm:sqref>
        </x14:dataValidation>
        <x14:dataValidation type="list" allowBlank="1" showInputMessage="1" showErrorMessage="1" xr:uid="{00000000-0002-0000-0300-000053190000}">
          <x14:formula1>
            <xm:f>項目!A4:$VHY$327682</xm:f>
          </x14:formula1>
          <xm:sqref>VIH327685:VIH327708</xm:sqref>
        </x14:dataValidation>
        <x14:dataValidation type="list" allowBlank="1" showInputMessage="1" showErrorMessage="1" xr:uid="{00000000-0002-0000-0300-000054190000}">
          <x14:formula1>
            <xm:f>項目!A4:$VRU$327682</xm:f>
          </x14:formula1>
          <xm:sqref>VSD327685:VSD327708</xm:sqref>
        </x14:dataValidation>
        <x14:dataValidation type="list" allowBlank="1" showInputMessage="1" showErrorMessage="1" xr:uid="{00000000-0002-0000-0300-000055190000}">
          <x14:formula1>
            <xm:f>項目!A4:$WBQ$327682</xm:f>
          </x14:formula1>
          <xm:sqref>WBZ327685:WBZ327708</xm:sqref>
        </x14:dataValidation>
        <x14:dataValidation type="list" allowBlank="1" showInputMessage="1" showErrorMessage="1" xr:uid="{00000000-0002-0000-0300-000056190000}">
          <x14:formula1>
            <xm:f>項目!A4:$WLM$327682</xm:f>
          </x14:formula1>
          <xm:sqref>WLV327685:WLV327708</xm:sqref>
        </x14:dataValidation>
        <x14:dataValidation type="list" allowBlank="1" showInputMessage="1" showErrorMessage="1" xr:uid="{00000000-0002-0000-0300-000057190000}">
          <x14:formula1>
            <xm:f>項目!A4:$WVI$327682</xm:f>
          </x14:formula1>
          <xm:sqref>WVR327685:WVR327708</xm:sqref>
        </x14:dataValidation>
        <x14:dataValidation type="list" allowBlank="1" showInputMessage="1" showErrorMessage="1" xr:uid="{00000000-0002-0000-0300-000058190000}">
          <x14:formula1>
            <xm:f>項目!A4:$IW$393218</xm:f>
          </x14:formula1>
          <xm:sqref>JF393221:JF393244</xm:sqref>
        </x14:dataValidation>
        <x14:dataValidation type="list" allowBlank="1" showInputMessage="1" showErrorMessage="1" xr:uid="{00000000-0002-0000-0300-000059190000}">
          <x14:formula1>
            <xm:f>項目!A4:$SS$393218</xm:f>
          </x14:formula1>
          <xm:sqref>TB393221:TB393244</xm:sqref>
        </x14:dataValidation>
        <x14:dataValidation type="list" allowBlank="1" showInputMessage="1" showErrorMessage="1" xr:uid="{00000000-0002-0000-0300-00005A190000}">
          <x14:formula1>
            <xm:f>項目!A4:$ACO$393218</xm:f>
          </x14:formula1>
          <xm:sqref>ACX393221:ACX393244</xm:sqref>
        </x14:dataValidation>
        <x14:dataValidation type="list" allowBlank="1" showInputMessage="1" showErrorMessage="1" xr:uid="{00000000-0002-0000-0300-00005B190000}">
          <x14:formula1>
            <xm:f>項目!A4:$AMK$393218</xm:f>
          </x14:formula1>
          <xm:sqref>AMT393221:AMT393244</xm:sqref>
        </x14:dataValidation>
        <x14:dataValidation type="list" allowBlank="1" showInputMessage="1" showErrorMessage="1" xr:uid="{00000000-0002-0000-0300-00005C190000}">
          <x14:formula1>
            <xm:f>項目!A4:$AWG$393218</xm:f>
          </x14:formula1>
          <xm:sqref>AWP393221:AWP393244</xm:sqref>
        </x14:dataValidation>
        <x14:dataValidation type="list" allowBlank="1" showInputMessage="1" showErrorMessage="1" xr:uid="{00000000-0002-0000-0300-00005D190000}">
          <x14:formula1>
            <xm:f>項目!A4:$BGC$393218</xm:f>
          </x14:formula1>
          <xm:sqref>BGL393221:BGL393244</xm:sqref>
        </x14:dataValidation>
        <x14:dataValidation type="list" allowBlank="1" showInputMessage="1" showErrorMessage="1" xr:uid="{00000000-0002-0000-0300-00005E190000}">
          <x14:formula1>
            <xm:f>項目!A4:$BPY$393218</xm:f>
          </x14:formula1>
          <xm:sqref>BQH393221:BQH393244</xm:sqref>
        </x14:dataValidation>
        <x14:dataValidation type="list" allowBlank="1" showInputMessage="1" showErrorMessage="1" xr:uid="{00000000-0002-0000-0300-00005F190000}">
          <x14:formula1>
            <xm:f>項目!A4:$BZU$393218</xm:f>
          </x14:formula1>
          <xm:sqref>CAD393221:CAD393244</xm:sqref>
        </x14:dataValidation>
        <x14:dataValidation type="list" allowBlank="1" showInputMessage="1" showErrorMessage="1" xr:uid="{00000000-0002-0000-0300-000060190000}">
          <x14:formula1>
            <xm:f>項目!A4:$CJQ$393218</xm:f>
          </x14:formula1>
          <xm:sqref>CJZ393221:CJZ393244</xm:sqref>
        </x14:dataValidation>
        <x14:dataValidation type="list" allowBlank="1" showInputMessage="1" showErrorMessage="1" xr:uid="{00000000-0002-0000-0300-000061190000}">
          <x14:formula1>
            <xm:f>項目!A4:$CTM$393218</xm:f>
          </x14:formula1>
          <xm:sqref>CTV393221:CTV393244</xm:sqref>
        </x14:dataValidation>
        <x14:dataValidation type="list" allowBlank="1" showInputMessage="1" showErrorMessage="1" xr:uid="{00000000-0002-0000-0300-000062190000}">
          <x14:formula1>
            <xm:f>項目!A4:$DDI$393218</xm:f>
          </x14:formula1>
          <xm:sqref>DDR393221:DDR393244</xm:sqref>
        </x14:dataValidation>
        <x14:dataValidation type="list" allowBlank="1" showInputMessage="1" showErrorMessage="1" xr:uid="{00000000-0002-0000-0300-000063190000}">
          <x14:formula1>
            <xm:f>項目!A4:$DNE$393218</xm:f>
          </x14:formula1>
          <xm:sqref>DNN393221:DNN393244</xm:sqref>
        </x14:dataValidation>
        <x14:dataValidation type="list" allowBlank="1" showInputMessage="1" showErrorMessage="1" xr:uid="{00000000-0002-0000-0300-000064190000}">
          <x14:formula1>
            <xm:f>項目!A4:$DXA$393218</xm:f>
          </x14:formula1>
          <xm:sqref>DXJ393221:DXJ393244</xm:sqref>
        </x14:dataValidation>
        <x14:dataValidation type="list" allowBlank="1" showInputMessage="1" showErrorMessage="1" xr:uid="{00000000-0002-0000-0300-000065190000}">
          <x14:formula1>
            <xm:f>項目!A4:$EGW$393218</xm:f>
          </x14:formula1>
          <xm:sqref>EHF393221:EHF393244</xm:sqref>
        </x14:dataValidation>
        <x14:dataValidation type="list" allowBlank="1" showInputMessage="1" showErrorMessage="1" xr:uid="{00000000-0002-0000-0300-000066190000}">
          <x14:formula1>
            <xm:f>項目!A4:$EQS$393218</xm:f>
          </x14:formula1>
          <xm:sqref>ERB393221:ERB393244</xm:sqref>
        </x14:dataValidation>
        <x14:dataValidation type="list" allowBlank="1" showInputMessage="1" showErrorMessage="1" xr:uid="{00000000-0002-0000-0300-000067190000}">
          <x14:formula1>
            <xm:f>項目!A4:$FAO$393218</xm:f>
          </x14:formula1>
          <xm:sqref>FAX393221:FAX393244</xm:sqref>
        </x14:dataValidation>
        <x14:dataValidation type="list" allowBlank="1" showInputMessage="1" showErrorMessage="1" xr:uid="{00000000-0002-0000-0300-000068190000}">
          <x14:formula1>
            <xm:f>項目!A4:$FKK$393218</xm:f>
          </x14:formula1>
          <xm:sqref>FKT393221:FKT393244</xm:sqref>
        </x14:dataValidation>
        <x14:dataValidation type="list" allowBlank="1" showInputMessage="1" showErrorMessage="1" xr:uid="{00000000-0002-0000-0300-000069190000}">
          <x14:formula1>
            <xm:f>項目!A4:$FUG$393218</xm:f>
          </x14:formula1>
          <xm:sqref>FUP393221:FUP393244</xm:sqref>
        </x14:dataValidation>
        <x14:dataValidation type="list" allowBlank="1" showInputMessage="1" showErrorMessage="1" xr:uid="{00000000-0002-0000-0300-00006A190000}">
          <x14:formula1>
            <xm:f>項目!A4:$GEC$393218</xm:f>
          </x14:formula1>
          <xm:sqref>GEL393221:GEL393244</xm:sqref>
        </x14:dataValidation>
        <x14:dataValidation type="list" allowBlank="1" showInputMessage="1" showErrorMessage="1" xr:uid="{00000000-0002-0000-0300-00006B190000}">
          <x14:formula1>
            <xm:f>項目!A4:$GNY$393218</xm:f>
          </x14:formula1>
          <xm:sqref>GOH393221:GOH393244</xm:sqref>
        </x14:dataValidation>
        <x14:dataValidation type="list" allowBlank="1" showInputMessage="1" showErrorMessage="1" xr:uid="{00000000-0002-0000-0300-00006C190000}">
          <x14:formula1>
            <xm:f>項目!A4:$GXU$393218</xm:f>
          </x14:formula1>
          <xm:sqref>GYD393221:GYD393244</xm:sqref>
        </x14:dataValidation>
        <x14:dataValidation type="list" allowBlank="1" showInputMessage="1" showErrorMessage="1" xr:uid="{00000000-0002-0000-0300-00006D190000}">
          <x14:formula1>
            <xm:f>項目!A4:$HHQ$393218</xm:f>
          </x14:formula1>
          <xm:sqref>HHZ393221:HHZ393244</xm:sqref>
        </x14:dataValidation>
        <x14:dataValidation type="list" allowBlank="1" showInputMessage="1" showErrorMessage="1" xr:uid="{00000000-0002-0000-0300-00006E190000}">
          <x14:formula1>
            <xm:f>項目!A4:$HRM$393218</xm:f>
          </x14:formula1>
          <xm:sqref>HRV393221:HRV393244</xm:sqref>
        </x14:dataValidation>
        <x14:dataValidation type="list" allowBlank="1" showInputMessage="1" showErrorMessage="1" xr:uid="{00000000-0002-0000-0300-00006F190000}">
          <x14:formula1>
            <xm:f>項目!A4:$IBI$393218</xm:f>
          </x14:formula1>
          <xm:sqref>IBR393221:IBR393244</xm:sqref>
        </x14:dataValidation>
        <x14:dataValidation type="list" allowBlank="1" showInputMessage="1" showErrorMessage="1" xr:uid="{00000000-0002-0000-0300-000070190000}">
          <x14:formula1>
            <xm:f>項目!A4:$ILE$393218</xm:f>
          </x14:formula1>
          <xm:sqref>ILN393221:ILN393244</xm:sqref>
        </x14:dataValidation>
        <x14:dataValidation type="list" allowBlank="1" showInputMessage="1" showErrorMessage="1" xr:uid="{00000000-0002-0000-0300-000071190000}">
          <x14:formula1>
            <xm:f>項目!A4:$IVA$393218</xm:f>
          </x14:formula1>
          <xm:sqref>IVJ393221:IVJ393244</xm:sqref>
        </x14:dataValidation>
        <x14:dataValidation type="list" allowBlank="1" showInputMessage="1" showErrorMessage="1" xr:uid="{00000000-0002-0000-0300-000072190000}">
          <x14:formula1>
            <xm:f>項目!A4:$JEW$393218</xm:f>
          </x14:formula1>
          <xm:sqref>JFF393221:JFF393244</xm:sqref>
        </x14:dataValidation>
        <x14:dataValidation type="list" allowBlank="1" showInputMessage="1" showErrorMessage="1" xr:uid="{00000000-0002-0000-0300-000073190000}">
          <x14:formula1>
            <xm:f>項目!A4:$JOS$393218</xm:f>
          </x14:formula1>
          <xm:sqref>JPB393221:JPB393244</xm:sqref>
        </x14:dataValidation>
        <x14:dataValidation type="list" allowBlank="1" showInputMessage="1" showErrorMessage="1" xr:uid="{00000000-0002-0000-0300-000074190000}">
          <x14:formula1>
            <xm:f>項目!A4:$JYO$393218</xm:f>
          </x14:formula1>
          <xm:sqref>JYX393221:JYX393244</xm:sqref>
        </x14:dataValidation>
        <x14:dataValidation type="list" allowBlank="1" showInputMessage="1" showErrorMessage="1" xr:uid="{00000000-0002-0000-0300-000075190000}">
          <x14:formula1>
            <xm:f>項目!A4:$KIK$393218</xm:f>
          </x14:formula1>
          <xm:sqref>KIT393221:KIT393244</xm:sqref>
        </x14:dataValidation>
        <x14:dataValidation type="list" allowBlank="1" showInputMessage="1" showErrorMessage="1" xr:uid="{00000000-0002-0000-0300-000076190000}">
          <x14:formula1>
            <xm:f>項目!A4:$KSG$393218</xm:f>
          </x14:formula1>
          <xm:sqref>KSP393221:KSP393244</xm:sqref>
        </x14:dataValidation>
        <x14:dataValidation type="list" allowBlank="1" showInputMessage="1" showErrorMessage="1" xr:uid="{00000000-0002-0000-0300-000077190000}">
          <x14:formula1>
            <xm:f>項目!A4:$LCC$393218</xm:f>
          </x14:formula1>
          <xm:sqref>LCL393221:LCL393244</xm:sqref>
        </x14:dataValidation>
        <x14:dataValidation type="list" allowBlank="1" showInputMessage="1" showErrorMessage="1" xr:uid="{00000000-0002-0000-0300-000078190000}">
          <x14:formula1>
            <xm:f>項目!A4:$LLY$393218</xm:f>
          </x14:formula1>
          <xm:sqref>LMH393221:LMH393244</xm:sqref>
        </x14:dataValidation>
        <x14:dataValidation type="list" allowBlank="1" showInputMessage="1" showErrorMessage="1" xr:uid="{00000000-0002-0000-0300-000079190000}">
          <x14:formula1>
            <xm:f>項目!A4:$LVU$393218</xm:f>
          </x14:formula1>
          <xm:sqref>LWD393221:LWD393244</xm:sqref>
        </x14:dataValidation>
        <x14:dataValidation type="list" allowBlank="1" showInputMessage="1" showErrorMessage="1" xr:uid="{00000000-0002-0000-0300-00007A190000}">
          <x14:formula1>
            <xm:f>項目!A4:$MFQ$393218</xm:f>
          </x14:formula1>
          <xm:sqref>MFZ393221:MFZ393244</xm:sqref>
        </x14:dataValidation>
        <x14:dataValidation type="list" allowBlank="1" showInputMessage="1" showErrorMessage="1" xr:uid="{00000000-0002-0000-0300-00007B190000}">
          <x14:formula1>
            <xm:f>項目!A4:$MPM$393218</xm:f>
          </x14:formula1>
          <xm:sqref>MPV393221:MPV393244</xm:sqref>
        </x14:dataValidation>
        <x14:dataValidation type="list" allowBlank="1" showInputMessage="1" showErrorMessage="1" xr:uid="{00000000-0002-0000-0300-00007C190000}">
          <x14:formula1>
            <xm:f>項目!A4:$MZI$393218</xm:f>
          </x14:formula1>
          <xm:sqref>MZR393221:MZR393244</xm:sqref>
        </x14:dataValidation>
        <x14:dataValidation type="list" allowBlank="1" showInputMessage="1" showErrorMessage="1" xr:uid="{00000000-0002-0000-0300-00007D190000}">
          <x14:formula1>
            <xm:f>項目!A4:$NJE$393218</xm:f>
          </x14:formula1>
          <xm:sqref>NJN393221:NJN393244</xm:sqref>
        </x14:dataValidation>
        <x14:dataValidation type="list" allowBlank="1" showInputMessage="1" showErrorMessage="1" xr:uid="{00000000-0002-0000-0300-00007E190000}">
          <x14:formula1>
            <xm:f>項目!A4:$NTA$393218</xm:f>
          </x14:formula1>
          <xm:sqref>NTJ393221:NTJ393244</xm:sqref>
        </x14:dataValidation>
        <x14:dataValidation type="list" allowBlank="1" showInputMessage="1" showErrorMessage="1" xr:uid="{00000000-0002-0000-0300-00007F190000}">
          <x14:formula1>
            <xm:f>項目!A4:$OCW$393218</xm:f>
          </x14:formula1>
          <xm:sqref>ODF393221:ODF393244</xm:sqref>
        </x14:dataValidation>
        <x14:dataValidation type="list" allowBlank="1" showInputMessage="1" showErrorMessage="1" xr:uid="{00000000-0002-0000-0300-000080190000}">
          <x14:formula1>
            <xm:f>項目!A4:$OMS$393218</xm:f>
          </x14:formula1>
          <xm:sqref>ONB393221:ONB393244</xm:sqref>
        </x14:dataValidation>
        <x14:dataValidation type="list" allowBlank="1" showInputMessage="1" showErrorMessage="1" xr:uid="{00000000-0002-0000-0300-000081190000}">
          <x14:formula1>
            <xm:f>項目!A4:$OWO$393218</xm:f>
          </x14:formula1>
          <xm:sqref>OWX393221:OWX393244</xm:sqref>
        </x14:dataValidation>
        <x14:dataValidation type="list" allowBlank="1" showInputMessage="1" showErrorMessage="1" xr:uid="{00000000-0002-0000-0300-000082190000}">
          <x14:formula1>
            <xm:f>項目!A4:$PGK$393218</xm:f>
          </x14:formula1>
          <xm:sqref>PGT393221:PGT393244</xm:sqref>
        </x14:dataValidation>
        <x14:dataValidation type="list" allowBlank="1" showInputMessage="1" showErrorMessage="1" xr:uid="{00000000-0002-0000-0300-000083190000}">
          <x14:formula1>
            <xm:f>項目!A4:$PQG$393218</xm:f>
          </x14:formula1>
          <xm:sqref>PQP393221:PQP393244</xm:sqref>
        </x14:dataValidation>
        <x14:dataValidation type="list" allowBlank="1" showInputMessage="1" showErrorMessage="1" xr:uid="{00000000-0002-0000-0300-000084190000}">
          <x14:formula1>
            <xm:f>項目!A4:$QAC$393218</xm:f>
          </x14:formula1>
          <xm:sqref>QAL393221:QAL393244</xm:sqref>
        </x14:dataValidation>
        <x14:dataValidation type="list" allowBlank="1" showInputMessage="1" showErrorMessage="1" xr:uid="{00000000-0002-0000-0300-000085190000}">
          <x14:formula1>
            <xm:f>項目!A4:$QJY$393218</xm:f>
          </x14:formula1>
          <xm:sqref>QKH393221:QKH393244</xm:sqref>
        </x14:dataValidation>
        <x14:dataValidation type="list" allowBlank="1" showInputMessage="1" showErrorMessage="1" xr:uid="{00000000-0002-0000-0300-000086190000}">
          <x14:formula1>
            <xm:f>項目!A4:$QTU$393218</xm:f>
          </x14:formula1>
          <xm:sqref>QUD393221:QUD393244</xm:sqref>
        </x14:dataValidation>
        <x14:dataValidation type="list" allowBlank="1" showInputMessage="1" showErrorMessage="1" xr:uid="{00000000-0002-0000-0300-000087190000}">
          <x14:formula1>
            <xm:f>項目!A4:$RDQ$393218</xm:f>
          </x14:formula1>
          <xm:sqref>RDZ393221:RDZ393244</xm:sqref>
        </x14:dataValidation>
        <x14:dataValidation type="list" allowBlank="1" showInputMessage="1" showErrorMessage="1" xr:uid="{00000000-0002-0000-0300-000088190000}">
          <x14:formula1>
            <xm:f>項目!A4:$RNM$393218</xm:f>
          </x14:formula1>
          <xm:sqref>RNV393221:RNV393244</xm:sqref>
        </x14:dataValidation>
        <x14:dataValidation type="list" allowBlank="1" showInputMessage="1" showErrorMessage="1" xr:uid="{00000000-0002-0000-0300-000089190000}">
          <x14:formula1>
            <xm:f>項目!A4:$RXI$393218</xm:f>
          </x14:formula1>
          <xm:sqref>RXR393221:RXR393244</xm:sqref>
        </x14:dataValidation>
        <x14:dataValidation type="list" allowBlank="1" showInputMessage="1" showErrorMessage="1" xr:uid="{00000000-0002-0000-0300-00008A190000}">
          <x14:formula1>
            <xm:f>項目!A4:$SHE$393218</xm:f>
          </x14:formula1>
          <xm:sqref>SHN393221:SHN393244</xm:sqref>
        </x14:dataValidation>
        <x14:dataValidation type="list" allowBlank="1" showInputMessage="1" showErrorMessage="1" xr:uid="{00000000-0002-0000-0300-00008B190000}">
          <x14:formula1>
            <xm:f>項目!A4:$SRA$393218</xm:f>
          </x14:formula1>
          <xm:sqref>SRJ393221:SRJ393244</xm:sqref>
        </x14:dataValidation>
        <x14:dataValidation type="list" allowBlank="1" showInputMessage="1" showErrorMessage="1" xr:uid="{00000000-0002-0000-0300-00008C190000}">
          <x14:formula1>
            <xm:f>項目!A4:$TAW$393218</xm:f>
          </x14:formula1>
          <xm:sqref>TBF393221:TBF393244</xm:sqref>
        </x14:dataValidation>
        <x14:dataValidation type="list" allowBlank="1" showInputMessage="1" showErrorMessage="1" xr:uid="{00000000-0002-0000-0300-00008D190000}">
          <x14:formula1>
            <xm:f>項目!A4:$TKS$393218</xm:f>
          </x14:formula1>
          <xm:sqref>TLB393221:TLB393244</xm:sqref>
        </x14:dataValidation>
        <x14:dataValidation type="list" allowBlank="1" showInputMessage="1" showErrorMessage="1" xr:uid="{00000000-0002-0000-0300-00008E190000}">
          <x14:formula1>
            <xm:f>項目!A4:$TUO$393218</xm:f>
          </x14:formula1>
          <xm:sqref>TUX393221:TUX393244</xm:sqref>
        </x14:dataValidation>
        <x14:dataValidation type="list" allowBlank="1" showInputMessage="1" showErrorMessage="1" xr:uid="{00000000-0002-0000-0300-00008F190000}">
          <x14:formula1>
            <xm:f>項目!A4:$UEK$393218</xm:f>
          </x14:formula1>
          <xm:sqref>UET393221:UET393244</xm:sqref>
        </x14:dataValidation>
        <x14:dataValidation type="list" allowBlank="1" showInputMessage="1" showErrorMessage="1" xr:uid="{00000000-0002-0000-0300-000090190000}">
          <x14:formula1>
            <xm:f>項目!A4:$UOG$393218</xm:f>
          </x14:formula1>
          <xm:sqref>UOP393221:UOP393244</xm:sqref>
        </x14:dataValidation>
        <x14:dataValidation type="list" allowBlank="1" showInputMessage="1" showErrorMessage="1" xr:uid="{00000000-0002-0000-0300-000091190000}">
          <x14:formula1>
            <xm:f>項目!A4:$UYC$393218</xm:f>
          </x14:formula1>
          <xm:sqref>UYL393221:UYL393244</xm:sqref>
        </x14:dataValidation>
        <x14:dataValidation type="list" allowBlank="1" showInputMessage="1" showErrorMessage="1" xr:uid="{00000000-0002-0000-0300-000092190000}">
          <x14:formula1>
            <xm:f>項目!A4:$VHY$393218</xm:f>
          </x14:formula1>
          <xm:sqref>VIH393221:VIH393244</xm:sqref>
        </x14:dataValidation>
        <x14:dataValidation type="list" allowBlank="1" showInputMessage="1" showErrorMessage="1" xr:uid="{00000000-0002-0000-0300-000093190000}">
          <x14:formula1>
            <xm:f>項目!A4:$VRU$393218</xm:f>
          </x14:formula1>
          <xm:sqref>VSD393221:VSD393244</xm:sqref>
        </x14:dataValidation>
        <x14:dataValidation type="list" allowBlank="1" showInputMessage="1" showErrorMessage="1" xr:uid="{00000000-0002-0000-0300-000094190000}">
          <x14:formula1>
            <xm:f>項目!A4:$WBQ$393218</xm:f>
          </x14:formula1>
          <xm:sqref>WBZ393221:WBZ393244</xm:sqref>
        </x14:dataValidation>
        <x14:dataValidation type="list" allowBlank="1" showInputMessage="1" showErrorMessage="1" xr:uid="{00000000-0002-0000-0300-000095190000}">
          <x14:formula1>
            <xm:f>項目!A4:$WLM$393218</xm:f>
          </x14:formula1>
          <xm:sqref>WLV393221:WLV393244</xm:sqref>
        </x14:dataValidation>
        <x14:dataValidation type="list" allowBlank="1" showInputMessage="1" showErrorMessage="1" xr:uid="{00000000-0002-0000-0300-000096190000}">
          <x14:formula1>
            <xm:f>項目!A4:$WVI$393218</xm:f>
          </x14:formula1>
          <xm:sqref>WVR393221:WVR393244</xm:sqref>
        </x14:dataValidation>
        <x14:dataValidation type="list" allowBlank="1" showInputMessage="1" showErrorMessage="1" xr:uid="{00000000-0002-0000-0300-000097190000}">
          <x14:formula1>
            <xm:f>項目!A4:$IW$458754</xm:f>
          </x14:formula1>
          <xm:sqref>JF458757:JF458780</xm:sqref>
        </x14:dataValidation>
        <x14:dataValidation type="list" allowBlank="1" showInputMessage="1" showErrorMessage="1" xr:uid="{00000000-0002-0000-0300-000098190000}">
          <x14:formula1>
            <xm:f>項目!A4:$SS$458754</xm:f>
          </x14:formula1>
          <xm:sqref>TB458757:TB458780</xm:sqref>
        </x14:dataValidation>
        <x14:dataValidation type="list" allowBlank="1" showInputMessage="1" showErrorMessage="1" xr:uid="{00000000-0002-0000-0300-000099190000}">
          <x14:formula1>
            <xm:f>項目!A4:$ACO$458754</xm:f>
          </x14:formula1>
          <xm:sqref>ACX458757:ACX458780</xm:sqref>
        </x14:dataValidation>
        <x14:dataValidation type="list" allowBlank="1" showInputMessage="1" showErrorMessage="1" xr:uid="{00000000-0002-0000-0300-00009A190000}">
          <x14:formula1>
            <xm:f>項目!A4:$AMK$458754</xm:f>
          </x14:formula1>
          <xm:sqref>AMT458757:AMT458780</xm:sqref>
        </x14:dataValidation>
        <x14:dataValidation type="list" allowBlank="1" showInputMessage="1" showErrorMessage="1" xr:uid="{00000000-0002-0000-0300-00009B190000}">
          <x14:formula1>
            <xm:f>項目!A4:$AWG$458754</xm:f>
          </x14:formula1>
          <xm:sqref>AWP458757:AWP458780</xm:sqref>
        </x14:dataValidation>
        <x14:dataValidation type="list" allowBlank="1" showInputMessage="1" showErrorMessage="1" xr:uid="{00000000-0002-0000-0300-00009C190000}">
          <x14:formula1>
            <xm:f>項目!A4:$BGC$458754</xm:f>
          </x14:formula1>
          <xm:sqref>BGL458757:BGL458780</xm:sqref>
        </x14:dataValidation>
        <x14:dataValidation type="list" allowBlank="1" showInputMessage="1" showErrorMessage="1" xr:uid="{00000000-0002-0000-0300-00009D190000}">
          <x14:formula1>
            <xm:f>項目!A4:$BPY$458754</xm:f>
          </x14:formula1>
          <xm:sqref>BQH458757:BQH458780</xm:sqref>
        </x14:dataValidation>
        <x14:dataValidation type="list" allowBlank="1" showInputMessage="1" showErrorMessage="1" xr:uid="{00000000-0002-0000-0300-00009E190000}">
          <x14:formula1>
            <xm:f>項目!A4:$BZU$458754</xm:f>
          </x14:formula1>
          <xm:sqref>CAD458757:CAD458780</xm:sqref>
        </x14:dataValidation>
        <x14:dataValidation type="list" allowBlank="1" showInputMessage="1" showErrorMessage="1" xr:uid="{00000000-0002-0000-0300-00009F190000}">
          <x14:formula1>
            <xm:f>項目!A4:$CJQ$458754</xm:f>
          </x14:formula1>
          <xm:sqref>CJZ458757:CJZ458780</xm:sqref>
        </x14:dataValidation>
        <x14:dataValidation type="list" allowBlank="1" showInputMessage="1" showErrorMessage="1" xr:uid="{00000000-0002-0000-0300-0000A0190000}">
          <x14:formula1>
            <xm:f>項目!A4:$CTM$458754</xm:f>
          </x14:formula1>
          <xm:sqref>CTV458757:CTV458780</xm:sqref>
        </x14:dataValidation>
        <x14:dataValidation type="list" allowBlank="1" showInputMessage="1" showErrorMessage="1" xr:uid="{00000000-0002-0000-0300-0000A1190000}">
          <x14:formula1>
            <xm:f>項目!A4:$DDI$458754</xm:f>
          </x14:formula1>
          <xm:sqref>DDR458757:DDR458780</xm:sqref>
        </x14:dataValidation>
        <x14:dataValidation type="list" allowBlank="1" showInputMessage="1" showErrorMessage="1" xr:uid="{00000000-0002-0000-0300-0000A2190000}">
          <x14:formula1>
            <xm:f>項目!A4:$DNE$458754</xm:f>
          </x14:formula1>
          <xm:sqref>DNN458757:DNN458780</xm:sqref>
        </x14:dataValidation>
        <x14:dataValidation type="list" allowBlank="1" showInputMessage="1" showErrorMessage="1" xr:uid="{00000000-0002-0000-0300-0000A3190000}">
          <x14:formula1>
            <xm:f>項目!A4:$DXA$458754</xm:f>
          </x14:formula1>
          <xm:sqref>DXJ458757:DXJ458780</xm:sqref>
        </x14:dataValidation>
        <x14:dataValidation type="list" allowBlank="1" showInputMessage="1" showErrorMessage="1" xr:uid="{00000000-0002-0000-0300-0000A4190000}">
          <x14:formula1>
            <xm:f>項目!A4:$EGW$458754</xm:f>
          </x14:formula1>
          <xm:sqref>EHF458757:EHF458780</xm:sqref>
        </x14:dataValidation>
        <x14:dataValidation type="list" allowBlank="1" showInputMessage="1" showErrorMessage="1" xr:uid="{00000000-0002-0000-0300-0000A5190000}">
          <x14:formula1>
            <xm:f>項目!A4:$EQS$458754</xm:f>
          </x14:formula1>
          <xm:sqref>ERB458757:ERB458780</xm:sqref>
        </x14:dataValidation>
        <x14:dataValidation type="list" allowBlank="1" showInputMessage="1" showErrorMessage="1" xr:uid="{00000000-0002-0000-0300-0000A6190000}">
          <x14:formula1>
            <xm:f>項目!A4:$FAO$458754</xm:f>
          </x14:formula1>
          <xm:sqref>FAX458757:FAX458780</xm:sqref>
        </x14:dataValidation>
        <x14:dataValidation type="list" allowBlank="1" showInputMessage="1" showErrorMessage="1" xr:uid="{00000000-0002-0000-0300-0000A7190000}">
          <x14:formula1>
            <xm:f>項目!A4:$FKK$458754</xm:f>
          </x14:formula1>
          <xm:sqref>FKT458757:FKT458780</xm:sqref>
        </x14:dataValidation>
        <x14:dataValidation type="list" allowBlank="1" showInputMessage="1" showErrorMessage="1" xr:uid="{00000000-0002-0000-0300-0000A8190000}">
          <x14:formula1>
            <xm:f>項目!A4:$FUG$458754</xm:f>
          </x14:formula1>
          <xm:sqref>FUP458757:FUP458780</xm:sqref>
        </x14:dataValidation>
        <x14:dataValidation type="list" allowBlank="1" showInputMessage="1" showErrorMessage="1" xr:uid="{00000000-0002-0000-0300-0000A9190000}">
          <x14:formula1>
            <xm:f>項目!A4:$GEC$458754</xm:f>
          </x14:formula1>
          <xm:sqref>GEL458757:GEL458780</xm:sqref>
        </x14:dataValidation>
        <x14:dataValidation type="list" allowBlank="1" showInputMessage="1" showErrorMessage="1" xr:uid="{00000000-0002-0000-0300-0000AA190000}">
          <x14:formula1>
            <xm:f>項目!A4:$GNY$458754</xm:f>
          </x14:formula1>
          <xm:sqref>GOH458757:GOH458780</xm:sqref>
        </x14:dataValidation>
        <x14:dataValidation type="list" allowBlank="1" showInputMessage="1" showErrorMessage="1" xr:uid="{00000000-0002-0000-0300-0000AB190000}">
          <x14:formula1>
            <xm:f>項目!A4:$GXU$458754</xm:f>
          </x14:formula1>
          <xm:sqref>GYD458757:GYD458780</xm:sqref>
        </x14:dataValidation>
        <x14:dataValidation type="list" allowBlank="1" showInputMessage="1" showErrorMessage="1" xr:uid="{00000000-0002-0000-0300-0000AC190000}">
          <x14:formula1>
            <xm:f>項目!A4:$HHQ$458754</xm:f>
          </x14:formula1>
          <xm:sqref>HHZ458757:HHZ458780</xm:sqref>
        </x14:dataValidation>
        <x14:dataValidation type="list" allowBlank="1" showInputMessage="1" showErrorMessage="1" xr:uid="{00000000-0002-0000-0300-0000AD190000}">
          <x14:formula1>
            <xm:f>項目!A4:$HRM$458754</xm:f>
          </x14:formula1>
          <xm:sqref>HRV458757:HRV458780</xm:sqref>
        </x14:dataValidation>
        <x14:dataValidation type="list" allowBlank="1" showInputMessage="1" showErrorMessage="1" xr:uid="{00000000-0002-0000-0300-0000AE190000}">
          <x14:formula1>
            <xm:f>項目!A4:$IBI$458754</xm:f>
          </x14:formula1>
          <xm:sqref>IBR458757:IBR458780</xm:sqref>
        </x14:dataValidation>
        <x14:dataValidation type="list" allowBlank="1" showInputMessage="1" showErrorMessage="1" xr:uid="{00000000-0002-0000-0300-0000AF190000}">
          <x14:formula1>
            <xm:f>項目!A4:$ILE$458754</xm:f>
          </x14:formula1>
          <xm:sqref>ILN458757:ILN458780</xm:sqref>
        </x14:dataValidation>
        <x14:dataValidation type="list" allowBlank="1" showInputMessage="1" showErrorMessage="1" xr:uid="{00000000-0002-0000-0300-0000B0190000}">
          <x14:formula1>
            <xm:f>項目!A4:$IVA$458754</xm:f>
          </x14:formula1>
          <xm:sqref>IVJ458757:IVJ458780</xm:sqref>
        </x14:dataValidation>
        <x14:dataValidation type="list" allowBlank="1" showInputMessage="1" showErrorMessage="1" xr:uid="{00000000-0002-0000-0300-0000B1190000}">
          <x14:formula1>
            <xm:f>項目!A4:$JEW$458754</xm:f>
          </x14:formula1>
          <xm:sqref>JFF458757:JFF458780</xm:sqref>
        </x14:dataValidation>
        <x14:dataValidation type="list" allowBlank="1" showInputMessage="1" showErrorMessage="1" xr:uid="{00000000-0002-0000-0300-0000B2190000}">
          <x14:formula1>
            <xm:f>項目!A4:$JOS$458754</xm:f>
          </x14:formula1>
          <xm:sqref>JPB458757:JPB458780</xm:sqref>
        </x14:dataValidation>
        <x14:dataValidation type="list" allowBlank="1" showInputMessage="1" showErrorMessage="1" xr:uid="{00000000-0002-0000-0300-0000B3190000}">
          <x14:formula1>
            <xm:f>項目!A4:$JYO$458754</xm:f>
          </x14:formula1>
          <xm:sqref>JYX458757:JYX458780</xm:sqref>
        </x14:dataValidation>
        <x14:dataValidation type="list" allowBlank="1" showInputMessage="1" showErrorMessage="1" xr:uid="{00000000-0002-0000-0300-0000B4190000}">
          <x14:formula1>
            <xm:f>項目!A4:$KIK$458754</xm:f>
          </x14:formula1>
          <xm:sqref>KIT458757:KIT458780</xm:sqref>
        </x14:dataValidation>
        <x14:dataValidation type="list" allowBlank="1" showInputMessage="1" showErrorMessage="1" xr:uid="{00000000-0002-0000-0300-0000B5190000}">
          <x14:formula1>
            <xm:f>項目!A4:$KSG$458754</xm:f>
          </x14:formula1>
          <xm:sqref>KSP458757:KSP458780</xm:sqref>
        </x14:dataValidation>
        <x14:dataValidation type="list" allowBlank="1" showInputMessage="1" showErrorMessage="1" xr:uid="{00000000-0002-0000-0300-0000B6190000}">
          <x14:formula1>
            <xm:f>項目!A4:$LCC$458754</xm:f>
          </x14:formula1>
          <xm:sqref>LCL458757:LCL458780</xm:sqref>
        </x14:dataValidation>
        <x14:dataValidation type="list" allowBlank="1" showInputMessage="1" showErrorMessage="1" xr:uid="{00000000-0002-0000-0300-0000B7190000}">
          <x14:formula1>
            <xm:f>項目!A4:$LLY$458754</xm:f>
          </x14:formula1>
          <xm:sqref>LMH458757:LMH458780</xm:sqref>
        </x14:dataValidation>
        <x14:dataValidation type="list" allowBlank="1" showInputMessage="1" showErrorMessage="1" xr:uid="{00000000-0002-0000-0300-0000B8190000}">
          <x14:formula1>
            <xm:f>項目!A4:$LVU$458754</xm:f>
          </x14:formula1>
          <xm:sqref>LWD458757:LWD458780</xm:sqref>
        </x14:dataValidation>
        <x14:dataValidation type="list" allowBlank="1" showInputMessage="1" showErrorMessage="1" xr:uid="{00000000-0002-0000-0300-0000B9190000}">
          <x14:formula1>
            <xm:f>項目!A4:$MFQ$458754</xm:f>
          </x14:formula1>
          <xm:sqref>MFZ458757:MFZ458780</xm:sqref>
        </x14:dataValidation>
        <x14:dataValidation type="list" allowBlank="1" showInputMessage="1" showErrorMessage="1" xr:uid="{00000000-0002-0000-0300-0000BA190000}">
          <x14:formula1>
            <xm:f>項目!A4:$MPM$458754</xm:f>
          </x14:formula1>
          <xm:sqref>MPV458757:MPV458780</xm:sqref>
        </x14:dataValidation>
        <x14:dataValidation type="list" allowBlank="1" showInputMessage="1" showErrorMessage="1" xr:uid="{00000000-0002-0000-0300-0000BB190000}">
          <x14:formula1>
            <xm:f>項目!A4:$MZI$458754</xm:f>
          </x14:formula1>
          <xm:sqref>MZR458757:MZR458780</xm:sqref>
        </x14:dataValidation>
        <x14:dataValidation type="list" allowBlank="1" showInputMessage="1" showErrorMessage="1" xr:uid="{00000000-0002-0000-0300-0000BC190000}">
          <x14:formula1>
            <xm:f>項目!A4:$NJE$458754</xm:f>
          </x14:formula1>
          <xm:sqref>NJN458757:NJN458780</xm:sqref>
        </x14:dataValidation>
        <x14:dataValidation type="list" allowBlank="1" showInputMessage="1" showErrorMessage="1" xr:uid="{00000000-0002-0000-0300-0000BD190000}">
          <x14:formula1>
            <xm:f>項目!A4:$NTA$458754</xm:f>
          </x14:formula1>
          <xm:sqref>NTJ458757:NTJ458780</xm:sqref>
        </x14:dataValidation>
        <x14:dataValidation type="list" allowBlank="1" showInputMessage="1" showErrorMessage="1" xr:uid="{00000000-0002-0000-0300-0000BE190000}">
          <x14:formula1>
            <xm:f>項目!A4:$OCW$458754</xm:f>
          </x14:formula1>
          <xm:sqref>ODF458757:ODF458780</xm:sqref>
        </x14:dataValidation>
        <x14:dataValidation type="list" allowBlank="1" showInputMessage="1" showErrorMessage="1" xr:uid="{00000000-0002-0000-0300-0000BF190000}">
          <x14:formula1>
            <xm:f>項目!A4:$OMS$458754</xm:f>
          </x14:formula1>
          <xm:sqref>ONB458757:ONB458780</xm:sqref>
        </x14:dataValidation>
        <x14:dataValidation type="list" allowBlank="1" showInputMessage="1" showErrorMessage="1" xr:uid="{00000000-0002-0000-0300-0000C0190000}">
          <x14:formula1>
            <xm:f>項目!A4:$OWO$458754</xm:f>
          </x14:formula1>
          <xm:sqref>OWX458757:OWX458780</xm:sqref>
        </x14:dataValidation>
        <x14:dataValidation type="list" allowBlank="1" showInputMessage="1" showErrorMessage="1" xr:uid="{00000000-0002-0000-0300-0000C1190000}">
          <x14:formula1>
            <xm:f>項目!A4:$PGK$458754</xm:f>
          </x14:formula1>
          <xm:sqref>PGT458757:PGT458780</xm:sqref>
        </x14:dataValidation>
        <x14:dataValidation type="list" allowBlank="1" showInputMessage="1" showErrorMessage="1" xr:uid="{00000000-0002-0000-0300-0000C2190000}">
          <x14:formula1>
            <xm:f>項目!A4:$PQG$458754</xm:f>
          </x14:formula1>
          <xm:sqref>PQP458757:PQP458780</xm:sqref>
        </x14:dataValidation>
        <x14:dataValidation type="list" allowBlank="1" showInputMessage="1" showErrorMessage="1" xr:uid="{00000000-0002-0000-0300-0000C3190000}">
          <x14:formula1>
            <xm:f>項目!A4:$QAC$458754</xm:f>
          </x14:formula1>
          <xm:sqref>QAL458757:QAL458780</xm:sqref>
        </x14:dataValidation>
        <x14:dataValidation type="list" allowBlank="1" showInputMessage="1" showErrorMessage="1" xr:uid="{00000000-0002-0000-0300-0000C4190000}">
          <x14:formula1>
            <xm:f>項目!A4:$QJY$458754</xm:f>
          </x14:formula1>
          <xm:sqref>QKH458757:QKH458780</xm:sqref>
        </x14:dataValidation>
        <x14:dataValidation type="list" allowBlank="1" showInputMessage="1" showErrorMessage="1" xr:uid="{00000000-0002-0000-0300-0000C5190000}">
          <x14:formula1>
            <xm:f>項目!A4:$QTU$458754</xm:f>
          </x14:formula1>
          <xm:sqref>QUD458757:QUD458780</xm:sqref>
        </x14:dataValidation>
        <x14:dataValidation type="list" allowBlank="1" showInputMessage="1" showErrorMessage="1" xr:uid="{00000000-0002-0000-0300-0000C6190000}">
          <x14:formula1>
            <xm:f>項目!A4:$RDQ$458754</xm:f>
          </x14:formula1>
          <xm:sqref>RDZ458757:RDZ458780</xm:sqref>
        </x14:dataValidation>
        <x14:dataValidation type="list" allowBlank="1" showInputMessage="1" showErrorMessage="1" xr:uid="{00000000-0002-0000-0300-0000C7190000}">
          <x14:formula1>
            <xm:f>項目!A4:$RNM$458754</xm:f>
          </x14:formula1>
          <xm:sqref>RNV458757:RNV458780</xm:sqref>
        </x14:dataValidation>
        <x14:dataValidation type="list" allowBlank="1" showInputMessage="1" showErrorMessage="1" xr:uid="{00000000-0002-0000-0300-0000C8190000}">
          <x14:formula1>
            <xm:f>項目!A4:$RXI$458754</xm:f>
          </x14:formula1>
          <xm:sqref>RXR458757:RXR458780</xm:sqref>
        </x14:dataValidation>
        <x14:dataValidation type="list" allowBlank="1" showInputMessage="1" showErrorMessage="1" xr:uid="{00000000-0002-0000-0300-0000C9190000}">
          <x14:formula1>
            <xm:f>項目!A4:$SHE$458754</xm:f>
          </x14:formula1>
          <xm:sqref>SHN458757:SHN458780</xm:sqref>
        </x14:dataValidation>
        <x14:dataValidation type="list" allowBlank="1" showInputMessage="1" showErrorMessage="1" xr:uid="{00000000-0002-0000-0300-0000CA190000}">
          <x14:formula1>
            <xm:f>項目!A4:$SRA$458754</xm:f>
          </x14:formula1>
          <xm:sqref>SRJ458757:SRJ458780</xm:sqref>
        </x14:dataValidation>
        <x14:dataValidation type="list" allowBlank="1" showInputMessage="1" showErrorMessage="1" xr:uid="{00000000-0002-0000-0300-0000CB190000}">
          <x14:formula1>
            <xm:f>項目!A4:$TAW$458754</xm:f>
          </x14:formula1>
          <xm:sqref>TBF458757:TBF458780</xm:sqref>
        </x14:dataValidation>
        <x14:dataValidation type="list" allowBlank="1" showInputMessage="1" showErrorMessage="1" xr:uid="{00000000-0002-0000-0300-0000CC190000}">
          <x14:formula1>
            <xm:f>項目!A4:$TKS$458754</xm:f>
          </x14:formula1>
          <xm:sqref>TLB458757:TLB458780</xm:sqref>
        </x14:dataValidation>
        <x14:dataValidation type="list" allowBlank="1" showInputMessage="1" showErrorMessage="1" xr:uid="{00000000-0002-0000-0300-0000CD190000}">
          <x14:formula1>
            <xm:f>項目!A4:$TUO$458754</xm:f>
          </x14:formula1>
          <xm:sqref>TUX458757:TUX458780</xm:sqref>
        </x14:dataValidation>
        <x14:dataValidation type="list" allowBlank="1" showInputMessage="1" showErrorMessage="1" xr:uid="{00000000-0002-0000-0300-0000CE190000}">
          <x14:formula1>
            <xm:f>項目!A4:$UEK$458754</xm:f>
          </x14:formula1>
          <xm:sqref>UET458757:UET458780</xm:sqref>
        </x14:dataValidation>
        <x14:dataValidation type="list" allowBlank="1" showInputMessage="1" showErrorMessage="1" xr:uid="{00000000-0002-0000-0300-0000CF190000}">
          <x14:formula1>
            <xm:f>項目!A4:$UOG$458754</xm:f>
          </x14:formula1>
          <xm:sqref>UOP458757:UOP458780</xm:sqref>
        </x14:dataValidation>
        <x14:dataValidation type="list" allowBlank="1" showInputMessage="1" showErrorMessage="1" xr:uid="{00000000-0002-0000-0300-0000D0190000}">
          <x14:formula1>
            <xm:f>項目!A4:$UYC$458754</xm:f>
          </x14:formula1>
          <xm:sqref>UYL458757:UYL458780</xm:sqref>
        </x14:dataValidation>
        <x14:dataValidation type="list" allowBlank="1" showInputMessage="1" showErrorMessage="1" xr:uid="{00000000-0002-0000-0300-0000D1190000}">
          <x14:formula1>
            <xm:f>項目!A4:$VHY$458754</xm:f>
          </x14:formula1>
          <xm:sqref>VIH458757:VIH458780</xm:sqref>
        </x14:dataValidation>
        <x14:dataValidation type="list" allowBlank="1" showInputMessage="1" showErrorMessage="1" xr:uid="{00000000-0002-0000-0300-0000D2190000}">
          <x14:formula1>
            <xm:f>項目!A4:$VRU$458754</xm:f>
          </x14:formula1>
          <xm:sqref>VSD458757:VSD458780</xm:sqref>
        </x14:dataValidation>
        <x14:dataValidation type="list" allowBlank="1" showInputMessage="1" showErrorMessage="1" xr:uid="{00000000-0002-0000-0300-0000D3190000}">
          <x14:formula1>
            <xm:f>項目!A4:$WBQ$458754</xm:f>
          </x14:formula1>
          <xm:sqref>WBZ458757:WBZ458780</xm:sqref>
        </x14:dataValidation>
        <x14:dataValidation type="list" allowBlank="1" showInputMessage="1" showErrorMessage="1" xr:uid="{00000000-0002-0000-0300-0000D4190000}">
          <x14:formula1>
            <xm:f>項目!A4:$WLM$458754</xm:f>
          </x14:formula1>
          <xm:sqref>WLV458757:WLV458780</xm:sqref>
        </x14:dataValidation>
        <x14:dataValidation type="list" allowBlank="1" showInputMessage="1" showErrorMessage="1" xr:uid="{00000000-0002-0000-0300-0000D5190000}">
          <x14:formula1>
            <xm:f>項目!A4:$WVI$458754</xm:f>
          </x14:formula1>
          <xm:sqref>WVR458757:WVR458780</xm:sqref>
        </x14:dataValidation>
        <x14:dataValidation type="list" allowBlank="1" showInputMessage="1" showErrorMessage="1" xr:uid="{00000000-0002-0000-0300-0000D6190000}">
          <x14:formula1>
            <xm:f>項目!A4:$IW$524290</xm:f>
          </x14:formula1>
          <xm:sqref>JF524293:JF524316</xm:sqref>
        </x14:dataValidation>
        <x14:dataValidation type="list" allowBlank="1" showInputMessage="1" showErrorMessage="1" xr:uid="{00000000-0002-0000-0300-0000D7190000}">
          <x14:formula1>
            <xm:f>項目!A4:$SS$524290</xm:f>
          </x14:formula1>
          <xm:sqref>TB524293:TB524316</xm:sqref>
        </x14:dataValidation>
        <x14:dataValidation type="list" allowBlank="1" showInputMessage="1" showErrorMessage="1" xr:uid="{00000000-0002-0000-0300-0000D8190000}">
          <x14:formula1>
            <xm:f>項目!A4:$ACO$524290</xm:f>
          </x14:formula1>
          <xm:sqref>ACX524293:ACX524316</xm:sqref>
        </x14:dataValidation>
        <x14:dataValidation type="list" allowBlank="1" showInputMessage="1" showErrorMessage="1" xr:uid="{00000000-0002-0000-0300-0000D9190000}">
          <x14:formula1>
            <xm:f>項目!A4:$AMK$524290</xm:f>
          </x14:formula1>
          <xm:sqref>AMT524293:AMT524316</xm:sqref>
        </x14:dataValidation>
        <x14:dataValidation type="list" allowBlank="1" showInputMessage="1" showErrorMessage="1" xr:uid="{00000000-0002-0000-0300-0000DA190000}">
          <x14:formula1>
            <xm:f>項目!A4:$AWG$524290</xm:f>
          </x14:formula1>
          <xm:sqref>AWP524293:AWP524316</xm:sqref>
        </x14:dataValidation>
        <x14:dataValidation type="list" allowBlank="1" showInputMessage="1" showErrorMessage="1" xr:uid="{00000000-0002-0000-0300-0000DB190000}">
          <x14:formula1>
            <xm:f>項目!A4:$BGC$524290</xm:f>
          </x14:formula1>
          <xm:sqref>BGL524293:BGL524316</xm:sqref>
        </x14:dataValidation>
        <x14:dataValidation type="list" allowBlank="1" showInputMessage="1" showErrorMessage="1" xr:uid="{00000000-0002-0000-0300-0000DC190000}">
          <x14:formula1>
            <xm:f>項目!A4:$BPY$524290</xm:f>
          </x14:formula1>
          <xm:sqref>BQH524293:BQH524316</xm:sqref>
        </x14:dataValidation>
        <x14:dataValidation type="list" allowBlank="1" showInputMessage="1" showErrorMessage="1" xr:uid="{00000000-0002-0000-0300-0000DD190000}">
          <x14:formula1>
            <xm:f>項目!A4:$BZU$524290</xm:f>
          </x14:formula1>
          <xm:sqref>CAD524293:CAD524316</xm:sqref>
        </x14:dataValidation>
        <x14:dataValidation type="list" allowBlank="1" showInputMessage="1" showErrorMessage="1" xr:uid="{00000000-0002-0000-0300-0000DE190000}">
          <x14:formula1>
            <xm:f>項目!A4:$CJQ$524290</xm:f>
          </x14:formula1>
          <xm:sqref>CJZ524293:CJZ524316</xm:sqref>
        </x14:dataValidation>
        <x14:dataValidation type="list" allowBlank="1" showInputMessage="1" showErrorMessage="1" xr:uid="{00000000-0002-0000-0300-0000DF190000}">
          <x14:formula1>
            <xm:f>項目!A4:$CTM$524290</xm:f>
          </x14:formula1>
          <xm:sqref>CTV524293:CTV524316</xm:sqref>
        </x14:dataValidation>
        <x14:dataValidation type="list" allowBlank="1" showInputMessage="1" showErrorMessage="1" xr:uid="{00000000-0002-0000-0300-0000E0190000}">
          <x14:formula1>
            <xm:f>項目!A4:$DDI$524290</xm:f>
          </x14:formula1>
          <xm:sqref>DDR524293:DDR524316</xm:sqref>
        </x14:dataValidation>
        <x14:dataValidation type="list" allowBlank="1" showInputMessage="1" showErrorMessage="1" xr:uid="{00000000-0002-0000-0300-0000E1190000}">
          <x14:formula1>
            <xm:f>項目!A4:$DNE$524290</xm:f>
          </x14:formula1>
          <xm:sqref>DNN524293:DNN524316</xm:sqref>
        </x14:dataValidation>
        <x14:dataValidation type="list" allowBlank="1" showInputMessage="1" showErrorMessage="1" xr:uid="{00000000-0002-0000-0300-0000E2190000}">
          <x14:formula1>
            <xm:f>項目!A4:$DXA$524290</xm:f>
          </x14:formula1>
          <xm:sqref>DXJ524293:DXJ524316</xm:sqref>
        </x14:dataValidation>
        <x14:dataValidation type="list" allowBlank="1" showInputMessage="1" showErrorMessage="1" xr:uid="{00000000-0002-0000-0300-0000E3190000}">
          <x14:formula1>
            <xm:f>項目!A4:$EGW$524290</xm:f>
          </x14:formula1>
          <xm:sqref>EHF524293:EHF524316</xm:sqref>
        </x14:dataValidation>
        <x14:dataValidation type="list" allowBlank="1" showInputMessage="1" showErrorMessage="1" xr:uid="{00000000-0002-0000-0300-0000E4190000}">
          <x14:formula1>
            <xm:f>項目!A4:$EQS$524290</xm:f>
          </x14:formula1>
          <xm:sqref>ERB524293:ERB524316</xm:sqref>
        </x14:dataValidation>
        <x14:dataValidation type="list" allowBlank="1" showInputMessage="1" showErrorMessage="1" xr:uid="{00000000-0002-0000-0300-0000E5190000}">
          <x14:formula1>
            <xm:f>項目!A4:$FAO$524290</xm:f>
          </x14:formula1>
          <xm:sqref>FAX524293:FAX524316</xm:sqref>
        </x14:dataValidation>
        <x14:dataValidation type="list" allowBlank="1" showInputMessage="1" showErrorMessage="1" xr:uid="{00000000-0002-0000-0300-0000E6190000}">
          <x14:formula1>
            <xm:f>項目!A4:$FKK$524290</xm:f>
          </x14:formula1>
          <xm:sqref>FKT524293:FKT524316</xm:sqref>
        </x14:dataValidation>
        <x14:dataValidation type="list" allowBlank="1" showInputMessage="1" showErrorMessage="1" xr:uid="{00000000-0002-0000-0300-0000E7190000}">
          <x14:formula1>
            <xm:f>項目!A4:$FUG$524290</xm:f>
          </x14:formula1>
          <xm:sqref>FUP524293:FUP524316</xm:sqref>
        </x14:dataValidation>
        <x14:dataValidation type="list" allowBlank="1" showInputMessage="1" showErrorMessage="1" xr:uid="{00000000-0002-0000-0300-0000E8190000}">
          <x14:formula1>
            <xm:f>項目!A4:$GEC$524290</xm:f>
          </x14:formula1>
          <xm:sqref>GEL524293:GEL524316</xm:sqref>
        </x14:dataValidation>
        <x14:dataValidation type="list" allowBlank="1" showInputMessage="1" showErrorMessage="1" xr:uid="{00000000-0002-0000-0300-0000E9190000}">
          <x14:formula1>
            <xm:f>項目!A4:$GNY$524290</xm:f>
          </x14:formula1>
          <xm:sqref>GOH524293:GOH524316</xm:sqref>
        </x14:dataValidation>
        <x14:dataValidation type="list" allowBlank="1" showInputMessage="1" showErrorMessage="1" xr:uid="{00000000-0002-0000-0300-0000EA190000}">
          <x14:formula1>
            <xm:f>項目!A4:$GXU$524290</xm:f>
          </x14:formula1>
          <xm:sqref>GYD524293:GYD524316</xm:sqref>
        </x14:dataValidation>
        <x14:dataValidation type="list" allowBlank="1" showInputMessage="1" showErrorMessage="1" xr:uid="{00000000-0002-0000-0300-0000EB190000}">
          <x14:formula1>
            <xm:f>項目!A4:$HHQ$524290</xm:f>
          </x14:formula1>
          <xm:sqref>HHZ524293:HHZ524316</xm:sqref>
        </x14:dataValidation>
        <x14:dataValidation type="list" allowBlank="1" showInputMessage="1" showErrorMessage="1" xr:uid="{00000000-0002-0000-0300-0000EC190000}">
          <x14:formula1>
            <xm:f>項目!A4:$HRM$524290</xm:f>
          </x14:formula1>
          <xm:sqref>HRV524293:HRV524316</xm:sqref>
        </x14:dataValidation>
        <x14:dataValidation type="list" allowBlank="1" showInputMessage="1" showErrorMessage="1" xr:uid="{00000000-0002-0000-0300-0000ED190000}">
          <x14:formula1>
            <xm:f>項目!A4:$IBI$524290</xm:f>
          </x14:formula1>
          <xm:sqref>IBR524293:IBR524316</xm:sqref>
        </x14:dataValidation>
        <x14:dataValidation type="list" allowBlank="1" showInputMessage="1" showErrorMessage="1" xr:uid="{00000000-0002-0000-0300-0000EE190000}">
          <x14:formula1>
            <xm:f>項目!A4:$ILE$524290</xm:f>
          </x14:formula1>
          <xm:sqref>ILN524293:ILN524316</xm:sqref>
        </x14:dataValidation>
        <x14:dataValidation type="list" allowBlank="1" showInputMessage="1" showErrorMessage="1" xr:uid="{00000000-0002-0000-0300-0000EF190000}">
          <x14:formula1>
            <xm:f>項目!A4:$IVA$524290</xm:f>
          </x14:formula1>
          <xm:sqref>IVJ524293:IVJ524316</xm:sqref>
        </x14:dataValidation>
        <x14:dataValidation type="list" allowBlank="1" showInputMessage="1" showErrorMessage="1" xr:uid="{00000000-0002-0000-0300-0000F0190000}">
          <x14:formula1>
            <xm:f>項目!A4:$JEW$524290</xm:f>
          </x14:formula1>
          <xm:sqref>JFF524293:JFF524316</xm:sqref>
        </x14:dataValidation>
        <x14:dataValidation type="list" allowBlank="1" showInputMessage="1" showErrorMessage="1" xr:uid="{00000000-0002-0000-0300-0000F1190000}">
          <x14:formula1>
            <xm:f>項目!A4:$JOS$524290</xm:f>
          </x14:formula1>
          <xm:sqref>JPB524293:JPB524316</xm:sqref>
        </x14:dataValidation>
        <x14:dataValidation type="list" allowBlank="1" showInputMessage="1" showErrorMessage="1" xr:uid="{00000000-0002-0000-0300-0000F2190000}">
          <x14:formula1>
            <xm:f>項目!A4:$JYO$524290</xm:f>
          </x14:formula1>
          <xm:sqref>JYX524293:JYX524316</xm:sqref>
        </x14:dataValidation>
        <x14:dataValidation type="list" allowBlank="1" showInputMessage="1" showErrorMessage="1" xr:uid="{00000000-0002-0000-0300-0000F3190000}">
          <x14:formula1>
            <xm:f>項目!A4:$KIK$524290</xm:f>
          </x14:formula1>
          <xm:sqref>KIT524293:KIT524316</xm:sqref>
        </x14:dataValidation>
        <x14:dataValidation type="list" allowBlank="1" showInputMessage="1" showErrorMessage="1" xr:uid="{00000000-0002-0000-0300-0000F4190000}">
          <x14:formula1>
            <xm:f>項目!A4:$KSG$524290</xm:f>
          </x14:formula1>
          <xm:sqref>KSP524293:KSP524316</xm:sqref>
        </x14:dataValidation>
        <x14:dataValidation type="list" allowBlank="1" showInputMessage="1" showErrorMessage="1" xr:uid="{00000000-0002-0000-0300-0000F5190000}">
          <x14:formula1>
            <xm:f>項目!A4:$LCC$524290</xm:f>
          </x14:formula1>
          <xm:sqref>LCL524293:LCL524316</xm:sqref>
        </x14:dataValidation>
        <x14:dataValidation type="list" allowBlank="1" showInputMessage="1" showErrorMessage="1" xr:uid="{00000000-0002-0000-0300-0000F6190000}">
          <x14:formula1>
            <xm:f>項目!A4:$LLY$524290</xm:f>
          </x14:formula1>
          <xm:sqref>LMH524293:LMH524316</xm:sqref>
        </x14:dataValidation>
        <x14:dataValidation type="list" allowBlank="1" showInputMessage="1" showErrorMessage="1" xr:uid="{00000000-0002-0000-0300-0000F7190000}">
          <x14:formula1>
            <xm:f>項目!A4:$LVU$524290</xm:f>
          </x14:formula1>
          <xm:sqref>LWD524293:LWD524316</xm:sqref>
        </x14:dataValidation>
        <x14:dataValidation type="list" allowBlank="1" showInputMessage="1" showErrorMessage="1" xr:uid="{00000000-0002-0000-0300-0000F8190000}">
          <x14:formula1>
            <xm:f>項目!A4:$MFQ$524290</xm:f>
          </x14:formula1>
          <xm:sqref>MFZ524293:MFZ524316</xm:sqref>
        </x14:dataValidation>
        <x14:dataValidation type="list" allowBlank="1" showInputMessage="1" showErrorMessage="1" xr:uid="{00000000-0002-0000-0300-0000F9190000}">
          <x14:formula1>
            <xm:f>項目!A4:$MPM$524290</xm:f>
          </x14:formula1>
          <xm:sqref>MPV524293:MPV524316</xm:sqref>
        </x14:dataValidation>
        <x14:dataValidation type="list" allowBlank="1" showInputMessage="1" showErrorMessage="1" xr:uid="{00000000-0002-0000-0300-0000FA190000}">
          <x14:formula1>
            <xm:f>項目!A4:$MZI$524290</xm:f>
          </x14:formula1>
          <xm:sqref>MZR524293:MZR524316</xm:sqref>
        </x14:dataValidation>
        <x14:dataValidation type="list" allowBlank="1" showInputMessage="1" showErrorMessage="1" xr:uid="{00000000-0002-0000-0300-0000FB190000}">
          <x14:formula1>
            <xm:f>項目!A4:$NJE$524290</xm:f>
          </x14:formula1>
          <xm:sqref>NJN524293:NJN524316</xm:sqref>
        </x14:dataValidation>
        <x14:dataValidation type="list" allowBlank="1" showInputMessage="1" showErrorMessage="1" xr:uid="{00000000-0002-0000-0300-0000FC190000}">
          <x14:formula1>
            <xm:f>項目!A4:$NTA$524290</xm:f>
          </x14:formula1>
          <xm:sqref>NTJ524293:NTJ524316</xm:sqref>
        </x14:dataValidation>
        <x14:dataValidation type="list" allowBlank="1" showInputMessage="1" showErrorMessage="1" xr:uid="{00000000-0002-0000-0300-0000FD190000}">
          <x14:formula1>
            <xm:f>項目!A4:$OCW$524290</xm:f>
          </x14:formula1>
          <xm:sqref>ODF524293:ODF524316</xm:sqref>
        </x14:dataValidation>
        <x14:dataValidation type="list" allowBlank="1" showInputMessage="1" showErrorMessage="1" xr:uid="{00000000-0002-0000-0300-0000FE190000}">
          <x14:formula1>
            <xm:f>項目!A4:$OMS$524290</xm:f>
          </x14:formula1>
          <xm:sqref>ONB524293:ONB524316</xm:sqref>
        </x14:dataValidation>
        <x14:dataValidation type="list" allowBlank="1" showInputMessage="1" showErrorMessage="1" xr:uid="{00000000-0002-0000-0300-0000FF190000}">
          <x14:formula1>
            <xm:f>項目!A4:$OWO$524290</xm:f>
          </x14:formula1>
          <xm:sqref>OWX524293:OWX524316</xm:sqref>
        </x14:dataValidation>
        <x14:dataValidation type="list" allowBlank="1" showInputMessage="1" showErrorMessage="1" xr:uid="{00000000-0002-0000-0300-0000001A0000}">
          <x14:formula1>
            <xm:f>項目!A4:$PGK$524290</xm:f>
          </x14:formula1>
          <xm:sqref>PGT524293:PGT524316</xm:sqref>
        </x14:dataValidation>
        <x14:dataValidation type="list" allowBlank="1" showInputMessage="1" showErrorMessage="1" xr:uid="{00000000-0002-0000-0300-0000011A0000}">
          <x14:formula1>
            <xm:f>項目!A4:$PQG$524290</xm:f>
          </x14:formula1>
          <xm:sqref>PQP524293:PQP524316</xm:sqref>
        </x14:dataValidation>
        <x14:dataValidation type="list" allowBlank="1" showInputMessage="1" showErrorMessage="1" xr:uid="{00000000-0002-0000-0300-0000021A0000}">
          <x14:formula1>
            <xm:f>項目!A4:$QAC$524290</xm:f>
          </x14:formula1>
          <xm:sqref>QAL524293:QAL524316</xm:sqref>
        </x14:dataValidation>
        <x14:dataValidation type="list" allowBlank="1" showInputMessage="1" showErrorMessage="1" xr:uid="{00000000-0002-0000-0300-0000031A0000}">
          <x14:formula1>
            <xm:f>項目!A4:$QJY$524290</xm:f>
          </x14:formula1>
          <xm:sqref>QKH524293:QKH524316</xm:sqref>
        </x14:dataValidation>
        <x14:dataValidation type="list" allowBlank="1" showInputMessage="1" showErrorMessage="1" xr:uid="{00000000-0002-0000-0300-0000041A0000}">
          <x14:formula1>
            <xm:f>項目!A4:$QTU$524290</xm:f>
          </x14:formula1>
          <xm:sqref>QUD524293:QUD524316</xm:sqref>
        </x14:dataValidation>
        <x14:dataValidation type="list" allowBlank="1" showInputMessage="1" showErrorMessage="1" xr:uid="{00000000-0002-0000-0300-0000051A0000}">
          <x14:formula1>
            <xm:f>項目!A4:$RDQ$524290</xm:f>
          </x14:formula1>
          <xm:sqref>RDZ524293:RDZ524316</xm:sqref>
        </x14:dataValidation>
        <x14:dataValidation type="list" allowBlank="1" showInputMessage="1" showErrorMessage="1" xr:uid="{00000000-0002-0000-0300-0000061A0000}">
          <x14:formula1>
            <xm:f>項目!A4:$RNM$524290</xm:f>
          </x14:formula1>
          <xm:sqref>RNV524293:RNV524316</xm:sqref>
        </x14:dataValidation>
        <x14:dataValidation type="list" allowBlank="1" showInputMessage="1" showErrorMessage="1" xr:uid="{00000000-0002-0000-0300-0000071A0000}">
          <x14:formula1>
            <xm:f>項目!A4:$RXI$524290</xm:f>
          </x14:formula1>
          <xm:sqref>RXR524293:RXR524316</xm:sqref>
        </x14:dataValidation>
        <x14:dataValidation type="list" allowBlank="1" showInputMessage="1" showErrorMessage="1" xr:uid="{00000000-0002-0000-0300-0000081A0000}">
          <x14:formula1>
            <xm:f>項目!A4:$SHE$524290</xm:f>
          </x14:formula1>
          <xm:sqref>SHN524293:SHN524316</xm:sqref>
        </x14:dataValidation>
        <x14:dataValidation type="list" allowBlank="1" showInputMessage="1" showErrorMessage="1" xr:uid="{00000000-0002-0000-0300-0000091A0000}">
          <x14:formula1>
            <xm:f>項目!A4:$SRA$524290</xm:f>
          </x14:formula1>
          <xm:sqref>SRJ524293:SRJ524316</xm:sqref>
        </x14:dataValidation>
        <x14:dataValidation type="list" allowBlank="1" showInputMessage="1" showErrorMessage="1" xr:uid="{00000000-0002-0000-0300-00000A1A0000}">
          <x14:formula1>
            <xm:f>項目!A4:$TAW$524290</xm:f>
          </x14:formula1>
          <xm:sqref>TBF524293:TBF524316</xm:sqref>
        </x14:dataValidation>
        <x14:dataValidation type="list" allowBlank="1" showInputMessage="1" showErrorMessage="1" xr:uid="{00000000-0002-0000-0300-00000B1A0000}">
          <x14:formula1>
            <xm:f>項目!A4:$TKS$524290</xm:f>
          </x14:formula1>
          <xm:sqref>TLB524293:TLB524316</xm:sqref>
        </x14:dataValidation>
        <x14:dataValidation type="list" allowBlank="1" showInputMessage="1" showErrorMessage="1" xr:uid="{00000000-0002-0000-0300-00000C1A0000}">
          <x14:formula1>
            <xm:f>項目!A4:$TUO$524290</xm:f>
          </x14:formula1>
          <xm:sqref>TUX524293:TUX524316</xm:sqref>
        </x14:dataValidation>
        <x14:dataValidation type="list" allowBlank="1" showInputMessage="1" showErrorMessage="1" xr:uid="{00000000-0002-0000-0300-00000D1A0000}">
          <x14:formula1>
            <xm:f>項目!A4:$UEK$524290</xm:f>
          </x14:formula1>
          <xm:sqref>UET524293:UET524316</xm:sqref>
        </x14:dataValidation>
        <x14:dataValidation type="list" allowBlank="1" showInputMessage="1" showErrorMessage="1" xr:uid="{00000000-0002-0000-0300-00000E1A0000}">
          <x14:formula1>
            <xm:f>項目!A4:$UOG$524290</xm:f>
          </x14:formula1>
          <xm:sqref>UOP524293:UOP524316</xm:sqref>
        </x14:dataValidation>
        <x14:dataValidation type="list" allowBlank="1" showInputMessage="1" showErrorMessage="1" xr:uid="{00000000-0002-0000-0300-00000F1A0000}">
          <x14:formula1>
            <xm:f>項目!A4:$UYC$524290</xm:f>
          </x14:formula1>
          <xm:sqref>UYL524293:UYL524316</xm:sqref>
        </x14:dataValidation>
        <x14:dataValidation type="list" allowBlank="1" showInputMessage="1" showErrorMessage="1" xr:uid="{00000000-0002-0000-0300-0000101A0000}">
          <x14:formula1>
            <xm:f>項目!A4:$VHY$524290</xm:f>
          </x14:formula1>
          <xm:sqref>VIH524293:VIH524316</xm:sqref>
        </x14:dataValidation>
        <x14:dataValidation type="list" allowBlank="1" showInputMessage="1" showErrorMessage="1" xr:uid="{00000000-0002-0000-0300-0000111A0000}">
          <x14:formula1>
            <xm:f>項目!A4:$VRU$524290</xm:f>
          </x14:formula1>
          <xm:sqref>VSD524293:VSD524316</xm:sqref>
        </x14:dataValidation>
        <x14:dataValidation type="list" allowBlank="1" showInputMessage="1" showErrorMessage="1" xr:uid="{00000000-0002-0000-0300-0000121A0000}">
          <x14:formula1>
            <xm:f>項目!A4:$WBQ$524290</xm:f>
          </x14:formula1>
          <xm:sqref>WBZ524293:WBZ524316</xm:sqref>
        </x14:dataValidation>
        <x14:dataValidation type="list" allowBlank="1" showInputMessage="1" showErrorMessage="1" xr:uid="{00000000-0002-0000-0300-0000131A0000}">
          <x14:formula1>
            <xm:f>項目!A4:$WLM$524290</xm:f>
          </x14:formula1>
          <xm:sqref>WLV524293:WLV524316</xm:sqref>
        </x14:dataValidation>
        <x14:dataValidation type="list" allowBlank="1" showInputMessage="1" showErrorMessage="1" xr:uid="{00000000-0002-0000-0300-0000141A0000}">
          <x14:formula1>
            <xm:f>項目!A4:$WVI$524290</xm:f>
          </x14:formula1>
          <xm:sqref>WVR524293:WVR524316</xm:sqref>
        </x14:dataValidation>
        <x14:dataValidation type="list" allowBlank="1" showInputMessage="1" showErrorMessage="1" xr:uid="{00000000-0002-0000-0300-0000151A0000}">
          <x14:formula1>
            <xm:f>項目!A4:$IW$589826</xm:f>
          </x14:formula1>
          <xm:sqref>JF589829:JF589852</xm:sqref>
        </x14:dataValidation>
        <x14:dataValidation type="list" allowBlank="1" showInputMessage="1" showErrorMessage="1" xr:uid="{00000000-0002-0000-0300-0000161A0000}">
          <x14:formula1>
            <xm:f>項目!A4:$SS$589826</xm:f>
          </x14:formula1>
          <xm:sqref>TB589829:TB589852</xm:sqref>
        </x14:dataValidation>
        <x14:dataValidation type="list" allowBlank="1" showInputMessage="1" showErrorMessage="1" xr:uid="{00000000-0002-0000-0300-0000171A0000}">
          <x14:formula1>
            <xm:f>項目!A4:$ACO$589826</xm:f>
          </x14:formula1>
          <xm:sqref>ACX589829:ACX589852</xm:sqref>
        </x14:dataValidation>
        <x14:dataValidation type="list" allowBlank="1" showInputMessage="1" showErrorMessage="1" xr:uid="{00000000-0002-0000-0300-0000181A0000}">
          <x14:formula1>
            <xm:f>項目!A4:$AMK$589826</xm:f>
          </x14:formula1>
          <xm:sqref>AMT589829:AMT589852</xm:sqref>
        </x14:dataValidation>
        <x14:dataValidation type="list" allowBlank="1" showInputMessage="1" showErrorMessage="1" xr:uid="{00000000-0002-0000-0300-0000191A0000}">
          <x14:formula1>
            <xm:f>項目!A4:$AWG$589826</xm:f>
          </x14:formula1>
          <xm:sqref>AWP589829:AWP589852</xm:sqref>
        </x14:dataValidation>
        <x14:dataValidation type="list" allowBlank="1" showInputMessage="1" showErrorMessage="1" xr:uid="{00000000-0002-0000-0300-00001A1A0000}">
          <x14:formula1>
            <xm:f>項目!A4:$BGC$589826</xm:f>
          </x14:formula1>
          <xm:sqref>BGL589829:BGL589852</xm:sqref>
        </x14:dataValidation>
        <x14:dataValidation type="list" allowBlank="1" showInputMessage="1" showErrorMessage="1" xr:uid="{00000000-0002-0000-0300-00001B1A0000}">
          <x14:formula1>
            <xm:f>項目!A4:$BPY$589826</xm:f>
          </x14:formula1>
          <xm:sqref>BQH589829:BQH589852</xm:sqref>
        </x14:dataValidation>
        <x14:dataValidation type="list" allowBlank="1" showInputMessage="1" showErrorMessage="1" xr:uid="{00000000-0002-0000-0300-00001C1A0000}">
          <x14:formula1>
            <xm:f>項目!A4:$BZU$589826</xm:f>
          </x14:formula1>
          <xm:sqref>CAD589829:CAD589852</xm:sqref>
        </x14:dataValidation>
        <x14:dataValidation type="list" allowBlank="1" showInputMessage="1" showErrorMessage="1" xr:uid="{00000000-0002-0000-0300-00001D1A0000}">
          <x14:formula1>
            <xm:f>項目!A4:$CJQ$589826</xm:f>
          </x14:formula1>
          <xm:sqref>CJZ589829:CJZ589852</xm:sqref>
        </x14:dataValidation>
        <x14:dataValidation type="list" allowBlank="1" showInputMessage="1" showErrorMessage="1" xr:uid="{00000000-0002-0000-0300-00001E1A0000}">
          <x14:formula1>
            <xm:f>項目!A4:$CTM$589826</xm:f>
          </x14:formula1>
          <xm:sqref>CTV589829:CTV589852</xm:sqref>
        </x14:dataValidation>
        <x14:dataValidation type="list" allowBlank="1" showInputMessage="1" showErrorMessage="1" xr:uid="{00000000-0002-0000-0300-00001F1A0000}">
          <x14:formula1>
            <xm:f>項目!A4:$DDI$589826</xm:f>
          </x14:formula1>
          <xm:sqref>DDR589829:DDR589852</xm:sqref>
        </x14:dataValidation>
        <x14:dataValidation type="list" allowBlank="1" showInputMessage="1" showErrorMessage="1" xr:uid="{00000000-0002-0000-0300-0000201A0000}">
          <x14:formula1>
            <xm:f>項目!A4:$DNE$589826</xm:f>
          </x14:formula1>
          <xm:sqref>DNN589829:DNN589852</xm:sqref>
        </x14:dataValidation>
        <x14:dataValidation type="list" allowBlank="1" showInputMessage="1" showErrorMessage="1" xr:uid="{00000000-0002-0000-0300-0000211A0000}">
          <x14:formula1>
            <xm:f>項目!A4:$DXA$589826</xm:f>
          </x14:formula1>
          <xm:sqref>DXJ589829:DXJ589852</xm:sqref>
        </x14:dataValidation>
        <x14:dataValidation type="list" allowBlank="1" showInputMessage="1" showErrorMessage="1" xr:uid="{00000000-0002-0000-0300-0000221A0000}">
          <x14:formula1>
            <xm:f>項目!A4:$EGW$589826</xm:f>
          </x14:formula1>
          <xm:sqref>EHF589829:EHF589852</xm:sqref>
        </x14:dataValidation>
        <x14:dataValidation type="list" allowBlank="1" showInputMessage="1" showErrorMessage="1" xr:uid="{00000000-0002-0000-0300-0000231A0000}">
          <x14:formula1>
            <xm:f>項目!A4:$EQS$589826</xm:f>
          </x14:formula1>
          <xm:sqref>ERB589829:ERB589852</xm:sqref>
        </x14:dataValidation>
        <x14:dataValidation type="list" allowBlank="1" showInputMessage="1" showErrorMessage="1" xr:uid="{00000000-0002-0000-0300-0000241A0000}">
          <x14:formula1>
            <xm:f>項目!A4:$FAO$589826</xm:f>
          </x14:formula1>
          <xm:sqref>FAX589829:FAX589852</xm:sqref>
        </x14:dataValidation>
        <x14:dataValidation type="list" allowBlank="1" showInputMessage="1" showErrorMessage="1" xr:uid="{00000000-0002-0000-0300-0000251A0000}">
          <x14:formula1>
            <xm:f>項目!A4:$FKK$589826</xm:f>
          </x14:formula1>
          <xm:sqref>FKT589829:FKT589852</xm:sqref>
        </x14:dataValidation>
        <x14:dataValidation type="list" allowBlank="1" showInputMessage="1" showErrorMessage="1" xr:uid="{00000000-0002-0000-0300-0000261A0000}">
          <x14:formula1>
            <xm:f>項目!A4:$FUG$589826</xm:f>
          </x14:formula1>
          <xm:sqref>FUP589829:FUP589852</xm:sqref>
        </x14:dataValidation>
        <x14:dataValidation type="list" allowBlank="1" showInputMessage="1" showErrorMessage="1" xr:uid="{00000000-0002-0000-0300-0000271A0000}">
          <x14:formula1>
            <xm:f>項目!A4:$GEC$589826</xm:f>
          </x14:formula1>
          <xm:sqref>GEL589829:GEL589852</xm:sqref>
        </x14:dataValidation>
        <x14:dataValidation type="list" allowBlank="1" showInputMessage="1" showErrorMessage="1" xr:uid="{00000000-0002-0000-0300-0000281A0000}">
          <x14:formula1>
            <xm:f>項目!A4:$GNY$589826</xm:f>
          </x14:formula1>
          <xm:sqref>GOH589829:GOH589852</xm:sqref>
        </x14:dataValidation>
        <x14:dataValidation type="list" allowBlank="1" showInputMessage="1" showErrorMessage="1" xr:uid="{00000000-0002-0000-0300-0000291A0000}">
          <x14:formula1>
            <xm:f>項目!A4:$GXU$589826</xm:f>
          </x14:formula1>
          <xm:sqref>GYD589829:GYD589852</xm:sqref>
        </x14:dataValidation>
        <x14:dataValidation type="list" allowBlank="1" showInputMessage="1" showErrorMessage="1" xr:uid="{00000000-0002-0000-0300-00002A1A0000}">
          <x14:formula1>
            <xm:f>項目!A4:$HHQ$589826</xm:f>
          </x14:formula1>
          <xm:sqref>HHZ589829:HHZ589852</xm:sqref>
        </x14:dataValidation>
        <x14:dataValidation type="list" allowBlank="1" showInputMessage="1" showErrorMessage="1" xr:uid="{00000000-0002-0000-0300-00002B1A0000}">
          <x14:formula1>
            <xm:f>項目!A4:$HRM$589826</xm:f>
          </x14:formula1>
          <xm:sqref>HRV589829:HRV589852</xm:sqref>
        </x14:dataValidation>
        <x14:dataValidation type="list" allowBlank="1" showInputMessage="1" showErrorMessage="1" xr:uid="{00000000-0002-0000-0300-00002C1A0000}">
          <x14:formula1>
            <xm:f>項目!A4:$IBI$589826</xm:f>
          </x14:formula1>
          <xm:sqref>IBR589829:IBR589852</xm:sqref>
        </x14:dataValidation>
        <x14:dataValidation type="list" allowBlank="1" showInputMessage="1" showErrorMessage="1" xr:uid="{00000000-0002-0000-0300-00002D1A0000}">
          <x14:formula1>
            <xm:f>項目!A4:$ILE$589826</xm:f>
          </x14:formula1>
          <xm:sqref>ILN589829:ILN589852</xm:sqref>
        </x14:dataValidation>
        <x14:dataValidation type="list" allowBlank="1" showInputMessage="1" showErrorMessage="1" xr:uid="{00000000-0002-0000-0300-00002E1A0000}">
          <x14:formula1>
            <xm:f>項目!A4:$IVA$589826</xm:f>
          </x14:formula1>
          <xm:sqref>IVJ589829:IVJ589852</xm:sqref>
        </x14:dataValidation>
        <x14:dataValidation type="list" allowBlank="1" showInputMessage="1" showErrorMessage="1" xr:uid="{00000000-0002-0000-0300-00002F1A0000}">
          <x14:formula1>
            <xm:f>項目!A4:$JEW$589826</xm:f>
          </x14:formula1>
          <xm:sqref>JFF589829:JFF589852</xm:sqref>
        </x14:dataValidation>
        <x14:dataValidation type="list" allowBlank="1" showInputMessage="1" showErrorMessage="1" xr:uid="{00000000-0002-0000-0300-0000301A0000}">
          <x14:formula1>
            <xm:f>項目!A4:$JOS$589826</xm:f>
          </x14:formula1>
          <xm:sqref>JPB589829:JPB589852</xm:sqref>
        </x14:dataValidation>
        <x14:dataValidation type="list" allowBlank="1" showInputMessage="1" showErrorMessage="1" xr:uid="{00000000-0002-0000-0300-0000311A0000}">
          <x14:formula1>
            <xm:f>項目!A4:$JYO$589826</xm:f>
          </x14:formula1>
          <xm:sqref>JYX589829:JYX589852</xm:sqref>
        </x14:dataValidation>
        <x14:dataValidation type="list" allowBlank="1" showInputMessage="1" showErrorMessage="1" xr:uid="{00000000-0002-0000-0300-0000321A0000}">
          <x14:formula1>
            <xm:f>項目!A4:$KIK$589826</xm:f>
          </x14:formula1>
          <xm:sqref>KIT589829:KIT589852</xm:sqref>
        </x14:dataValidation>
        <x14:dataValidation type="list" allowBlank="1" showInputMessage="1" showErrorMessage="1" xr:uid="{00000000-0002-0000-0300-0000331A0000}">
          <x14:formula1>
            <xm:f>項目!A4:$KSG$589826</xm:f>
          </x14:formula1>
          <xm:sqref>KSP589829:KSP589852</xm:sqref>
        </x14:dataValidation>
        <x14:dataValidation type="list" allowBlank="1" showInputMessage="1" showErrorMessage="1" xr:uid="{00000000-0002-0000-0300-0000341A0000}">
          <x14:formula1>
            <xm:f>項目!A4:$LCC$589826</xm:f>
          </x14:formula1>
          <xm:sqref>LCL589829:LCL589852</xm:sqref>
        </x14:dataValidation>
        <x14:dataValidation type="list" allowBlank="1" showInputMessage="1" showErrorMessage="1" xr:uid="{00000000-0002-0000-0300-0000351A0000}">
          <x14:formula1>
            <xm:f>項目!A4:$LLY$589826</xm:f>
          </x14:formula1>
          <xm:sqref>LMH589829:LMH589852</xm:sqref>
        </x14:dataValidation>
        <x14:dataValidation type="list" allowBlank="1" showInputMessage="1" showErrorMessage="1" xr:uid="{00000000-0002-0000-0300-0000361A0000}">
          <x14:formula1>
            <xm:f>項目!A4:$LVU$589826</xm:f>
          </x14:formula1>
          <xm:sqref>LWD589829:LWD589852</xm:sqref>
        </x14:dataValidation>
        <x14:dataValidation type="list" allowBlank="1" showInputMessage="1" showErrorMessage="1" xr:uid="{00000000-0002-0000-0300-0000371A0000}">
          <x14:formula1>
            <xm:f>項目!A4:$MFQ$589826</xm:f>
          </x14:formula1>
          <xm:sqref>MFZ589829:MFZ589852</xm:sqref>
        </x14:dataValidation>
        <x14:dataValidation type="list" allowBlank="1" showInputMessage="1" showErrorMessage="1" xr:uid="{00000000-0002-0000-0300-0000381A0000}">
          <x14:formula1>
            <xm:f>項目!A4:$MPM$589826</xm:f>
          </x14:formula1>
          <xm:sqref>MPV589829:MPV589852</xm:sqref>
        </x14:dataValidation>
        <x14:dataValidation type="list" allowBlank="1" showInputMessage="1" showErrorMessage="1" xr:uid="{00000000-0002-0000-0300-0000391A0000}">
          <x14:formula1>
            <xm:f>項目!A4:$MZI$589826</xm:f>
          </x14:formula1>
          <xm:sqref>MZR589829:MZR589852</xm:sqref>
        </x14:dataValidation>
        <x14:dataValidation type="list" allowBlank="1" showInputMessage="1" showErrorMessage="1" xr:uid="{00000000-0002-0000-0300-00003A1A0000}">
          <x14:formula1>
            <xm:f>項目!A4:$NJE$589826</xm:f>
          </x14:formula1>
          <xm:sqref>NJN589829:NJN589852</xm:sqref>
        </x14:dataValidation>
        <x14:dataValidation type="list" allowBlank="1" showInputMessage="1" showErrorMessage="1" xr:uid="{00000000-0002-0000-0300-00003B1A0000}">
          <x14:formula1>
            <xm:f>項目!A4:$NTA$589826</xm:f>
          </x14:formula1>
          <xm:sqref>NTJ589829:NTJ589852</xm:sqref>
        </x14:dataValidation>
        <x14:dataValidation type="list" allowBlank="1" showInputMessage="1" showErrorMessage="1" xr:uid="{00000000-0002-0000-0300-00003C1A0000}">
          <x14:formula1>
            <xm:f>項目!A4:$OCW$589826</xm:f>
          </x14:formula1>
          <xm:sqref>ODF589829:ODF589852</xm:sqref>
        </x14:dataValidation>
        <x14:dataValidation type="list" allowBlank="1" showInputMessage="1" showErrorMessage="1" xr:uid="{00000000-0002-0000-0300-00003D1A0000}">
          <x14:formula1>
            <xm:f>項目!A4:$OMS$589826</xm:f>
          </x14:formula1>
          <xm:sqref>ONB589829:ONB589852</xm:sqref>
        </x14:dataValidation>
        <x14:dataValidation type="list" allowBlank="1" showInputMessage="1" showErrorMessage="1" xr:uid="{00000000-0002-0000-0300-00003E1A0000}">
          <x14:formula1>
            <xm:f>項目!A4:$OWO$589826</xm:f>
          </x14:formula1>
          <xm:sqref>OWX589829:OWX589852</xm:sqref>
        </x14:dataValidation>
        <x14:dataValidation type="list" allowBlank="1" showInputMessage="1" showErrorMessage="1" xr:uid="{00000000-0002-0000-0300-00003F1A0000}">
          <x14:formula1>
            <xm:f>項目!A4:$PGK$589826</xm:f>
          </x14:formula1>
          <xm:sqref>PGT589829:PGT589852</xm:sqref>
        </x14:dataValidation>
        <x14:dataValidation type="list" allowBlank="1" showInputMessage="1" showErrorMessage="1" xr:uid="{00000000-0002-0000-0300-0000401A0000}">
          <x14:formula1>
            <xm:f>項目!A4:$PQG$589826</xm:f>
          </x14:formula1>
          <xm:sqref>PQP589829:PQP589852</xm:sqref>
        </x14:dataValidation>
        <x14:dataValidation type="list" allowBlank="1" showInputMessage="1" showErrorMessage="1" xr:uid="{00000000-0002-0000-0300-0000411A0000}">
          <x14:formula1>
            <xm:f>項目!A4:$QAC$589826</xm:f>
          </x14:formula1>
          <xm:sqref>QAL589829:QAL589852</xm:sqref>
        </x14:dataValidation>
        <x14:dataValidation type="list" allowBlank="1" showInputMessage="1" showErrorMessage="1" xr:uid="{00000000-0002-0000-0300-0000421A0000}">
          <x14:formula1>
            <xm:f>項目!A4:$QJY$589826</xm:f>
          </x14:formula1>
          <xm:sqref>QKH589829:QKH589852</xm:sqref>
        </x14:dataValidation>
        <x14:dataValidation type="list" allowBlank="1" showInputMessage="1" showErrorMessage="1" xr:uid="{00000000-0002-0000-0300-0000431A0000}">
          <x14:formula1>
            <xm:f>項目!A4:$QTU$589826</xm:f>
          </x14:formula1>
          <xm:sqref>QUD589829:QUD589852</xm:sqref>
        </x14:dataValidation>
        <x14:dataValidation type="list" allowBlank="1" showInputMessage="1" showErrorMessage="1" xr:uid="{00000000-0002-0000-0300-0000441A0000}">
          <x14:formula1>
            <xm:f>項目!A4:$RDQ$589826</xm:f>
          </x14:formula1>
          <xm:sqref>RDZ589829:RDZ589852</xm:sqref>
        </x14:dataValidation>
        <x14:dataValidation type="list" allowBlank="1" showInputMessage="1" showErrorMessage="1" xr:uid="{00000000-0002-0000-0300-0000451A0000}">
          <x14:formula1>
            <xm:f>項目!A4:$RNM$589826</xm:f>
          </x14:formula1>
          <xm:sqref>RNV589829:RNV589852</xm:sqref>
        </x14:dataValidation>
        <x14:dataValidation type="list" allowBlank="1" showInputMessage="1" showErrorMessage="1" xr:uid="{00000000-0002-0000-0300-0000461A0000}">
          <x14:formula1>
            <xm:f>項目!A4:$RXI$589826</xm:f>
          </x14:formula1>
          <xm:sqref>RXR589829:RXR589852</xm:sqref>
        </x14:dataValidation>
        <x14:dataValidation type="list" allowBlank="1" showInputMessage="1" showErrorMessage="1" xr:uid="{00000000-0002-0000-0300-0000471A0000}">
          <x14:formula1>
            <xm:f>項目!A4:$SHE$589826</xm:f>
          </x14:formula1>
          <xm:sqref>SHN589829:SHN589852</xm:sqref>
        </x14:dataValidation>
        <x14:dataValidation type="list" allowBlank="1" showInputMessage="1" showErrorMessage="1" xr:uid="{00000000-0002-0000-0300-0000481A0000}">
          <x14:formula1>
            <xm:f>項目!A4:$SRA$589826</xm:f>
          </x14:formula1>
          <xm:sqref>SRJ589829:SRJ589852</xm:sqref>
        </x14:dataValidation>
        <x14:dataValidation type="list" allowBlank="1" showInputMessage="1" showErrorMessage="1" xr:uid="{00000000-0002-0000-0300-0000491A0000}">
          <x14:formula1>
            <xm:f>項目!A4:$TAW$589826</xm:f>
          </x14:formula1>
          <xm:sqref>TBF589829:TBF589852</xm:sqref>
        </x14:dataValidation>
        <x14:dataValidation type="list" allowBlank="1" showInputMessage="1" showErrorMessage="1" xr:uid="{00000000-0002-0000-0300-00004A1A0000}">
          <x14:formula1>
            <xm:f>項目!A4:$TKS$589826</xm:f>
          </x14:formula1>
          <xm:sqref>TLB589829:TLB589852</xm:sqref>
        </x14:dataValidation>
        <x14:dataValidation type="list" allowBlank="1" showInputMessage="1" showErrorMessage="1" xr:uid="{00000000-0002-0000-0300-00004B1A0000}">
          <x14:formula1>
            <xm:f>項目!A4:$TUO$589826</xm:f>
          </x14:formula1>
          <xm:sqref>TUX589829:TUX589852</xm:sqref>
        </x14:dataValidation>
        <x14:dataValidation type="list" allowBlank="1" showInputMessage="1" showErrorMessage="1" xr:uid="{00000000-0002-0000-0300-00004C1A0000}">
          <x14:formula1>
            <xm:f>項目!A4:$UEK$589826</xm:f>
          </x14:formula1>
          <xm:sqref>UET589829:UET589852</xm:sqref>
        </x14:dataValidation>
        <x14:dataValidation type="list" allowBlank="1" showInputMessage="1" showErrorMessage="1" xr:uid="{00000000-0002-0000-0300-00004D1A0000}">
          <x14:formula1>
            <xm:f>項目!A4:$UOG$589826</xm:f>
          </x14:formula1>
          <xm:sqref>UOP589829:UOP589852</xm:sqref>
        </x14:dataValidation>
        <x14:dataValidation type="list" allowBlank="1" showInputMessage="1" showErrorMessage="1" xr:uid="{00000000-0002-0000-0300-00004E1A0000}">
          <x14:formula1>
            <xm:f>項目!A4:$UYC$589826</xm:f>
          </x14:formula1>
          <xm:sqref>UYL589829:UYL589852</xm:sqref>
        </x14:dataValidation>
        <x14:dataValidation type="list" allowBlank="1" showInputMessage="1" showErrorMessage="1" xr:uid="{00000000-0002-0000-0300-00004F1A0000}">
          <x14:formula1>
            <xm:f>項目!A4:$VHY$589826</xm:f>
          </x14:formula1>
          <xm:sqref>VIH589829:VIH589852</xm:sqref>
        </x14:dataValidation>
        <x14:dataValidation type="list" allowBlank="1" showInputMessage="1" showErrorMessage="1" xr:uid="{00000000-0002-0000-0300-0000501A0000}">
          <x14:formula1>
            <xm:f>項目!A4:$VRU$589826</xm:f>
          </x14:formula1>
          <xm:sqref>VSD589829:VSD589852</xm:sqref>
        </x14:dataValidation>
        <x14:dataValidation type="list" allowBlank="1" showInputMessage="1" showErrorMessage="1" xr:uid="{00000000-0002-0000-0300-0000511A0000}">
          <x14:formula1>
            <xm:f>項目!A4:$WBQ$589826</xm:f>
          </x14:formula1>
          <xm:sqref>WBZ589829:WBZ589852</xm:sqref>
        </x14:dataValidation>
        <x14:dataValidation type="list" allowBlank="1" showInputMessage="1" showErrorMessage="1" xr:uid="{00000000-0002-0000-0300-0000521A0000}">
          <x14:formula1>
            <xm:f>項目!A4:$WLM$589826</xm:f>
          </x14:formula1>
          <xm:sqref>WLV589829:WLV589852</xm:sqref>
        </x14:dataValidation>
        <x14:dataValidation type="list" allowBlank="1" showInputMessage="1" showErrorMessage="1" xr:uid="{00000000-0002-0000-0300-0000531A0000}">
          <x14:formula1>
            <xm:f>項目!A4:$WVI$589826</xm:f>
          </x14:formula1>
          <xm:sqref>WVR589829:WVR589852</xm:sqref>
        </x14:dataValidation>
        <x14:dataValidation type="list" allowBlank="1" showInputMessage="1" showErrorMessage="1" xr:uid="{00000000-0002-0000-0300-0000541A0000}">
          <x14:formula1>
            <xm:f>項目!A4:$IW$655362</xm:f>
          </x14:formula1>
          <xm:sqref>JF655365:JF655388</xm:sqref>
        </x14:dataValidation>
        <x14:dataValidation type="list" allowBlank="1" showInputMessage="1" showErrorMessage="1" xr:uid="{00000000-0002-0000-0300-0000551A0000}">
          <x14:formula1>
            <xm:f>項目!A4:$SS$655362</xm:f>
          </x14:formula1>
          <xm:sqref>TB655365:TB655388</xm:sqref>
        </x14:dataValidation>
        <x14:dataValidation type="list" allowBlank="1" showInputMessage="1" showErrorMessage="1" xr:uid="{00000000-0002-0000-0300-0000561A0000}">
          <x14:formula1>
            <xm:f>項目!A4:$ACO$655362</xm:f>
          </x14:formula1>
          <xm:sqref>ACX655365:ACX655388</xm:sqref>
        </x14:dataValidation>
        <x14:dataValidation type="list" allowBlank="1" showInputMessage="1" showErrorMessage="1" xr:uid="{00000000-0002-0000-0300-0000571A0000}">
          <x14:formula1>
            <xm:f>項目!A4:$AMK$655362</xm:f>
          </x14:formula1>
          <xm:sqref>AMT655365:AMT655388</xm:sqref>
        </x14:dataValidation>
        <x14:dataValidation type="list" allowBlank="1" showInputMessage="1" showErrorMessage="1" xr:uid="{00000000-0002-0000-0300-0000581A0000}">
          <x14:formula1>
            <xm:f>項目!A4:$AWG$655362</xm:f>
          </x14:formula1>
          <xm:sqref>AWP655365:AWP655388</xm:sqref>
        </x14:dataValidation>
        <x14:dataValidation type="list" allowBlank="1" showInputMessage="1" showErrorMessage="1" xr:uid="{00000000-0002-0000-0300-0000591A0000}">
          <x14:formula1>
            <xm:f>項目!A4:$BGC$655362</xm:f>
          </x14:formula1>
          <xm:sqref>BGL655365:BGL655388</xm:sqref>
        </x14:dataValidation>
        <x14:dataValidation type="list" allowBlank="1" showInputMessage="1" showErrorMessage="1" xr:uid="{00000000-0002-0000-0300-00005A1A0000}">
          <x14:formula1>
            <xm:f>項目!A4:$BPY$655362</xm:f>
          </x14:formula1>
          <xm:sqref>BQH655365:BQH655388</xm:sqref>
        </x14:dataValidation>
        <x14:dataValidation type="list" allowBlank="1" showInputMessage="1" showErrorMessage="1" xr:uid="{00000000-0002-0000-0300-00005B1A0000}">
          <x14:formula1>
            <xm:f>項目!A4:$BZU$655362</xm:f>
          </x14:formula1>
          <xm:sqref>CAD655365:CAD655388</xm:sqref>
        </x14:dataValidation>
        <x14:dataValidation type="list" allowBlank="1" showInputMessage="1" showErrorMessage="1" xr:uid="{00000000-0002-0000-0300-00005C1A0000}">
          <x14:formula1>
            <xm:f>項目!A4:$CJQ$655362</xm:f>
          </x14:formula1>
          <xm:sqref>CJZ655365:CJZ655388</xm:sqref>
        </x14:dataValidation>
        <x14:dataValidation type="list" allowBlank="1" showInputMessage="1" showErrorMessage="1" xr:uid="{00000000-0002-0000-0300-00005D1A0000}">
          <x14:formula1>
            <xm:f>項目!A4:$CTM$655362</xm:f>
          </x14:formula1>
          <xm:sqref>CTV655365:CTV655388</xm:sqref>
        </x14:dataValidation>
        <x14:dataValidation type="list" allowBlank="1" showInputMessage="1" showErrorMessage="1" xr:uid="{00000000-0002-0000-0300-00005E1A0000}">
          <x14:formula1>
            <xm:f>項目!A4:$DDI$655362</xm:f>
          </x14:formula1>
          <xm:sqref>DDR655365:DDR655388</xm:sqref>
        </x14:dataValidation>
        <x14:dataValidation type="list" allowBlank="1" showInputMessage="1" showErrorMessage="1" xr:uid="{00000000-0002-0000-0300-00005F1A0000}">
          <x14:formula1>
            <xm:f>項目!A4:$DNE$655362</xm:f>
          </x14:formula1>
          <xm:sqref>DNN655365:DNN655388</xm:sqref>
        </x14:dataValidation>
        <x14:dataValidation type="list" allowBlank="1" showInputMessage="1" showErrorMessage="1" xr:uid="{00000000-0002-0000-0300-0000601A0000}">
          <x14:formula1>
            <xm:f>項目!A4:$DXA$655362</xm:f>
          </x14:formula1>
          <xm:sqref>DXJ655365:DXJ655388</xm:sqref>
        </x14:dataValidation>
        <x14:dataValidation type="list" allowBlank="1" showInputMessage="1" showErrorMessage="1" xr:uid="{00000000-0002-0000-0300-0000611A0000}">
          <x14:formula1>
            <xm:f>項目!A4:$EGW$655362</xm:f>
          </x14:formula1>
          <xm:sqref>EHF655365:EHF655388</xm:sqref>
        </x14:dataValidation>
        <x14:dataValidation type="list" allowBlank="1" showInputMessage="1" showErrorMessage="1" xr:uid="{00000000-0002-0000-0300-0000621A0000}">
          <x14:formula1>
            <xm:f>項目!A4:$EQS$655362</xm:f>
          </x14:formula1>
          <xm:sqref>ERB655365:ERB655388</xm:sqref>
        </x14:dataValidation>
        <x14:dataValidation type="list" allowBlank="1" showInputMessage="1" showErrorMessage="1" xr:uid="{00000000-0002-0000-0300-0000631A0000}">
          <x14:formula1>
            <xm:f>項目!A4:$FAO$655362</xm:f>
          </x14:formula1>
          <xm:sqref>FAX655365:FAX655388</xm:sqref>
        </x14:dataValidation>
        <x14:dataValidation type="list" allowBlank="1" showInputMessage="1" showErrorMessage="1" xr:uid="{00000000-0002-0000-0300-0000641A0000}">
          <x14:formula1>
            <xm:f>項目!A4:$FKK$655362</xm:f>
          </x14:formula1>
          <xm:sqref>FKT655365:FKT655388</xm:sqref>
        </x14:dataValidation>
        <x14:dataValidation type="list" allowBlank="1" showInputMessage="1" showErrorMessage="1" xr:uid="{00000000-0002-0000-0300-0000651A0000}">
          <x14:formula1>
            <xm:f>項目!A4:$FUG$655362</xm:f>
          </x14:formula1>
          <xm:sqref>FUP655365:FUP655388</xm:sqref>
        </x14:dataValidation>
        <x14:dataValidation type="list" allowBlank="1" showInputMessage="1" showErrorMessage="1" xr:uid="{00000000-0002-0000-0300-0000661A0000}">
          <x14:formula1>
            <xm:f>項目!A4:$GEC$655362</xm:f>
          </x14:formula1>
          <xm:sqref>GEL655365:GEL655388</xm:sqref>
        </x14:dataValidation>
        <x14:dataValidation type="list" allowBlank="1" showInputMessage="1" showErrorMessage="1" xr:uid="{00000000-0002-0000-0300-0000671A0000}">
          <x14:formula1>
            <xm:f>項目!A4:$GNY$655362</xm:f>
          </x14:formula1>
          <xm:sqref>GOH655365:GOH655388</xm:sqref>
        </x14:dataValidation>
        <x14:dataValidation type="list" allowBlank="1" showInputMessage="1" showErrorMessage="1" xr:uid="{00000000-0002-0000-0300-0000681A0000}">
          <x14:formula1>
            <xm:f>項目!A4:$GXU$655362</xm:f>
          </x14:formula1>
          <xm:sqref>GYD655365:GYD655388</xm:sqref>
        </x14:dataValidation>
        <x14:dataValidation type="list" allowBlank="1" showInputMessage="1" showErrorMessage="1" xr:uid="{00000000-0002-0000-0300-0000691A0000}">
          <x14:formula1>
            <xm:f>項目!A4:$HHQ$655362</xm:f>
          </x14:formula1>
          <xm:sqref>HHZ655365:HHZ655388</xm:sqref>
        </x14:dataValidation>
        <x14:dataValidation type="list" allowBlank="1" showInputMessage="1" showErrorMessage="1" xr:uid="{00000000-0002-0000-0300-00006A1A0000}">
          <x14:formula1>
            <xm:f>項目!A4:$HRM$655362</xm:f>
          </x14:formula1>
          <xm:sqref>HRV655365:HRV655388</xm:sqref>
        </x14:dataValidation>
        <x14:dataValidation type="list" allowBlank="1" showInputMessage="1" showErrorMessage="1" xr:uid="{00000000-0002-0000-0300-00006B1A0000}">
          <x14:formula1>
            <xm:f>項目!A4:$IBI$655362</xm:f>
          </x14:formula1>
          <xm:sqref>IBR655365:IBR655388</xm:sqref>
        </x14:dataValidation>
        <x14:dataValidation type="list" allowBlank="1" showInputMessage="1" showErrorMessage="1" xr:uid="{00000000-0002-0000-0300-00006C1A0000}">
          <x14:formula1>
            <xm:f>項目!A4:$ILE$655362</xm:f>
          </x14:formula1>
          <xm:sqref>ILN655365:ILN655388</xm:sqref>
        </x14:dataValidation>
        <x14:dataValidation type="list" allowBlank="1" showInputMessage="1" showErrorMessage="1" xr:uid="{00000000-0002-0000-0300-00006D1A0000}">
          <x14:formula1>
            <xm:f>項目!A4:$IVA$655362</xm:f>
          </x14:formula1>
          <xm:sqref>IVJ655365:IVJ655388</xm:sqref>
        </x14:dataValidation>
        <x14:dataValidation type="list" allowBlank="1" showInputMessage="1" showErrorMessage="1" xr:uid="{00000000-0002-0000-0300-00006E1A0000}">
          <x14:formula1>
            <xm:f>項目!A4:$JEW$655362</xm:f>
          </x14:formula1>
          <xm:sqref>JFF655365:JFF655388</xm:sqref>
        </x14:dataValidation>
        <x14:dataValidation type="list" allowBlank="1" showInputMessage="1" showErrorMessage="1" xr:uid="{00000000-0002-0000-0300-00006F1A0000}">
          <x14:formula1>
            <xm:f>項目!A4:$JOS$655362</xm:f>
          </x14:formula1>
          <xm:sqref>JPB655365:JPB655388</xm:sqref>
        </x14:dataValidation>
        <x14:dataValidation type="list" allowBlank="1" showInputMessage="1" showErrorMessage="1" xr:uid="{00000000-0002-0000-0300-0000701A0000}">
          <x14:formula1>
            <xm:f>項目!A4:$JYO$655362</xm:f>
          </x14:formula1>
          <xm:sqref>JYX655365:JYX655388</xm:sqref>
        </x14:dataValidation>
        <x14:dataValidation type="list" allowBlank="1" showInputMessage="1" showErrorMessage="1" xr:uid="{00000000-0002-0000-0300-0000711A0000}">
          <x14:formula1>
            <xm:f>項目!A4:$KIK$655362</xm:f>
          </x14:formula1>
          <xm:sqref>KIT655365:KIT655388</xm:sqref>
        </x14:dataValidation>
        <x14:dataValidation type="list" allowBlank="1" showInputMessage="1" showErrorMessage="1" xr:uid="{00000000-0002-0000-0300-0000721A0000}">
          <x14:formula1>
            <xm:f>項目!A4:$KSG$655362</xm:f>
          </x14:formula1>
          <xm:sqref>KSP655365:KSP655388</xm:sqref>
        </x14:dataValidation>
        <x14:dataValidation type="list" allowBlank="1" showInputMessage="1" showErrorMessage="1" xr:uid="{00000000-0002-0000-0300-0000731A0000}">
          <x14:formula1>
            <xm:f>項目!A4:$LCC$655362</xm:f>
          </x14:formula1>
          <xm:sqref>LCL655365:LCL655388</xm:sqref>
        </x14:dataValidation>
        <x14:dataValidation type="list" allowBlank="1" showInputMessage="1" showErrorMessage="1" xr:uid="{00000000-0002-0000-0300-0000741A0000}">
          <x14:formula1>
            <xm:f>項目!A4:$LLY$655362</xm:f>
          </x14:formula1>
          <xm:sqref>LMH655365:LMH655388</xm:sqref>
        </x14:dataValidation>
        <x14:dataValidation type="list" allowBlank="1" showInputMessage="1" showErrorMessage="1" xr:uid="{00000000-0002-0000-0300-0000751A0000}">
          <x14:formula1>
            <xm:f>項目!A4:$LVU$655362</xm:f>
          </x14:formula1>
          <xm:sqref>LWD655365:LWD655388</xm:sqref>
        </x14:dataValidation>
        <x14:dataValidation type="list" allowBlank="1" showInputMessage="1" showErrorMessage="1" xr:uid="{00000000-0002-0000-0300-0000761A0000}">
          <x14:formula1>
            <xm:f>項目!A4:$MFQ$655362</xm:f>
          </x14:formula1>
          <xm:sqref>MFZ655365:MFZ655388</xm:sqref>
        </x14:dataValidation>
        <x14:dataValidation type="list" allowBlank="1" showInputMessage="1" showErrorMessage="1" xr:uid="{00000000-0002-0000-0300-0000771A0000}">
          <x14:formula1>
            <xm:f>項目!A4:$MPM$655362</xm:f>
          </x14:formula1>
          <xm:sqref>MPV655365:MPV655388</xm:sqref>
        </x14:dataValidation>
        <x14:dataValidation type="list" allowBlank="1" showInputMessage="1" showErrorMessage="1" xr:uid="{00000000-0002-0000-0300-0000781A0000}">
          <x14:formula1>
            <xm:f>項目!A4:$MZI$655362</xm:f>
          </x14:formula1>
          <xm:sqref>MZR655365:MZR655388</xm:sqref>
        </x14:dataValidation>
        <x14:dataValidation type="list" allowBlank="1" showInputMessage="1" showErrorMessage="1" xr:uid="{00000000-0002-0000-0300-0000791A0000}">
          <x14:formula1>
            <xm:f>項目!A4:$NJE$655362</xm:f>
          </x14:formula1>
          <xm:sqref>NJN655365:NJN655388</xm:sqref>
        </x14:dataValidation>
        <x14:dataValidation type="list" allowBlank="1" showInputMessage="1" showErrorMessage="1" xr:uid="{00000000-0002-0000-0300-00007A1A0000}">
          <x14:formula1>
            <xm:f>項目!A4:$NTA$655362</xm:f>
          </x14:formula1>
          <xm:sqref>NTJ655365:NTJ655388</xm:sqref>
        </x14:dataValidation>
        <x14:dataValidation type="list" allowBlank="1" showInputMessage="1" showErrorMessage="1" xr:uid="{00000000-0002-0000-0300-00007B1A0000}">
          <x14:formula1>
            <xm:f>項目!A4:$OCW$655362</xm:f>
          </x14:formula1>
          <xm:sqref>ODF655365:ODF655388</xm:sqref>
        </x14:dataValidation>
        <x14:dataValidation type="list" allowBlank="1" showInputMessage="1" showErrorMessage="1" xr:uid="{00000000-0002-0000-0300-00007C1A0000}">
          <x14:formula1>
            <xm:f>項目!A4:$OMS$655362</xm:f>
          </x14:formula1>
          <xm:sqref>ONB655365:ONB655388</xm:sqref>
        </x14:dataValidation>
        <x14:dataValidation type="list" allowBlank="1" showInputMessage="1" showErrorMessage="1" xr:uid="{00000000-0002-0000-0300-00007D1A0000}">
          <x14:formula1>
            <xm:f>項目!A4:$OWO$655362</xm:f>
          </x14:formula1>
          <xm:sqref>OWX655365:OWX655388</xm:sqref>
        </x14:dataValidation>
        <x14:dataValidation type="list" allowBlank="1" showInputMessage="1" showErrorMessage="1" xr:uid="{00000000-0002-0000-0300-00007E1A0000}">
          <x14:formula1>
            <xm:f>項目!A4:$PGK$655362</xm:f>
          </x14:formula1>
          <xm:sqref>PGT655365:PGT655388</xm:sqref>
        </x14:dataValidation>
        <x14:dataValidation type="list" allowBlank="1" showInputMessage="1" showErrorMessage="1" xr:uid="{00000000-0002-0000-0300-00007F1A0000}">
          <x14:formula1>
            <xm:f>項目!A4:$PQG$655362</xm:f>
          </x14:formula1>
          <xm:sqref>PQP655365:PQP655388</xm:sqref>
        </x14:dataValidation>
        <x14:dataValidation type="list" allowBlank="1" showInputMessage="1" showErrorMessage="1" xr:uid="{00000000-0002-0000-0300-0000801A0000}">
          <x14:formula1>
            <xm:f>項目!A4:$QAC$655362</xm:f>
          </x14:formula1>
          <xm:sqref>QAL655365:QAL655388</xm:sqref>
        </x14:dataValidation>
        <x14:dataValidation type="list" allowBlank="1" showInputMessage="1" showErrorMessage="1" xr:uid="{00000000-0002-0000-0300-0000811A0000}">
          <x14:formula1>
            <xm:f>項目!A4:$QJY$655362</xm:f>
          </x14:formula1>
          <xm:sqref>QKH655365:QKH655388</xm:sqref>
        </x14:dataValidation>
        <x14:dataValidation type="list" allowBlank="1" showInputMessage="1" showErrorMessage="1" xr:uid="{00000000-0002-0000-0300-0000821A0000}">
          <x14:formula1>
            <xm:f>項目!A4:$QTU$655362</xm:f>
          </x14:formula1>
          <xm:sqref>QUD655365:QUD655388</xm:sqref>
        </x14:dataValidation>
        <x14:dataValidation type="list" allowBlank="1" showInputMessage="1" showErrorMessage="1" xr:uid="{00000000-0002-0000-0300-0000831A0000}">
          <x14:formula1>
            <xm:f>項目!A4:$RDQ$655362</xm:f>
          </x14:formula1>
          <xm:sqref>RDZ655365:RDZ655388</xm:sqref>
        </x14:dataValidation>
        <x14:dataValidation type="list" allowBlank="1" showInputMessage="1" showErrorMessage="1" xr:uid="{00000000-0002-0000-0300-0000841A0000}">
          <x14:formula1>
            <xm:f>項目!A4:$RNM$655362</xm:f>
          </x14:formula1>
          <xm:sqref>RNV655365:RNV655388</xm:sqref>
        </x14:dataValidation>
        <x14:dataValidation type="list" allowBlank="1" showInputMessage="1" showErrorMessage="1" xr:uid="{00000000-0002-0000-0300-0000851A0000}">
          <x14:formula1>
            <xm:f>項目!A4:$RXI$655362</xm:f>
          </x14:formula1>
          <xm:sqref>RXR655365:RXR655388</xm:sqref>
        </x14:dataValidation>
        <x14:dataValidation type="list" allowBlank="1" showInputMessage="1" showErrorMessage="1" xr:uid="{00000000-0002-0000-0300-0000861A0000}">
          <x14:formula1>
            <xm:f>項目!A4:$SHE$655362</xm:f>
          </x14:formula1>
          <xm:sqref>SHN655365:SHN655388</xm:sqref>
        </x14:dataValidation>
        <x14:dataValidation type="list" allowBlank="1" showInputMessage="1" showErrorMessage="1" xr:uid="{00000000-0002-0000-0300-0000871A0000}">
          <x14:formula1>
            <xm:f>項目!A4:$SRA$655362</xm:f>
          </x14:formula1>
          <xm:sqref>SRJ655365:SRJ655388</xm:sqref>
        </x14:dataValidation>
        <x14:dataValidation type="list" allowBlank="1" showInputMessage="1" showErrorMessage="1" xr:uid="{00000000-0002-0000-0300-0000881A0000}">
          <x14:formula1>
            <xm:f>項目!A4:$TAW$655362</xm:f>
          </x14:formula1>
          <xm:sqref>TBF655365:TBF655388</xm:sqref>
        </x14:dataValidation>
        <x14:dataValidation type="list" allowBlank="1" showInputMessage="1" showErrorMessage="1" xr:uid="{00000000-0002-0000-0300-0000891A0000}">
          <x14:formula1>
            <xm:f>項目!A4:$TKS$655362</xm:f>
          </x14:formula1>
          <xm:sqref>TLB655365:TLB655388</xm:sqref>
        </x14:dataValidation>
        <x14:dataValidation type="list" allowBlank="1" showInputMessage="1" showErrorMessage="1" xr:uid="{00000000-0002-0000-0300-00008A1A0000}">
          <x14:formula1>
            <xm:f>項目!A4:$TUO$655362</xm:f>
          </x14:formula1>
          <xm:sqref>TUX655365:TUX655388</xm:sqref>
        </x14:dataValidation>
        <x14:dataValidation type="list" allowBlank="1" showInputMessage="1" showErrorMessage="1" xr:uid="{00000000-0002-0000-0300-00008B1A0000}">
          <x14:formula1>
            <xm:f>項目!A4:$UEK$655362</xm:f>
          </x14:formula1>
          <xm:sqref>UET655365:UET655388</xm:sqref>
        </x14:dataValidation>
        <x14:dataValidation type="list" allowBlank="1" showInputMessage="1" showErrorMessage="1" xr:uid="{00000000-0002-0000-0300-00008C1A0000}">
          <x14:formula1>
            <xm:f>項目!A4:$UOG$655362</xm:f>
          </x14:formula1>
          <xm:sqref>UOP655365:UOP655388</xm:sqref>
        </x14:dataValidation>
        <x14:dataValidation type="list" allowBlank="1" showInputMessage="1" showErrorMessage="1" xr:uid="{00000000-0002-0000-0300-00008D1A0000}">
          <x14:formula1>
            <xm:f>項目!A4:$UYC$655362</xm:f>
          </x14:formula1>
          <xm:sqref>UYL655365:UYL655388</xm:sqref>
        </x14:dataValidation>
        <x14:dataValidation type="list" allowBlank="1" showInputMessage="1" showErrorMessage="1" xr:uid="{00000000-0002-0000-0300-00008E1A0000}">
          <x14:formula1>
            <xm:f>項目!A4:$VHY$655362</xm:f>
          </x14:formula1>
          <xm:sqref>VIH655365:VIH655388</xm:sqref>
        </x14:dataValidation>
        <x14:dataValidation type="list" allowBlank="1" showInputMessage="1" showErrorMessage="1" xr:uid="{00000000-0002-0000-0300-00008F1A0000}">
          <x14:formula1>
            <xm:f>項目!A4:$VRU$655362</xm:f>
          </x14:formula1>
          <xm:sqref>VSD655365:VSD655388</xm:sqref>
        </x14:dataValidation>
        <x14:dataValidation type="list" allowBlank="1" showInputMessage="1" showErrorMessage="1" xr:uid="{00000000-0002-0000-0300-0000901A0000}">
          <x14:formula1>
            <xm:f>項目!A4:$WBQ$655362</xm:f>
          </x14:formula1>
          <xm:sqref>WBZ655365:WBZ655388</xm:sqref>
        </x14:dataValidation>
        <x14:dataValidation type="list" allowBlank="1" showInputMessage="1" showErrorMessage="1" xr:uid="{00000000-0002-0000-0300-0000911A0000}">
          <x14:formula1>
            <xm:f>項目!A4:$WLM$655362</xm:f>
          </x14:formula1>
          <xm:sqref>WLV655365:WLV655388</xm:sqref>
        </x14:dataValidation>
        <x14:dataValidation type="list" allowBlank="1" showInputMessage="1" showErrorMessage="1" xr:uid="{00000000-0002-0000-0300-0000921A0000}">
          <x14:formula1>
            <xm:f>項目!A4:$WVI$655362</xm:f>
          </x14:formula1>
          <xm:sqref>WVR655365:WVR655388</xm:sqref>
        </x14:dataValidation>
        <x14:dataValidation type="list" allowBlank="1" showInputMessage="1" showErrorMessage="1" xr:uid="{00000000-0002-0000-0300-0000931A0000}">
          <x14:formula1>
            <xm:f>項目!A4:$IW$720898</xm:f>
          </x14:formula1>
          <xm:sqref>JF720901:JF720924</xm:sqref>
        </x14:dataValidation>
        <x14:dataValidation type="list" allowBlank="1" showInputMessage="1" showErrorMessage="1" xr:uid="{00000000-0002-0000-0300-0000941A0000}">
          <x14:formula1>
            <xm:f>項目!A4:$SS$720898</xm:f>
          </x14:formula1>
          <xm:sqref>TB720901:TB720924</xm:sqref>
        </x14:dataValidation>
        <x14:dataValidation type="list" allowBlank="1" showInputMessage="1" showErrorMessage="1" xr:uid="{00000000-0002-0000-0300-0000951A0000}">
          <x14:formula1>
            <xm:f>項目!A4:$ACO$720898</xm:f>
          </x14:formula1>
          <xm:sqref>ACX720901:ACX720924</xm:sqref>
        </x14:dataValidation>
        <x14:dataValidation type="list" allowBlank="1" showInputMessage="1" showErrorMessage="1" xr:uid="{00000000-0002-0000-0300-0000961A0000}">
          <x14:formula1>
            <xm:f>項目!A4:$AMK$720898</xm:f>
          </x14:formula1>
          <xm:sqref>AMT720901:AMT720924</xm:sqref>
        </x14:dataValidation>
        <x14:dataValidation type="list" allowBlank="1" showInputMessage="1" showErrorMessage="1" xr:uid="{00000000-0002-0000-0300-0000971A0000}">
          <x14:formula1>
            <xm:f>項目!A4:$AWG$720898</xm:f>
          </x14:formula1>
          <xm:sqref>AWP720901:AWP720924</xm:sqref>
        </x14:dataValidation>
        <x14:dataValidation type="list" allowBlank="1" showInputMessage="1" showErrorMessage="1" xr:uid="{00000000-0002-0000-0300-0000981A0000}">
          <x14:formula1>
            <xm:f>項目!A4:$BGC$720898</xm:f>
          </x14:formula1>
          <xm:sqref>BGL720901:BGL720924</xm:sqref>
        </x14:dataValidation>
        <x14:dataValidation type="list" allowBlank="1" showInputMessage="1" showErrorMessage="1" xr:uid="{00000000-0002-0000-0300-0000991A0000}">
          <x14:formula1>
            <xm:f>項目!A4:$BPY$720898</xm:f>
          </x14:formula1>
          <xm:sqref>BQH720901:BQH720924</xm:sqref>
        </x14:dataValidation>
        <x14:dataValidation type="list" allowBlank="1" showInputMessage="1" showErrorMessage="1" xr:uid="{00000000-0002-0000-0300-00009A1A0000}">
          <x14:formula1>
            <xm:f>項目!A4:$BZU$720898</xm:f>
          </x14:formula1>
          <xm:sqref>CAD720901:CAD720924</xm:sqref>
        </x14:dataValidation>
        <x14:dataValidation type="list" allowBlank="1" showInputMessage="1" showErrorMessage="1" xr:uid="{00000000-0002-0000-0300-00009B1A0000}">
          <x14:formula1>
            <xm:f>項目!A4:$CJQ$720898</xm:f>
          </x14:formula1>
          <xm:sqref>CJZ720901:CJZ720924</xm:sqref>
        </x14:dataValidation>
        <x14:dataValidation type="list" allowBlank="1" showInputMessage="1" showErrorMessage="1" xr:uid="{00000000-0002-0000-0300-00009C1A0000}">
          <x14:formula1>
            <xm:f>項目!A4:$CTM$720898</xm:f>
          </x14:formula1>
          <xm:sqref>CTV720901:CTV720924</xm:sqref>
        </x14:dataValidation>
        <x14:dataValidation type="list" allowBlank="1" showInputMessage="1" showErrorMessage="1" xr:uid="{00000000-0002-0000-0300-00009D1A0000}">
          <x14:formula1>
            <xm:f>項目!A4:$DDI$720898</xm:f>
          </x14:formula1>
          <xm:sqref>DDR720901:DDR720924</xm:sqref>
        </x14:dataValidation>
        <x14:dataValidation type="list" allowBlank="1" showInputMessage="1" showErrorMessage="1" xr:uid="{00000000-0002-0000-0300-00009E1A0000}">
          <x14:formula1>
            <xm:f>項目!A4:$DNE$720898</xm:f>
          </x14:formula1>
          <xm:sqref>DNN720901:DNN720924</xm:sqref>
        </x14:dataValidation>
        <x14:dataValidation type="list" allowBlank="1" showInputMessage="1" showErrorMessage="1" xr:uid="{00000000-0002-0000-0300-00009F1A0000}">
          <x14:formula1>
            <xm:f>項目!A4:$DXA$720898</xm:f>
          </x14:formula1>
          <xm:sqref>DXJ720901:DXJ720924</xm:sqref>
        </x14:dataValidation>
        <x14:dataValidation type="list" allowBlank="1" showInputMessage="1" showErrorMessage="1" xr:uid="{00000000-0002-0000-0300-0000A01A0000}">
          <x14:formula1>
            <xm:f>項目!A4:$EGW$720898</xm:f>
          </x14:formula1>
          <xm:sqref>EHF720901:EHF720924</xm:sqref>
        </x14:dataValidation>
        <x14:dataValidation type="list" allowBlank="1" showInputMessage="1" showErrorMessage="1" xr:uid="{00000000-0002-0000-0300-0000A11A0000}">
          <x14:formula1>
            <xm:f>項目!A4:$EQS$720898</xm:f>
          </x14:formula1>
          <xm:sqref>ERB720901:ERB720924</xm:sqref>
        </x14:dataValidation>
        <x14:dataValidation type="list" allowBlank="1" showInputMessage="1" showErrorMessage="1" xr:uid="{00000000-0002-0000-0300-0000A21A0000}">
          <x14:formula1>
            <xm:f>項目!A4:$FAO$720898</xm:f>
          </x14:formula1>
          <xm:sqref>FAX720901:FAX720924</xm:sqref>
        </x14:dataValidation>
        <x14:dataValidation type="list" allowBlank="1" showInputMessage="1" showErrorMessage="1" xr:uid="{00000000-0002-0000-0300-0000A31A0000}">
          <x14:formula1>
            <xm:f>項目!A4:$FKK$720898</xm:f>
          </x14:formula1>
          <xm:sqref>FKT720901:FKT720924</xm:sqref>
        </x14:dataValidation>
        <x14:dataValidation type="list" allowBlank="1" showInputMessage="1" showErrorMessage="1" xr:uid="{00000000-0002-0000-0300-0000A41A0000}">
          <x14:formula1>
            <xm:f>項目!A4:$FUG$720898</xm:f>
          </x14:formula1>
          <xm:sqref>FUP720901:FUP720924</xm:sqref>
        </x14:dataValidation>
        <x14:dataValidation type="list" allowBlank="1" showInputMessage="1" showErrorMessage="1" xr:uid="{00000000-0002-0000-0300-0000A51A0000}">
          <x14:formula1>
            <xm:f>項目!A4:$GEC$720898</xm:f>
          </x14:formula1>
          <xm:sqref>GEL720901:GEL720924</xm:sqref>
        </x14:dataValidation>
        <x14:dataValidation type="list" allowBlank="1" showInputMessage="1" showErrorMessage="1" xr:uid="{00000000-0002-0000-0300-0000A61A0000}">
          <x14:formula1>
            <xm:f>項目!A4:$GNY$720898</xm:f>
          </x14:formula1>
          <xm:sqref>GOH720901:GOH720924</xm:sqref>
        </x14:dataValidation>
        <x14:dataValidation type="list" allowBlank="1" showInputMessage="1" showErrorMessage="1" xr:uid="{00000000-0002-0000-0300-0000A71A0000}">
          <x14:formula1>
            <xm:f>項目!A4:$GXU$720898</xm:f>
          </x14:formula1>
          <xm:sqref>GYD720901:GYD720924</xm:sqref>
        </x14:dataValidation>
        <x14:dataValidation type="list" allowBlank="1" showInputMessage="1" showErrorMessage="1" xr:uid="{00000000-0002-0000-0300-0000A81A0000}">
          <x14:formula1>
            <xm:f>項目!A4:$HHQ$720898</xm:f>
          </x14:formula1>
          <xm:sqref>HHZ720901:HHZ720924</xm:sqref>
        </x14:dataValidation>
        <x14:dataValidation type="list" allowBlank="1" showInputMessage="1" showErrorMessage="1" xr:uid="{00000000-0002-0000-0300-0000A91A0000}">
          <x14:formula1>
            <xm:f>項目!A4:$HRM$720898</xm:f>
          </x14:formula1>
          <xm:sqref>HRV720901:HRV720924</xm:sqref>
        </x14:dataValidation>
        <x14:dataValidation type="list" allowBlank="1" showInputMessage="1" showErrorMessage="1" xr:uid="{00000000-0002-0000-0300-0000AA1A0000}">
          <x14:formula1>
            <xm:f>項目!A4:$IBI$720898</xm:f>
          </x14:formula1>
          <xm:sqref>IBR720901:IBR720924</xm:sqref>
        </x14:dataValidation>
        <x14:dataValidation type="list" allowBlank="1" showInputMessage="1" showErrorMessage="1" xr:uid="{00000000-0002-0000-0300-0000AB1A0000}">
          <x14:formula1>
            <xm:f>項目!A4:$ILE$720898</xm:f>
          </x14:formula1>
          <xm:sqref>ILN720901:ILN720924</xm:sqref>
        </x14:dataValidation>
        <x14:dataValidation type="list" allowBlank="1" showInputMessage="1" showErrorMessage="1" xr:uid="{00000000-0002-0000-0300-0000AC1A0000}">
          <x14:formula1>
            <xm:f>項目!A4:$IVA$720898</xm:f>
          </x14:formula1>
          <xm:sqref>IVJ720901:IVJ720924</xm:sqref>
        </x14:dataValidation>
        <x14:dataValidation type="list" allowBlank="1" showInputMessage="1" showErrorMessage="1" xr:uid="{00000000-0002-0000-0300-0000AD1A0000}">
          <x14:formula1>
            <xm:f>項目!A4:$JEW$720898</xm:f>
          </x14:formula1>
          <xm:sqref>JFF720901:JFF720924</xm:sqref>
        </x14:dataValidation>
        <x14:dataValidation type="list" allowBlank="1" showInputMessage="1" showErrorMessage="1" xr:uid="{00000000-0002-0000-0300-0000AE1A0000}">
          <x14:formula1>
            <xm:f>項目!A4:$JOS$720898</xm:f>
          </x14:formula1>
          <xm:sqref>JPB720901:JPB720924</xm:sqref>
        </x14:dataValidation>
        <x14:dataValidation type="list" allowBlank="1" showInputMessage="1" showErrorMessage="1" xr:uid="{00000000-0002-0000-0300-0000AF1A0000}">
          <x14:formula1>
            <xm:f>項目!A4:$JYO$720898</xm:f>
          </x14:formula1>
          <xm:sqref>JYX720901:JYX720924</xm:sqref>
        </x14:dataValidation>
        <x14:dataValidation type="list" allowBlank="1" showInputMessage="1" showErrorMessage="1" xr:uid="{00000000-0002-0000-0300-0000B01A0000}">
          <x14:formula1>
            <xm:f>項目!A4:$KIK$720898</xm:f>
          </x14:formula1>
          <xm:sqref>KIT720901:KIT720924</xm:sqref>
        </x14:dataValidation>
        <x14:dataValidation type="list" allowBlank="1" showInputMessage="1" showErrorMessage="1" xr:uid="{00000000-0002-0000-0300-0000B11A0000}">
          <x14:formula1>
            <xm:f>項目!A4:$KSG$720898</xm:f>
          </x14:formula1>
          <xm:sqref>KSP720901:KSP720924</xm:sqref>
        </x14:dataValidation>
        <x14:dataValidation type="list" allowBlank="1" showInputMessage="1" showErrorMessage="1" xr:uid="{00000000-0002-0000-0300-0000B21A0000}">
          <x14:formula1>
            <xm:f>項目!A4:$LCC$720898</xm:f>
          </x14:formula1>
          <xm:sqref>LCL720901:LCL720924</xm:sqref>
        </x14:dataValidation>
        <x14:dataValidation type="list" allowBlank="1" showInputMessage="1" showErrorMessage="1" xr:uid="{00000000-0002-0000-0300-0000B31A0000}">
          <x14:formula1>
            <xm:f>項目!A4:$LLY$720898</xm:f>
          </x14:formula1>
          <xm:sqref>LMH720901:LMH720924</xm:sqref>
        </x14:dataValidation>
        <x14:dataValidation type="list" allowBlank="1" showInputMessage="1" showErrorMessage="1" xr:uid="{00000000-0002-0000-0300-0000B41A0000}">
          <x14:formula1>
            <xm:f>項目!A4:$LVU$720898</xm:f>
          </x14:formula1>
          <xm:sqref>LWD720901:LWD720924</xm:sqref>
        </x14:dataValidation>
        <x14:dataValidation type="list" allowBlank="1" showInputMessage="1" showErrorMessage="1" xr:uid="{00000000-0002-0000-0300-0000B51A0000}">
          <x14:formula1>
            <xm:f>項目!A4:$MFQ$720898</xm:f>
          </x14:formula1>
          <xm:sqref>MFZ720901:MFZ720924</xm:sqref>
        </x14:dataValidation>
        <x14:dataValidation type="list" allowBlank="1" showInputMessage="1" showErrorMessage="1" xr:uid="{00000000-0002-0000-0300-0000B61A0000}">
          <x14:formula1>
            <xm:f>項目!A4:$MPM$720898</xm:f>
          </x14:formula1>
          <xm:sqref>MPV720901:MPV720924</xm:sqref>
        </x14:dataValidation>
        <x14:dataValidation type="list" allowBlank="1" showInputMessage="1" showErrorMessage="1" xr:uid="{00000000-0002-0000-0300-0000B71A0000}">
          <x14:formula1>
            <xm:f>項目!A4:$MZI$720898</xm:f>
          </x14:formula1>
          <xm:sqref>MZR720901:MZR720924</xm:sqref>
        </x14:dataValidation>
        <x14:dataValidation type="list" allowBlank="1" showInputMessage="1" showErrorMessage="1" xr:uid="{00000000-0002-0000-0300-0000B81A0000}">
          <x14:formula1>
            <xm:f>項目!A4:$NJE$720898</xm:f>
          </x14:formula1>
          <xm:sqref>NJN720901:NJN720924</xm:sqref>
        </x14:dataValidation>
        <x14:dataValidation type="list" allowBlank="1" showInputMessage="1" showErrorMessage="1" xr:uid="{00000000-0002-0000-0300-0000B91A0000}">
          <x14:formula1>
            <xm:f>項目!A4:$NTA$720898</xm:f>
          </x14:formula1>
          <xm:sqref>NTJ720901:NTJ720924</xm:sqref>
        </x14:dataValidation>
        <x14:dataValidation type="list" allowBlank="1" showInputMessage="1" showErrorMessage="1" xr:uid="{00000000-0002-0000-0300-0000BA1A0000}">
          <x14:formula1>
            <xm:f>項目!A4:$OCW$720898</xm:f>
          </x14:formula1>
          <xm:sqref>ODF720901:ODF720924</xm:sqref>
        </x14:dataValidation>
        <x14:dataValidation type="list" allowBlank="1" showInputMessage="1" showErrorMessage="1" xr:uid="{00000000-0002-0000-0300-0000BB1A0000}">
          <x14:formula1>
            <xm:f>項目!A4:$OMS$720898</xm:f>
          </x14:formula1>
          <xm:sqref>ONB720901:ONB720924</xm:sqref>
        </x14:dataValidation>
        <x14:dataValidation type="list" allowBlank="1" showInputMessage="1" showErrorMessage="1" xr:uid="{00000000-0002-0000-0300-0000BC1A0000}">
          <x14:formula1>
            <xm:f>項目!A4:$OWO$720898</xm:f>
          </x14:formula1>
          <xm:sqref>OWX720901:OWX720924</xm:sqref>
        </x14:dataValidation>
        <x14:dataValidation type="list" allowBlank="1" showInputMessage="1" showErrorMessage="1" xr:uid="{00000000-0002-0000-0300-0000BD1A0000}">
          <x14:formula1>
            <xm:f>項目!A4:$PGK$720898</xm:f>
          </x14:formula1>
          <xm:sqref>PGT720901:PGT720924</xm:sqref>
        </x14:dataValidation>
        <x14:dataValidation type="list" allowBlank="1" showInputMessage="1" showErrorMessage="1" xr:uid="{00000000-0002-0000-0300-0000BE1A0000}">
          <x14:formula1>
            <xm:f>項目!A4:$PQG$720898</xm:f>
          </x14:formula1>
          <xm:sqref>PQP720901:PQP720924</xm:sqref>
        </x14:dataValidation>
        <x14:dataValidation type="list" allowBlank="1" showInputMessage="1" showErrorMessage="1" xr:uid="{00000000-0002-0000-0300-0000BF1A0000}">
          <x14:formula1>
            <xm:f>項目!A4:$QAC$720898</xm:f>
          </x14:formula1>
          <xm:sqref>QAL720901:QAL720924</xm:sqref>
        </x14:dataValidation>
        <x14:dataValidation type="list" allowBlank="1" showInputMessage="1" showErrorMessage="1" xr:uid="{00000000-0002-0000-0300-0000C01A0000}">
          <x14:formula1>
            <xm:f>項目!A4:$QJY$720898</xm:f>
          </x14:formula1>
          <xm:sqref>QKH720901:QKH720924</xm:sqref>
        </x14:dataValidation>
        <x14:dataValidation type="list" allowBlank="1" showInputMessage="1" showErrorMessage="1" xr:uid="{00000000-0002-0000-0300-0000C11A0000}">
          <x14:formula1>
            <xm:f>項目!A4:$QTU$720898</xm:f>
          </x14:formula1>
          <xm:sqref>QUD720901:QUD720924</xm:sqref>
        </x14:dataValidation>
        <x14:dataValidation type="list" allowBlank="1" showInputMessage="1" showErrorMessage="1" xr:uid="{00000000-0002-0000-0300-0000C21A0000}">
          <x14:formula1>
            <xm:f>項目!A4:$RDQ$720898</xm:f>
          </x14:formula1>
          <xm:sqref>RDZ720901:RDZ720924</xm:sqref>
        </x14:dataValidation>
        <x14:dataValidation type="list" allowBlank="1" showInputMessage="1" showErrorMessage="1" xr:uid="{00000000-0002-0000-0300-0000C31A0000}">
          <x14:formula1>
            <xm:f>項目!A4:$RNM$720898</xm:f>
          </x14:formula1>
          <xm:sqref>RNV720901:RNV720924</xm:sqref>
        </x14:dataValidation>
        <x14:dataValidation type="list" allowBlank="1" showInputMessage="1" showErrorMessage="1" xr:uid="{00000000-0002-0000-0300-0000C41A0000}">
          <x14:formula1>
            <xm:f>項目!A4:$RXI$720898</xm:f>
          </x14:formula1>
          <xm:sqref>RXR720901:RXR720924</xm:sqref>
        </x14:dataValidation>
        <x14:dataValidation type="list" allowBlank="1" showInputMessage="1" showErrorMessage="1" xr:uid="{00000000-0002-0000-0300-0000C51A0000}">
          <x14:formula1>
            <xm:f>項目!A4:$SHE$720898</xm:f>
          </x14:formula1>
          <xm:sqref>SHN720901:SHN720924</xm:sqref>
        </x14:dataValidation>
        <x14:dataValidation type="list" allowBlank="1" showInputMessage="1" showErrorMessage="1" xr:uid="{00000000-0002-0000-0300-0000C61A0000}">
          <x14:formula1>
            <xm:f>項目!A4:$SRA$720898</xm:f>
          </x14:formula1>
          <xm:sqref>SRJ720901:SRJ720924</xm:sqref>
        </x14:dataValidation>
        <x14:dataValidation type="list" allowBlank="1" showInputMessage="1" showErrorMessage="1" xr:uid="{00000000-0002-0000-0300-0000C71A0000}">
          <x14:formula1>
            <xm:f>項目!A4:$TAW$720898</xm:f>
          </x14:formula1>
          <xm:sqref>TBF720901:TBF720924</xm:sqref>
        </x14:dataValidation>
        <x14:dataValidation type="list" allowBlank="1" showInputMessage="1" showErrorMessage="1" xr:uid="{00000000-0002-0000-0300-0000C81A0000}">
          <x14:formula1>
            <xm:f>項目!A4:$TKS$720898</xm:f>
          </x14:formula1>
          <xm:sqref>TLB720901:TLB720924</xm:sqref>
        </x14:dataValidation>
        <x14:dataValidation type="list" allowBlank="1" showInputMessage="1" showErrorMessage="1" xr:uid="{00000000-0002-0000-0300-0000C91A0000}">
          <x14:formula1>
            <xm:f>項目!A4:$TUO$720898</xm:f>
          </x14:formula1>
          <xm:sqref>TUX720901:TUX720924</xm:sqref>
        </x14:dataValidation>
        <x14:dataValidation type="list" allowBlank="1" showInputMessage="1" showErrorMessage="1" xr:uid="{00000000-0002-0000-0300-0000CA1A0000}">
          <x14:formula1>
            <xm:f>項目!A4:$UEK$720898</xm:f>
          </x14:formula1>
          <xm:sqref>UET720901:UET720924</xm:sqref>
        </x14:dataValidation>
        <x14:dataValidation type="list" allowBlank="1" showInputMessage="1" showErrorMessage="1" xr:uid="{00000000-0002-0000-0300-0000CB1A0000}">
          <x14:formula1>
            <xm:f>項目!A4:$UOG$720898</xm:f>
          </x14:formula1>
          <xm:sqref>UOP720901:UOP720924</xm:sqref>
        </x14:dataValidation>
        <x14:dataValidation type="list" allowBlank="1" showInputMessage="1" showErrorMessage="1" xr:uid="{00000000-0002-0000-0300-0000CC1A0000}">
          <x14:formula1>
            <xm:f>項目!A4:$UYC$720898</xm:f>
          </x14:formula1>
          <xm:sqref>UYL720901:UYL720924</xm:sqref>
        </x14:dataValidation>
        <x14:dataValidation type="list" allowBlank="1" showInputMessage="1" showErrorMessage="1" xr:uid="{00000000-0002-0000-0300-0000CD1A0000}">
          <x14:formula1>
            <xm:f>項目!A4:$VHY$720898</xm:f>
          </x14:formula1>
          <xm:sqref>VIH720901:VIH720924</xm:sqref>
        </x14:dataValidation>
        <x14:dataValidation type="list" allowBlank="1" showInputMessage="1" showErrorMessage="1" xr:uid="{00000000-0002-0000-0300-0000CE1A0000}">
          <x14:formula1>
            <xm:f>項目!A4:$VRU$720898</xm:f>
          </x14:formula1>
          <xm:sqref>VSD720901:VSD720924</xm:sqref>
        </x14:dataValidation>
        <x14:dataValidation type="list" allowBlank="1" showInputMessage="1" showErrorMessage="1" xr:uid="{00000000-0002-0000-0300-0000CF1A0000}">
          <x14:formula1>
            <xm:f>項目!A4:$WBQ$720898</xm:f>
          </x14:formula1>
          <xm:sqref>WBZ720901:WBZ720924</xm:sqref>
        </x14:dataValidation>
        <x14:dataValidation type="list" allowBlank="1" showInputMessage="1" showErrorMessage="1" xr:uid="{00000000-0002-0000-0300-0000D01A0000}">
          <x14:formula1>
            <xm:f>項目!A4:$WLM$720898</xm:f>
          </x14:formula1>
          <xm:sqref>WLV720901:WLV720924</xm:sqref>
        </x14:dataValidation>
        <x14:dataValidation type="list" allowBlank="1" showInputMessage="1" showErrorMessage="1" xr:uid="{00000000-0002-0000-0300-0000D11A0000}">
          <x14:formula1>
            <xm:f>項目!A4:$WVI$720898</xm:f>
          </x14:formula1>
          <xm:sqref>WVR720901:WVR720924</xm:sqref>
        </x14:dataValidation>
        <x14:dataValidation type="list" allowBlank="1" showInputMessage="1" showErrorMessage="1" xr:uid="{00000000-0002-0000-0300-0000D21A0000}">
          <x14:formula1>
            <xm:f>項目!A4:$IW$786434</xm:f>
          </x14:formula1>
          <xm:sqref>JF786437:JF786460</xm:sqref>
        </x14:dataValidation>
        <x14:dataValidation type="list" allowBlank="1" showInputMessage="1" showErrorMessage="1" xr:uid="{00000000-0002-0000-0300-0000D31A0000}">
          <x14:formula1>
            <xm:f>項目!A4:$SS$786434</xm:f>
          </x14:formula1>
          <xm:sqref>TB786437:TB786460</xm:sqref>
        </x14:dataValidation>
        <x14:dataValidation type="list" allowBlank="1" showInputMessage="1" showErrorMessage="1" xr:uid="{00000000-0002-0000-0300-0000D41A0000}">
          <x14:formula1>
            <xm:f>項目!A4:$ACO$786434</xm:f>
          </x14:formula1>
          <xm:sqref>ACX786437:ACX786460</xm:sqref>
        </x14:dataValidation>
        <x14:dataValidation type="list" allowBlank="1" showInputMessage="1" showErrorMessage="1" xr:uid="{00000000-0002-0000-0300-0000D51A0000}">
          <x14:formula1>
            <xm:f>項目!A4:$AMK$786434</xm:f>
          </x14:formula1>
          <xm:sqref>AMT786437:AMT786460</xm:sqref>
        </x14:dataValidation>
        <x14:dataValidation type="list" allowBlank="1" showInputMessage="1" showErrorMessage="1" xr:uid="{00000000-0002-0000-0300-0000D61A0000}">
          <x14:formula1>
            <xm:f>項目!A4:$AWG$786434</xm:f>
          </x14:formula1>
          <xm:sqref>AWP786437:AWP786460</xm:sqref>
        </x14:dataValidation>
        <x14:dataValidation type="list" allowBlank="1" showInputMessage="1" showErrorMessage="1" xr:uid="{00000000-0002-0000-0300-0000D71A0000}">
          <x14:formula1>
            <xm:f>項目!A4:$BGC$786434</xm:f>
          </x14:formula1>
          <xm:sqref>BGL786437:BGL786460</xm:sqref>
        </x14:dataValidation>
        <x14:dataValidation type="list" allowBlank="1" showInputMessage="1" showErrorMessage="1" xr:uid="{00000000-0002-0000-0300-0000D81A0000}">
          <x14:formula1>
            <xm:f>項目!A4:$BPY$786434</xm:f>
          </x14:formula1>
          <xm:sqref>BQH786437:BQH786460</xm:sqref>
        </x14:dataValidation>
        <x14:dataValidation type="list" allowBlank="1" showInputMessage="1" showErrorMessage="1" xr:uid="{00000000-0002-0000-0300-0000D91A0000}">
          <x14:formula1>
            <xm:f>項目!A4:$BZU$786434</xm:f>
          </x14:formula1>
          <xm:sqref>CAD786437:CAD786460</xm:sqref>
        </x14:dataValidation>
        <x14:dataValidation type="list" allowBlank="1" showInputMessage="1" showErrorMessage="1" xr:uid="{00000000-0002-0000-0300-0000DA1A0000}">
          <x14:formula1>
            <xm:f>項目!A4:$CJQ$786434</xm:f>
          </x14:formula1>
          <xm:sqref>CJZ786437:CJZ786460</xm:sqref>
        </x14:dataValidation>
        <x14:dataValidation type="list" allowBlank="1" showInputMessage="1" showErrorMessage="1" xr:uid="{00000000-0002-0000-0300-0000DB1A0000}">
          <x14:formula1>
            <xm:f>項目!A4:$CTM$786434</xm:f>
          </x14:formula1>
          <xm:sqref>CTV786437:CTV786460</xm:sqref>
        </x14:dataValidation>
        <x14:dataValidation type="list" allowBlank="1" showInputMessage="1" showErrorMessage="1" xr:uid="{00000000-0002-0000-0300-0000DC1A0000}">
          <x14:formula1>
            <xm:f>項目!A4:$DDI$786434</xm:f>
          </x14:formula1>
          <xm:sqref>DDR786437:DDR786460</xm:sqref>
        </x14:dataValidation>
        <x14:dataValidation type="list" allowBlank="1" showInputMessage="1" showErrorMessage="1" xr:uid="{00000000-0002-0000-0300-0000DD1A0000}">
          <x14:formula1>
            <xm:f>項目!A4:$DNE$786434</xm:f>
          </x14:formula1>
          <xm:sqref>DNN786437:DNN786460</xm:sqref>
        </x14:dataValidation>
        <x14:dataValidation type="list" allowBlank="1" showInputMessage="1" showErrorMessage="1" xr:uid="{00000000-0002-0000-0300-0000DE1A0000}">
          <x14:formula1>
            <xm:f>項目!A4:$DXA$786434</xm:f>
          </x14:formula1>
          <xm:sqref>DXJ786437:DXJ786460</xm:sqref>
        </x14:dataValidation>
        <x14:dataValidation type="list" allowBlank="1" showInputMessage="1" showErrorMessage="1" xr:uid="{00000000-0002-0000-0300-0000DF1A0000}">
          <x14:formula1>
            <xm:f>項目!A4:$EGW$786434</xm:f>
          </x14:formula1>
          <xm:sqref>EHF786437:EHF786460</xm:sqref>
        </x14:dataValidation>
        <x14:dataValidation type="list" allowBlank="1" showInputMessage="1" showErrorMessage="1" xr:uid="{00000000-0002-0000-0300-0000E01A0000}">
          <x14:formula1>
            <xm:f>項目!A4:$EQS$786434</xm:f>
          </x14:formula1>
          <xm:sqref>ERB786437:ERB786460</xm:sqref>
        </x14:dataValidation>
        <x14:dataValidation type="list" allowBlank="1" showInputMessage="1" showErrorMessage="1" xr:uid="{00000000-0002-0000-0300-0000E11A0000}">
          <x14:formula1>
            <xm:f>項目!A4:$FAO$786434</xm:f>
          </x14:formula1>
          <xm:sqref>FAX786437:FAX786460</xm:sqref>
        </x14:dataValidation>
        <x14:dataValidation type="list" allowBlank="1" showInputMessage="1" showErrorMessage="1" xr:uid="{00000000-0002-0000-0300-0000E21A0000}">
          <x14:formula1>
            <xm:f>項目!A4:$FKK$786434</xm:f>
          </x14:formula1>
          <xm:sqref>FKT786437:FKT786460</xm:sqref>
        </x14:dataValidation>
        <x14:dataValidation type="list" allowBlank="1" showInputMessage="1" showErrorMessage="1" xr:uid="{00000000-0002-0000-0300-0000E31A0000}">
          <x14:formula1>
            <xm:f>項目!A4:$FUG$786434</xm:f>
          </x14:formula1>
          <xm:sqref>FUP786437:FUP786460</xm:sqref>
        </x14:dataValidation>
        <x14:dataValidation type="list" allowBlank="1" showInputMessage="1" showErrorMessage="1" xr:uid="{00000000-0002-0000-0300-0000E41A0000}">
          <x14:formula1>
            <xm:f>項目!A4:$GEC$786434</xm:f>
          </x14:formula1>
          <xm:sqref>GEL786437:GEL786460</xm:sqref>
        </x14:dataValidation>
        <x14:dataValidation type="list" allowBlank="1" showInputMessage="1" showErrorMessage="1" xr:uid="{00000000-0002-0000-0300-0000E51A0000}">
          <x14:formula1>
            <xm:f>項目!A4:$GNY$786434</xm:f>
          </x14:formula1>
          <xm:sqref>GOH786437:GOH786460</xm:sqref>
        </x14:dataValidation>
        <x14:dataValidation type="list" allowBlank="1" showInputMessage="1" showErrorMessage="1" xr:uid="{00000000-0002-0000-0300-0000E61A0000}">
          <x14:formula1>
            <xm:f>項目!A4:$GXU$786434</xm:f>
          </x14:formula1>
          <xm:sqref>GYD786437:GYD786460</xm:sqref>
        </x14:dataValidation>
        <x14:dataValidation type="list" allowBlank="1" showInputMessage="1" showErrorMessage="1" xr:uid="{00000000-0002-0000-0300-0000E71A0000}">
          <x14:formula1>
            <xm:f>項目!A4:$HHQ$786434</xm:f>
          </x14:formula1>
          <xm:sqref>HHZ786437:HHZ786460</xm:sqref>
        </x14:dataValidation>
        <x14:dataValidation type="list" allowBlank="1" showInputMessage="1" showErrorMessage="1" xr:uid="{00000000-0002-0000-0300-0000E81A0000}">
          <x14:formula1>
            <xm:f>項目!A4:$HRM$786434</xm:f>
          </x14:formula1>
          <xm:sqref>HRV786437:HRV786460</xm:sqref>
        </x14:dataValidation>
        <x14:dataValidation type="list" allowBlank="1" showInputMessage="1" showErrorMessage="1" xr:uid="{00000000-0002-0000-0300-0000E91A0000}">
          <x14:formula1>
            <xm:f>項目!A4:$IBI$786434</xm:f>
          </x14:formula1>
          <xm:sqref>IBR786437:IBR786460</xm:sqref>
        </x14:dataValidation>
        <x14:dataValidation type="list" allowBlank="1" showInputMessage="1" showErrorMessage="1" xr:uid="{00000000-0002-0000-0300-0000EA1A0000}">
          <x14:formula1>
            <xm:f>項目!A4:$ILE$786434</xm:f>
          </x14:formula1>
          <xm:sqref>ILN786437:ILN786460</xm:sqref>
        </x14:dataValidation>
        <x14:dataValidation type="list" allowBlank="1" showInputMessage="1" showErrorMessage="1" xr:uid="{00000000-0002-0000-0300-0000EB1A0000}">
          <x14:formula1>
            <xm:f>項目!A4:$IVA$786434</xm:f>
          </x14:formula1>
          <xm:sqref>IVJ786437:IVJ786460</xm:sqref>
        </x14:dataValidation>
        <x14:dataValidation type="list" allowBlank="1" showInputMessage="1" showErrorMessage="1" xr:uid="{00000000-0002-0000-0300-0000EC1A0000}">
          <x14:formula1>
            <xm:f>項目!A4:$JEW$786434</xm:f>
          </x14:formula1>
          <xm:sqref>JFF786437:JFF786460</xm:sqref>
        </x14:dataValidation>
        <x14:dataValidation type="list" allowBlank="1" showInputMessage="1" showErrorMessage="1" xr:uid="{00000000-0002-0000-0300-0000ED1A0000}">
          <x14:formula1>
            <xm:f>項目!A4:$JOS$786434</xm:f>
          </x14:formula1>
          <xm:sqref>JPB786437:JPB786460</xm:sqref>
        </x14:dataValidation>
        <x14:dataValidation type="list" allowBlank="1" showInputMessage="1" showErrorMessage="1" xr:uid="{00000000-0002-0000-0300-0000EE1A0000}">
          <x14:formula1>
            <xm:f>項目!A4:$JYO$786434</xm:f>
          </x14:formula1>
          <xm:sqref>JYX786437:JYX786460</xm:sqref>
        </x14:dataValidation>
        <x14:dataValidation type="list" allowBlank="1" showInputMessage="1" showErrorMessage="1" xr:uid="{00000000-0002-0000-0300-0000EF1A0000}">
          <x14:formula1>
            <xm:f>項目!A4:$KIK$786434</xm:f>
          </x14:formula1>
          <xm:sqref>KIT786437:KIT786460</xm:sqref>
        </x14:dataValidation>
        <x14:dataValidation type="list" allowBlank="1" showInputMessage="1" showErrorMessage="1" xr:uid="{00000000-0002-0000-0300-0000F01A0000}">
          <x14:formula1>
            <xm:f>項目!A4:$KSG$786434</xm:f>
          </x14:formula1>
          <xm:sqref>KSP786437:KSP786460</xm:sqref>
        </x14:dataValidation>
        <x14:dataValidation type="list" allowBlank="1" showInputMessage="1" showErrorMessage="1" xr:uid="{00000000-0002-0000-0300-0000F11A0000}">
          <x14:formula1>
            <xm:f>項目!A4:$LCC$786434</xm:f>
          </x14:formula1>
          <xm:sqref>LCL786437:LCL786460</xm:sqref>
        </x14:dataValidation>
        <x14:dataValidation type="list" allowBlank="1" showInputMessage="1" showErrorMessage="1" xr:uid="{00000000-0002-0000-0300-0000F21A0000}">
          <x14:formula1>
            <xm:f>項目!A4:$LLY$786434</xm:f>
          </x14:formula1>
          <xm:sqref>LMH786437:LMH786460</xm:sqref>
        </x14:dataValidation>
        <x14:dataValidation type="list" allowBlank="1" showInputMessage="1" showErrorMessage="1" xr:uid="{00000000-0002-0000-0300-0000F31A0000}">
          <x14:formula1>
            <xm:f>項目!A4:$LVU$786434</xm:f>
          </x14:formula1>
          <xm:sqref>LWD786437:LWD786460</xm:sqref>
        </x14:dataValidation>
        <x14:dataValidation type="list" allowBlank="1" showInputMessage="1" showErrorMessage="1" xr:uid="{00000000-0002-0000-0300-0000F41A0000}">
          <x14:formula1>
            <xm:f>項目!A4:$MFQ$786434</xm:f>
          </x14:formula1>
          <xm:sqref>MFZ786437:MFZ786460</xm:sqref>
        </x14:dataValidation>
        <x14:dataValidation type="list" allowBlank="1" showInputMessage="1" showErrorMessage="1" xr:uid="{00000000-0002-0000-0300-0000F51A0000}">
          <x14:formula1>
            <xm:f>項目!A4:$MPM$786434</xm:f>
          </x14:formula1>
          <xm:sqref>MPV786437:MPV786460</xm:sqref>
        </x14:dataValidation>
        <x14:dataValidation type="list" allowBlank="1" showInputMessage="1" showErrorMessage="1" xr:uid="{00000000-0002-0000-0300-0000F61A0000}">
          <x14:formula1>
            <xm:f>項目!A4:$MZI$786434</xm:f>
          </x14:formula1>
          <xm:sqref>MZR786437:MZR786460</xm:sqref>
        </x14:dataValidation>
        <x14:dataValidation type="list" allowBlank="1" showInputMessage="1" showErrorMessage="1" xr:uid="{00000000-0002-0000-0300-0000F71A0000}">
          <x14:formula1>
            <xm:f>項目!A4:$NJE$786434</xm:f>
          </x14:formula1>
          <xm:sqref>NJN786437:NJN786460</xm:sqref>
        </x14:dataValidation>
        <x14:dataValidation type="list" allowBlank="1" showInputMessage="1" showErrorMessage="1" xr:uid="{00000000-0002-0000-0300-0000F81A0000}">
          <x14:formula1>
            <xm:f>項目!A4:$NTA$786434</xm:f>
          </x14:formula1>
          <xm:sqref>NTJ786437:NTJ786460</xm:sqref>
        </x14:dataValidation>
        <x14:dataValidation type="list" allowBlank="1" showInputMessage="1" showErrorMessage="1" xr:uid="{00000000-0002-0000-0300-0000F91A0000}">
          <x14:formula1>
            <xm:f>項目!A4:$OCW$786434</xm:f>
          </x14:formula1>
          <xm:sqref>ODF786437:ODF786460</xm:sqref>
        </x14:dataValidation>
        <x14:dataValidation type="list" allowBlank="1" showInputMessage="1" showErrorMessage="1" xr:uid="{00000000-0002-0000-0300-0000FA1A0000}">
          <x14:formula1>
            <xm:f>項目!A4:$OMS$786434</xm:f>
          </x14:formula1>
          <xm:sqref>ONB786437:ONB786460</xm:sqref>
        </x14:dataValidation>
        <x14:dataValidation type="list" allowBlank="1" showInputMessage="1" showErrorMessage="1" xr:uid="{00000000-0002-0000-0300-0000FB1A0000}">
          <x14:formula1>
            <xm:f>項目!A4:$OWO$786434</xm:f>
          </x14:formula1>
          <xm:sqref>OWX786437:OWX786460</xm:sqref>
        </x14:dataValidation>
        <x14:dataValidation type="list" allowBlank="1" showInputMessage="1" showErrorMessage="1" xr:uid="{00000000-0002-0000-0300-0000FC1A0000}">
          <x14:formula1>
            <xm:f>項目!A4:$PGK$786434</xm:f>
          </x14:formula1>
          <xm:sqref>PGT786437:PGT786460</xm:sqref>
        </x14:dataValidation>
        <x14:dataValidation type="list" allowBlank="1" showInputMessage="1" showErrorMessage="1" xr:uid="{00000000-0002-0000-0300-0000FD1A0000}">
          <x14:formula1>
            <xm:f>項目!A4:$PQG$786434</xm:f>
          </x14:formula1>
          <xm:sqref>PQP786437:PQP786460</xm:sqref>
        </x14:dataValidation>
        <x14:dataValidation type="list" allowBlank="1" showInputMessage="1" showErrorMessage="1" xr:uid="{00000000-0002-0000-0300-0000FE1A0000}">
          <x14:formula1>
            <xm:f>項目!A4:$QAC$786434</xm:f>
          </x14:formula1>
          <xm:sqref>QAL786437:QAL786460</xm:sqref>
        </x14:dataValidation>
        <x14:dataValidation type="list" allowBlank="1" showInputMessage="1" showErrorMessage="1" xr:uid="{00000000-0002-0000-0300-0000FF1A0000}">
          <x14:formula1>
            <xm:f>項目!A4:$QJY$786434</xm:f>
          </x14:formula1>
          <xm:sqref>QKH786437:QKH786460</xm:sqref>
        </x14:dataValidation>
        <x14:dataValidation type="list" allowBlank="1" showInputMessage="1" showErrorMessage="1" xr:uid="{00000000-0002-0000-0300-0000001B0000}">
          <x14:formula1>
            <xm:f>項目!A4:$QTU$786434</xm:f>
          </x14:formula1>
          <xm:sqref>QUD786437:QUD786460</xm:sqref>
        </x14:dataValidation>
        <x14:dataValidation type="list" allowBlank="1" showInputMessage="1" showErrorMessage="1" xr:uid="{00000000-0002-0000-0300-0000011B0000}">
          <x14:formula1>
            <xm:f>項目!A4:$RDQ$786434</xm:f>
          </x14:formula1>
          <xm:sqref>RDZ786437:RDZ786460</xm:sqref>
        </x14:dataValidation>
        <x14:dataValidation type="list" allowBlank="1" showInputMessage="1" showErrorMessage="1" xr:uid="{00000000-0002-0000-0300-0000021B0000}">
          <x14:formula1>
            <xm:f>項目!A4:$RNM$786434</xm:f>
          </x14:formula1>
          <xm:sqref>RNV786437:RNV786460</xm:sqref>
        </x14:dataValidation>
        <x14:dataValidation type="list" allowBlank="1" showInputMessage="1" showErrorMessage="1" xr:uid="{00000000-0002-0000-0300-0000031B0000}">
          <x14:formula1>
            <xm:f>項目!A4:$RXI$786434</xm:f>
          </x14:formula1>
          <xm:sqref>RXR786437:RXR786460</xm:sqref>
        </x14:dataValidation>
        <x14:dataValidation type="list" allowBlank="1" showInputMessage="1" showErrorMessage="1" xr:uid="{00000000-0002-0000-0300-0000041B0000}">
          <x14:formula1>
            <xm:f>項目!A4:$SHE$786434</xm:f>
          </x14:formula1>
          <xm:sqref>SHN786437:SHN786460</xm:sqref>
        </x14:dataValidation>
        <x14:dataValidation type="list" allowBlank="1" showInputMessage="1" showErrorMessage="1" xr:uid="{00000000-0002-0000-0300-0000051B0000}">
          <x14:formula1>
            <xm:f>項目!A4:$SRA$786434</xm:f>
          </x14:formula1>
          <xm:sqref>SRJ786437:SRJ786460</xm:sqref>
        </x14:dataValidation>
        <x14:dataValidation type="list" allowBlank="1" showInputMessage="1" showErrorMessage="1" xr:uid="{00000000-0002-0000-0300-0000061B0000}">
          <x14:formula1>
            <xm:f>項目!A4:$TAW$786434</xm:f>
          </x14:formula1>
          <xm:sqref>TBF786437:TBF786460</xm:sqref>
        </x14:dataValidation>
        <x14:dataValidation type="list" allowBlank="1" showInputMessage="1" showErrorMessage="1" xr:uid="{00000000-0002-0000-0300-0000071B0000}">
          <x14:formula1>
            <xm:f>項目!A4:$TKS$786434</xm:f>
          </x14:formula1>
          <xm:sqref>TLB786437:TLB786460</xm:sqref>
        </x14:dataValidation>
        <x14:dataValidation type="list" allowBlank="1" showInputMessage="1" showErrorMessage="1" xr:uid="{00000000-0002-0000-0300-0000081B0000}">
          <x14:formula1>
            <xm:f>項目!A4:$TUO$786434</xm:f>
          </x14:formula1>
          <xm:sqref>TUX786437:TUX786460</xm:sqref>
        </x14:dataValidation>
        <x14:dataValidation type="list" allowBlank="1" showInputMessage="1" showErrorMessage="1" xr:uid="{00000000-0002-0000-0300-0000091B0000}">
          <x14:formula1>
            <xm:f>項目!A4:$UEK$786434</xm:f>
          </x14:formula1>
          <xm:sqref>UET786437:UET786460</xm:sqref>
        </x14:dataValidation>
        <x14:dataValidation type="list" allowBlank="1" showInputMessage="1" showErrorMessage="1" xr:uid="{00000000-0002-0000-0300-00000A1B0000}">
          <x14:formula1>
            <xm:f>項目!A4:$UOG$786434</xm:f>
          </x14:formula1>
          <xm:sqref>UOP786437:UOP786460</xm:sqref>
        </x14:dataValidation>
        <x14:dataValidation type="list" allowBlank="1" showInputMessage="1" showErrorMessage="1" xr:uid="{00000000-0002-0000-0300-00000B1B0000}">
          <x14:formula1>
            <xm:f>項目!A4:$UYC$786434</xm:f>
          </x14:formula1>
          <xm:sqref>UYL786437:UYL786460</xm:sqref>
        </x14:dataValidation>
        <x14:dataValidation type="list" allowBlank="1" showInputMessage="1" showErrorMessage="1" xr:uid="{00000000-0002-0000-0300-00000C1B0000}">
          <x14:formula1>
            <xm:f>項目!A4:$VHY$786434</xm:f>
          </x14:formula1>
          <xm:sqref>VIH786437:VIH786460</xm:sqref>
        </x14:dataValidation>
        <x14:dataValidation type="list" allowBlank="1" showInputMessage="1" showErrorMessage="1" xr:uid="{00000000-0002-0000-0300-00000D1B0000}">
          <x14:formula1>
            <xm:f>項目!A4:$VRU$786434</xm:f>
          </x14:formula1>
          <xm:sqref>VSD786437:VSD786460</xm:sqref>
        </x14:dataValidation>
        <x14:dataValidation type="list" allowBlank="1" showInputMessage="1" showErrorMessage="1" xr:uid="{00000000-0002-0000-0300-00000E1B0000}">
          <x14:formula1>
            <xm:f>項目!A4:$WBQ$786434</xm:f>
          </x14:formula1>
          <xm:sqref>WBZ786437:WBZ786460</xm:sqref>
        </x14:dataValidation>
        <x14:dataValidation type="list" allowBlank="1" showInputMessage="1" showErrorMessage="1" xr:uid="{00000000-0002-0000-0300-00000F1B0000}">
          <x14:formula1>
            <xm:f>項目!A4:$WLM$786434</xm:f>
          </x14:formula1>
          <xm:sqref>WLV786437:WLV786460</xm:sqref>
        </x14:dataValidation>
        <x14:dataValidation type="list" allowBlank="1" showInputMessage="1" showErrorMessage="1" xr:uid="{00000000-0002-0000-0300-0000101B0000}">
          <x14:formula1>
            <xm:f>項目!A4:$WVI$786434</xm:f>
          </x14:formula1>
          <xm:sqref>WVR786437:WVR786460</xm:sqref>
        </x14:dataValidation>
        <x14:dataValidation type="list" allowBlank="1" showInputMessage="1" showErrorMessage="1" xr:uid="{00000000-0002-0000-0300-0000111B0000}">
          <x14:formula1>
            <xm:f>項目!A4:$IW$851970</xm:f>
          </x14:formula1>
          <xm:sqref>JF851973:JF851996</xm:sqref>
        </x14:dataValidation>
        <x14:dataValidation type="list" allowBlank="1" showInputMessage="1" showErrorMessage="1" xr:uid="{00000000-0002-0000-0300-0000121B0000}">
          <x14:formula1>
            <xm:f>項目!A4:$SS$851970</xm:f>
          </x14:formula1>
          <xm:sqref>TB851973:TB851996</xm:sqref>
        </x14:dataValidation>
        <x14:dataValidation type="list" allowBlank="1" showInputMessage="1" showErrorMessage="1" xr:uid="{00000000-0002-0000-0300-0000131B0000}">
          <x14:formula1>
            <xm:f>項目!A4:$ACO$851970</xm:f>
          </x14:formula1>
          <xm:sqref>ACX851973:ACX851996</xm:sqref>
        </x14:dataValidation>
        <x14:dataValidation type="list" allowBlank="1" showInputMessage="1" showErrorMessage="1" xr:uid="{00000000-0002-0000-0300-0000141B0000}">
          <x14:formula1>
            <xm:f>項目!A4:$AMK$851970</xm:f>
          </x14:formula1>
          <xm:sqref>AMT851973:AMT851996</xm:sqref>
        </x14:dataValidation>
        <x14:dataValidation type="list" allowBlank="1" showInputMessage="1" showErrorMessage="1" xr:uid="{00000000-0002-0000-0300-0000151B0000}">
          <x14:formula1>
            <xm:f>項目!A4:$AWG$851970</xm:f>
          </x14:formula1>
          <xm:sqref>AWP851973:AWP851996</xm:sqref>
        </x14:dataValidation>
        <x14:dataValidation type="list" allowBlank="1" showInputMessage="1" showErrorMessage="1" xr:uid="{00000000-0002-0000-0300-0000161B0000}">
          <x14:formula1>
            <xm:f>項目!A4:$BGC$851970</xm:f>
          </x14:formula1>
          <xm:sqref>BGL851973:BGL851996</xm:sqref>
        </x14:dataValidation>
        <x14:dataValidation type="list" allowBlank="1" showInputMessage="1" showErrorMessage="1" xr:uid="{00000000-0002-0000-0300-0000171B0000}">
          <x14:formula1>
            <xm:f>項目!A4:$BPY$851970</xm:f>
          </x14:formula1>
          <xm:sqref>BQH851973:BQH851996</xm:sqref>
        </x14:dataValidation>
        <x14:dataValidation type="list" allowBlank="1" showInputMessage="1" showErrorMessage="1" xr:uid="{00000000-0002-0000-0300-0000181B0000}">
          <x14:formula1>
            <xm:f>項目!A4:$BZU$851970</xm:f>
          </x14:formula1>
          <xm:sqref>CAD851973:CAD851996</xm:sqref>
        </x14:dataValidation>
        <x14:dataValidation type="list" allowBlank="1" showInputMessage="1" showErrorMessage="1" xr:uid="{00000000-0002-0000-0300-0000191B0000}">
          <x14:formula1>
            <xm:f>項目!A4:$CJQ$851970</xm:f>
          </x14:formula1>
          <xm:sqref>CJZ851973:CJZ851996</xm:sqref>
        </x14:dataValidation>
        <x14:dataValidation type="list" allowBlank="1" showInputMessage="1" showErrorMessage="1" xr:uid="{00000000-0002-0000-0300-00001A1B0000}">
          <x14:formula1>
            <xm:f>項目!A4:$CTM$851970</xm:f>
          </x14:formula1>
          <xm:sqref>CTV851973:CTV851996</xm:sqref>
        </x14:dataValidation>
        <x14:dataValidation type="list" allowBlank="1" showInputMessage="1" showErrorMessage="1" xr:uid="{00000000-0002-0000-0300-00001B1B0000}">
          <x14:formula1>
            <xm:f>項目!A4:$DDI$851970</xm:f>
          </x14:formula1>
          <xm:sqref>DDR851973:DDR851996</xm:sqref>
        </x14:dataValidation>
        <x14:dataValidation type="list" allowBlank="1" showInputMessage="1" showErrorMessage="1" xr:uid="{00000000-0002-0000-0300-00001C1B0000}">
          <x14:formula1>
            <xm:f>項目!A4:$DNE$851970</xm:f>
          </x14:formula1>
          <xm:sqref>DNN851973:DNN851996</xm:sqref>
        </x14:dataValidation>
        <x14:dataValidation type="list" allowBlank="1" showInputMessage="1" showErrorMessage="1" xr:uid="{00000000-0002-0000-0300-00001D1B0000}">
          <x14:formula1>
            <xm:f>項目!A4:$DXA$851970</xm:f>
          </x14:formula1>
          <xm:sqref>DXJ851973:DXJ851996</xm:sqref>
        </x14:dataValidation>
        <x14:dataValidation type="list" allowBlank="1" showInputMessage="1" showErrorMessage="1" xr:uid="{00000000-0002-0000-0300-00001E1B0000}">
          <x14:formula1>
            <xm:f>項目!A4:$EGW$851970</xm:f>
          </x14:formula1>
          <xm:sqref>EHF851973:EHF851996</xm:sqref>
        </x14:dataValidation>
        <x14:dataValidation type="list" allowBlank="1" showInputMessage="1" showErrorMessage="1" xr:uid="{00000000-0002-0000-0300-00001F1B0000}">
          <x14:formula1>
            <xm:f>項目!A4:$EQS$851970</xm:f>
          </x14:formula1>
          <xm:sqref>ERB851973:ERB851996</xm:sqref>
        </x14:dataValidation>
        <x14:dataValidation type="list" allowBlank="1" showInputMessage="1" showErrorMessage="1" xr:uid="{00000000-0002-0000-0300-0000201B0000}">
          <x14:formula1>
            <xm:f>項目!A4:$FAO$851970</xm:f>
          </x14:formula1>
          <xm:sqref>FAX851973:FAX851996</xm:sqref>
        </x14:dataValidation>
        <x14:dataValidation type="list" allowBlank="1" showInputMessage="1" showErrorMessage="1" xr:uid="{00000000-0002-0000-0300-0000211B0000}">
          <x14:formula1>
            <xm:f>項目!A4:$FKK$851970</xm:f>
          </x14:formula1>
          <xm:sqref>FKT851973:FKT851996</xm:sqref>
        </x14:dataValidation>
        <x14:dataValidation type="list" allowBlank="1" showInputMessage="1" showErrorMessage="1" xr:uid="{00000000-0002-0000-0300-0000221B0000}">
          <x14:formula1>
            <xm:f>項目!A4:$FUG$851970</xm:f>
          </x14:formula1>
          <xm:sqref>FUP851973:FUP851996</xm:sqref>
        </x14:dataValidation>
        <x14:dataValidation type="list" allowBlank="1" showInputMessage="1" showErrorMessage="1" xr:uid="{00000000-0002-0000-0300-0000231B0000}">
          <x14:formula1>
            <xm:f>項目!A4:$GEC$851970</xm:f>
          </x14:formula1>
          <xm:sqref>GEL851973:GEL851996</xm:sqref>
        </x14:dataValidation>
        <x14:dataValidation type="list" allowBlank="1" showInputMessage="1" showErrorMessage="1" xr:uid="{00000000-0002-0000-0300-0000241B0000}">
          <x14:formula1>
            <xm:f>項目!A4:$GNY$851970</xm:f>
          </x14:formula1>
          <xm:sqref>GOH851973:GOH851996</xm:sqref>
        </x14:dataValidation>
        <x14:dataValidation type="list" allowBlank="1" showInputMessage="1" showErrorMessage="1" xr:uid="{00000000-0002-0000-0300-0000251B0000}">
          <x14:formula1>
            <xm:f>項目!A4:$GXU$851970</xm:f>
          </x14:formula1>
          <xm:sqref>GYD851973:GYD851996</xm:sqref>
        </x14:dataValidation>
        <x14:dataValidation type="list" allowBlank="1" showInputMessage="1" showErrorMessage="1" xr:uid="{00000000-0002-0000-0300-0000261B0000}">
          <x14:formula1>
            <xm:f>項目!A4:$HHQ$851970</xm:f>
          </x14:formula1>
          <xm:sqref>HHZ851973:HHZ851996</xm:sqref>
        </x14:dataValidation>
        <x14:dataValidation type="list" allowBlank="1" showInputMessage="1" showErrorMessage="1" xr:uid="{00000000-0002-0000-0300-0000271B0000}">
          <x14:formula1>
            <xm:f>項目!A4:$HRM$851970</xm:f>
          </x14:formula1>
          <xm:sqref>HRV851973:HRV851996</xm:sqref>
        </x14:dataValidation>
        <x14:dataValidation type="list" allowBlank="1" showInputMessage="1" showErrorMessage="1" xr:uid="{00000000-0002-0000-0300-0000281B0000}">
          <x14:formula1>
            <xm:f>項目!A4:$IBI$851970</xm:f>
          </x14:formula1>
          <xm:sqref>IBR851973:IBR851996</xm:sqref>
        </x14:dataValidation>
        <x14:dataValidation type="list" allowBlank="1" showInputMessage="1" showErrorMessage="1" xr:uid="{00000000-0002-0000-0300-0000291B0000}">
          <x14:formula1>
            <xm:f>項目!A4:$ILE$851970</xm:f>
          </x14:formula1>
          <xm:sqref>ILN851973:ILN851996</xm:sqref>
        </x14:dataValidation>
        <x14:dataValidation type="list" allowBlank="1" showInputMessage="1" showErrorMessage="1" xr:uid="{00000000-0002-0000-0300-00002A1B0000}">
          <x14:formula1>
            <xm:f>項目!A4:$IVA$851970</xm:f>
          </x14:formula1>
          <xm:sqref>IVJ851973:IVJ851996</xm:sqref>
        </x14:dataValidation>
        <x14:dataValidation type="list" allowBlank="1" showInputMessage="1" showErrorMessage="1" xr:uid="{00000000-0002-0000-0300-00002B1B0000}">
          <x14:formula1>
            <xm:f>項目!A4:$JEW$851970</xm:f>
          </x14:formula1>
          <xm:sqref>JFF851973:JFF851996</xm:sqref>
        </x14:dataValidation>
        <x14:dataValidation type="list" allowBlank="1" showInputMessage="1" showErrorMessage="1" xr:uid="{00000000-0002-0000-0300-00002C1B0000}">
          <x14:formula1>
            <xm:f>項目!A4:$JOS$851970</xm:f>
          </x14:formula1>
          <xm:sqref>JPB851973:JPB851996</xm:sqref>
        </x14:dataValidation>
        <x14:dataValidation type="list" allowBlank="1" showInputMessage="1" showErrorMessage="1" xr:uid="{00000000-0002-0000-0300-00002D1B0000}">
          <x14:formula1>
            <xm:f>項目!A4:$JYO$851970</xm:f>
          </x14:formula1>
          <xm:sqref>JYX851973:JYX851996</xm:sqref>
        </x14:dataValidation>
        <x14:dataValidation type="list" allowBlank="1" showInputMessage="1" showErrorMessage="1" xr:uid="{00000000-0002-0000-0300-00002E1B0000}">
          <x14:formula1>
            <xm:f>項目!A4:$KIK$851970</xm:f>
          </x14:formula1>
          <xm:sqref>KIT851973:KIT851996</xm:sqref>
        </x14:dataValidation>
        <x14:dataValidation type="list" allowBlank="1" showInputMessage="1" showErrorMessage="1" xr:uid="{00000000-0002-0000-0300-00002F1B0000}">
          <x14:formula1>
            <xm:f>項目!A4:$KSG$851970</xm:f>
          </x14:formula1>
          <xm:sqref>KSP851973:KSP851996</xm:sqref>
        </x14:dataValidation>
        <x14:dataValidation type="list" allowBlank="1" showInputMessage="1" showErrorMessage="1" xr:uid="{00000000-0002-0000-0300-0000301B0000}">
          <x14:formula1>
            <xm:f>項目!A4:$LCC$851970</xm:f>
          </x14:formula1>
          <xm:sqref>LCL851973:LCL851996</xm:sqref>
        </x14:dataValidation>
        <x14:dataValidation type="list" allowBlank="1" showInputMessage="1" showErrorMessage="1" xr:uid="{00000000-0002-0000-0300-0000311B0000}">
          <x14:formula1>
            <xm:f>項目!A4:$LLY$851970</xm:f>
          </x14:formula1>
          <xm:sqref>LMH851973:LMH851996</xm:sqref>
        </x14:dataValidation>
        <x14:dataValidation type="list" allowBlank="1" showInputMessage="1" showErrorMessage="1" xr:uid="{00000000-0002-0000-0300-0000321B0000}">
          <x14:formula1>
            <xm:f>項目!A4:$LVU$851970</xm:f>
          </x14:formula1>
          <xm:sqref>LWD851973:LWD851996</xm:sqref>
        </x14:dataValidation>
        <x14:dataValidation type="list" allowBlank="1" showInputMessage="1" showErrorMessage="1" xr:uid="{00000000-0002-0000-0300-0000331B0000}">
          <x14:formula1>
            <xm:f>項目!A4:$MFQ$851970</xm:f>
          </x14:formula1>
          <xm:sqref>MFZ851973:MFZ851996</xm:sqref>
        </x14:dataValidation>
        <x14:dataValidation type="list" allowBlank="1" showInputMessage="1" showErrorMessage="1" xr:uid="{00000000-0002-0000-0300-0000341B0000}">
          <x14:formula1>
            <xm:f>項目!A4:$MPM$851970</xm:f>
          </x14:formula1>
          <xm:sqref>MPV851973:MPV851996</xm:sqref>
        </x14:dataValidation>
        <x14:dataValidation type="list" allowBlank="1" showInputMessage="1" showErrorMessage="1" xr:uid="{00000000-0002-0000-0300-0000351B0000}">
          <x14:formula1>
            <xm:f>項目!A4:$MZI$851970</xm:f>
          </x14:formula1>
          <xm:sqref>MZR851973:MZR851996</xm:sqref>
        </x14:dataValidation>
        <x14:dataValidation type="list" allowBlank="1" showInputMessage="1" showErrorMessage="1" xr:uid="{00000000-0002-0000-0300-0000361B0000}">
          <x14:formula1>
            <xm:f>項目!A4:$NJE$851970</xm:f>
          </x14:formula1>
          <xm:sqref>NJN851973:NJN851996</xm:sqref>
        </x14:dataValidation>
        <x14:dataValidation type="list" allowBlank="1" showInputMessage="1" showErrorMessage="1" xr:uid="{00000000-0002-0000-0300-0000371B0000}">
          <x14:formula1>
            <xm:f>項目!A4:$NTA$851970</xm:f>
          </x14:formula1>
          <xm:sqref>NTJ851973:NTJ851996</xm:sqref>
        </x14:dataValidation>
        <x14:dataValidation type="list" allowBlank="1" showInputMessage="1" showErrorMessage="1" xr:uid="{00000000-0002-0000-0300-0000381B0000}">
          <x14:formula1>
            <xm:f>項目!A4:$OCW$851970</xm:f>
          </x14:formula1>
          <xm:sqref>ODF851973:ODF851996</xm:sqref>
        </x14:dataValidation>
        <x14:dataValidation type="list" allowBlank="1" showInputMessage="1" showErrorMessage="1" xr:uid="{00000000-0002-0000-0300-0000391B0000}">
          <x14:formula1>
            <xm:f>項目!A4:$OMS$851970</xm:f>
          </x14:formula1>
          <xm:sqref>ONB851973:ONB851996</xm:sqref>
        </x14:dataValidation>
        <x14:dataValidation type="list" allowBlank="1" showInputMessage="1" showErrorMessage="1" xr:uid="{00000000-0002-0000-0300-00003A1B0000}">
          <x14:formula1>
            <xm:f>項目!A4:$OWO$851970</xm:f>
          </x14:formula1>
          <xm:sqref>OWX851973:OWX851996</xm:sqref>
        </x14:dataValidation>
        <x14:dataValidation type="list" allowBlank="1" showInputMessage="1" showErrorMessage="1" xr:uid="{00000000-0002-0000-0300-00003B1B0000}">
          <x14:formula1>
            <xm:f>項目!A4:$PGK$851970</xm:f>
          </x14:formula1>
          <xm:sqref>PGT851973:PGT851996</xm:sqref>
        </x14:dataValidation>
        <x14:dataValidation type="list" allowBlank="1" showInputMessage="1" showErrorMessage="1" xr:uid="{00000000-0002-0000-0300-00003C1B0000}">
          <x14:formula1>
            <xm:f>項目!A4:$PQG$851970</xm:f>
          </x14:formula1>
          <xm:sqref>PQP851973:PQP851996</xm:sqref>
        </x14:dataValidation>
        <x14:dataValidation type="list" allowBlank="1" showInputMessage="1" showErrorMessage="1" xr:uid="{00000000-0002-0000-0300-00003D1B0000}">
          <x14:formula1>
            <xm:f>項目!A4:$QAC$851970</xm:f>
          </x14:formula1>
          <xm:sqref>QAL851973:QAL851996</xm:sqref>
        </x14:dataValidation>
        <x14:dataValidation type="list" allowBlank="1" showInputMessage="1" showErrorMessage="1" xr:uid="{00000000-0002-0000-0300-00003E1B0000}">
          <x14:formula1>
            <xm:f>項目!A4:$QJY$851970</xm:f>
          </x14:formula1>
          <xm:sqref>QKH851973:QKH851996</xm:sqref>
        </x14:dataValidation>
        <x14:dataValidation type="list" allowBlank="1" showInputMessage="1" showErrorMessage="1" xr:uid="{00000000-0002-0000-0300-00003F1B0000}">
          <x14:formula1>
            <xm:f>項目!A4:$QTU$851970</xm:f>
          </x14:formula1>
          <xm:sqref>QUD851973:QUD851996</xm:sqref>
        </x14:dataValidation>
        <x14:dataValidation type="list" allowBlank="1" showInputMessage="1" showErrorMessage="1" xr:uid="{00000000-0002-0000-0300-0000401B0000}">
          <x14:formula1>
            <xm:f>項目!A4:$RDQ$851970</xm:f>
          </x14:formula1>
          <xm:sqref>RDZ851973:RDZ851996</xm:sqref>
        </x14:dataValidation>
        <x14:dataValidation type="list" allowBlank="1" showInputMessage="1" showErrorMessage="1" xr:uid="{00000000-0002-0000-0300-0000411B0000}">
          <x14:formula1>
            <xm:f>項目!A4:$RNM$851970</xm:f>
          </x14:formula1>
          <xm:sqref>RNV851973:RNV851996</xm:sqref>
        </x14:dataValidation>
        <x14:dataValidation type="list" allowBlank="1" showInputMessage="1" showErrorMessage="1" xr:uid="{00000000-0002-0000-0300-0000421B0000}">
          <x14:formula1>
            <xm:f>項目!A4:$RXI$851970</xm:f>
          </x14:formula1>
          <xm:sqref>RXR851973:RXR851996</xm:sqref>
        </x14:dataValidation>
        <x14:dataValidation type="list" allowBlank="1" showInputMessage="1" showErrorMessage="1" xr:uid="{00000000-0002-0000-0300-0000431B0000}">
          <x14:formula1>
            <xm:f>項目!A4:$SHE$851970</xm:f>
          </x14:formula1>
          <xm:sqref>SHN851973:SHN851996</xm:sqref>
        </x14:dataValidation>
        <x14:dataValidation type="list" allowBlank="1" showInputMessage="1" showErrorMessage="1" xr:uid="{00000000-0002-0000-0300-0000441B0000}">
          <x14:formula1>
            <xm:f>項目!A4:$SRA$851970</xm:f>
          </x14:formula1>
          <xm:sqref>SRJ851973:SRJ851996</xm:sqref>
        </x14:dataValidation>
        <x14:dataValidation type="list" allowBlank="1" showInputMessage="1" showErrorMessage="1" xr:uid="{00000000-0002-0000-0300-0000451B0000}">
          <x14:formula1>
            <xm:f>項目!A4:$TAW$851970</xm:f>
          </x14:formula1>
          <xm:sqref>TBF851973:TBF851996</xm:sqref>
        </x14:dataValidation>
        <x14:dataValidation type="list" allowBlank="1" showInputMessage="1" showErrorMessage="1" xr:uid="{00000000-0002-0000-0300-0000461B0000}">
          <x14:formula1>
            <xm:f>項目!A4:$TKS$851970</xm:f>
          </x14:formula1>
          <xm:sqref>TLB851973:TLB851996</xm:sqref>
        </x14:dataValidation>
        <x14:dataValidation type="list" allowBlank="1" showInputMessage="1" showErrorMessage="1" xr:uid="{00000000-0002-0000-0300-0000471B0000}">
          <x14:formula1>
            <xm:f>項目!A4:$TUO$851970</xm:f>
          </x14:formula1>
          <xm:sqref>TUX851973:TUX851996</xm:sqref>
        </x14:dataValidation>
        <x14:dataValidation type="list" allowBlank="1" showInputMessage="1" showErrorMessage="1" xr:uid="{00000000-0002-0000-0300-0000481B0000}">
          <x14:formula1>
            <xm:f>項目!A4:$UEK$851970</xm:f>
          </x14:formula1>
          <xm:sqref>UET851973:UET851996</xm:sqref>
        </x14:dataValidation>
        <x14:dataValidation type="list" allowBlank="1" showInputMessage="1" showErrorMessage="1" xr:uid="{00000000-0002-0000-0300-0000491B0000}">
          <x14:formula1>
            <xm:f>項目!A4:$UOG$851970</xm:f>
          </x14:formula1>
          <xm:sqref>UOP851973:UOP851996</xm:sqref>
        </x14:dataValidation>
        <x14:dataValidation type="list" allowBlank="1" showInputMessage="1" showErrorMessage="1" xr:uid="{00000000-0002-0000-0300-00004A1B0000}">
          <x14:formula1>
            <xm:f>項目!A4:$UYC$851970</xm:f>
          </x14:formula1>
          <xm:sqref>UYL851973:UYL851996</xm:sqref>
        </x14:dataValidation>
        <x14:dataValidation type="list" allowBlank="1" showInputMessage="1" showErrorMessage="1" xr:uid="{00000000-0002-0000-0300-00004B1B0000}">
          <x14:formula1>
            <xm:f>項目!A4:$VHY$851970</xm:f>
          </x14:formula1>
          <xm:sqref>VIH851973:VIH851996</xm:sqref>
        </x14:dataValidation>
        <x14:dataValidation type="list" allowBlank="1" showInputMessage="1" showErrorMessage="1" xr:uid="{00000000-0002-0000-0300-00004C1B0000}">
          <x14:formula1>
            <xm:f>項目!A4:$VRU$851970</xm:f>
          </x14:formula1>
          <xm:sqref>VSD851973:VSD851996</xm:sqref>
        </x14:dataValidation>
        <x14:dataValidation type="list" allowBlank="1" showInputMessage="1" showErrorMessage="1" xr:uid="{00000000-0002-0000-0300-00004D1B0000}">
          <x14:formula1>
            <xm:f>項目!A4:$WBQ$851970</xm:f>
          </x14:formula1>
          <xm:sqref>WBZ851973:WBZ851996</xm:sqref>
        </x14:dataValidation>
        <x14:dataValidation type="list" allowBlank="1" showInputMessage="1" showErrorMessage="1" xr:uid="{00000000-0002-0000-0300-00004E1B0000}">
          <x14:formula1>
            <xm:f>項目!A4:$WLM$851970</xm:f>
          </x14:formula1>
          <xm:sqref>WLV851973:WLV851996</xm:sqref>
        </x14:dataValidation>
        <x14:dataValidation type="list" allowBlank="1" showInputMessage="1" showErrorMessage="1" xr:uid="{00000000-0002-0000-0300-00004F1B0000}">
          <x14:formula1>
            <xm:f>項目!A4:$WVI$851970</xm:f>
          </x14:formula1>
          <xm:sqref>WVR851973:WVR851996</xm:sqref>
        </x14:dataValidation>
        <x14:dataValidation type="list" allowBlank="1" showInputMessage="1" showErrorMessage="1" xr:uid="{00000000-0002-0000-0300-0000501B0000}">
          <x14:formula1>
            <xm:f>項目!A4:$IW$917506</xm:f>
          </x14:formula1>
          <xm:sqref>JF917509:JF917532</xm:sqref>
        </x14:dataValidation>
        <x14:dataValidation type="list" allowBlank="1" showInputMessage="1" showErrorMessage="1" xr:uid="{00000000-0002-0000-0300-0000511B0000}">
          <x14:formula1>
            <xm:f>項目!A4:$SS$917506</xm:f>
          </x14:formula1>
          <xm:sqref>TB917509:TB917532</xm:sqref>
        </x14:dataValidation>
        <x14:dataValidation type="list" allowBlank="1" showInputMessage="1" showErrorMessage="1" xr:uid="{00000000-0002-0000-0300-0000521B0000}">
          <x14:formula1>
            <xm:f>項目!A4:$ACO$917506</xm:f>
          </x14:formula1>
          <xm:sqref>ACX917509:ACX917532</xm:sqref>
        </x14:dataValidation>
        <x14:dataValidation type="list" allowBlank="1" showInputMessage="1" showErrorMessage="1" xr:uid="{00000000-0002-0000-0300-0000531B0000}">
          <x14:formula1>
            <xm:f>項目!A4:$AMK$917506</xm:f>
          </x14:formula1>
          <xm:sqref>AMT917509:AMT917532</xm:sqref>
        </x14:dataValidation>
        <x14:dataValidation type="list" allowBlank="1" showInputMessage="1" showErrorMessage="1" xr:uid="{00000000-0002-0000-0300-0000541B0000}">
          <x14:formula1>
            <xm:f>項目!A4:$AWG$917506</xm:f>
          </x14:formula1>
          <xm:sqref>AWP917509:AWP917532</xm:sqref>
        </x14:dataValidation>
        <x14:dataValidation type="list" allowBlank="1" showInputMessage="1" showErrorMessage="1" xr:uid="{00000000-0002-0000-0300-0000551B0000}">
          <x14:formula1>
            <xm:f>項目!A4:$BGC$917506</xm:f>
          </x14:formula1>
          <xm:sqref>BGL917509:BGL917532</xm:sqref>
        </x14:dataValidation>
        <x14:dataValidation type="list" allowBlank="1" showInputMessage="1" showErrorMessage="1" xr:uid="{00000000-0002-0000-0300-0000561B0000}">
          <x14:formula1>
            <xm:f>項目!A4:$BPY$917506</xm:f>
          </x14:formula1>
          <xm:sqref>BQH917509:BQH917532</xm:sqref>
        </x14:dataValidation>
        <x14:dataValidation type="list" allowBlank="1" showInputMessage="1" showErrorMessage="1" xr:uid="{00000000-0002-0000-0300-0000571B0000}">
          <x14:formula1>
            <xm:f>項目!A4:$BZU$917506</xm:f>
          </x14:formula1>
          <xm:sqref>CAD917509:CAD917532</xm:sqref>
        </x14:dataValidation>
        <x14:dataValidation type="list" allowBlank="1" showInputMessage="1" showErrorMessage="1" xr:uid="{00000000-0002-0000-0300-0000581B0000}">
          <x14:formula1>
            <xm:f>項目!A4:$CJQ$917506</xm:f>
          </x14:formula1>
          <xm:sqref>CJZ917509:CJZ917532</xm:sqref>
        </x14:dataValidation>
        <x14:dataValidation type="list" allowBlank="1" showInputMessage="1" showErrorMessage="1" xr:uid="{00000000-0002-0000-0300-0000591B0000}">
          <x14:formula1>
            <xm:f>項目!A4:$CTM$917506</xm:f>
          </x14:formula1>
          <xm:sqref>CTV917509:CTV917532</xm:sqref>
        </x14:dataValidation>
        <x14:dataValidation type="list" allowBlank="1" showInputMessage="1" showErrorMessage="1" xr:uid="{00000000-0002-0000-0300-00005A1B0000}">
          <x14:formula1>
            <xm:f>項目!A4:$DDI$917506</xm:f>
          </x14:formula1>
          <xm:sqref>DDR917509:DDR917532</xm:sqref>
        </x14:dataValidation>
        <x14:dataValidation type="list" allowBlank="1" showInputMessage="1" showErrorMessage="1" xr:uid="{00000000-0002-0000-0300-00005B1B0000}">
          <x14:formula1>
            <xm:f>項目!A4:$DNE$917506</xm:f>
          </x14:formula1>
          <xm:sqref>DNN917509:DNN917532</xm:sqref>
        </x14:dataValidation>
        <x14:dataValidation type="list" allowBlank="1" showInputMessage="1" showErrorMessage="1" xr:uid="{00000000-0002-0000-0300-00005C1B0000}">
          <x14:formula1>
            <xm:f>項目!A4:$DXA$917506</xm:f>
          </x14:formula1>
          <xm:sqref>DXJ917509:DXJ917532</xm:sqref>
        </x14:dataValidation>
        <x14:dataValidation type="list" allowBlank="1" showInputMessage="1" showErrorMessage="1" xr:uid="{00000000-0002-0000-0300-00005D1B0000}">
          <x14:formula1>
            <xm:f>項目!A4:$EGW$917506</xm:f>
          </x14:formula1>
          <xm:sqref>EHF917509:EHF917532</xm:sqref>
        </x14:dataValidation>
        <x14:dataValidation type="list" allowBlank="1" showInputMessage="1" showErrorMessage="1" xr:uid="{00000000-0002-0000-0300-00005E1B0000}">
          <x14:formula1>
            <xm:f>項目!A4:$EQS$917506</xm:f>
          </x14:formula1>
          <xm:sqref>ERB917509:ERB917532</xm:sqref>
        </x14:dataValidation>
        <x14:dataValidation type="list" allowBlank="1" showInputMessage="1" showErrorMessage="1" xr:uid="{00000000-0002-0000-0300-00005F1B0000}">
          <x14:formula1>
            <xm:f>項目!A4:$FAO$917506</xm:f>
          </x14:formula1>
          <xm:sqref>FAX917509:FAX917532</xm:sqref>
        </x14:dataValidation>
        <x14:dataValidation type="list" allowBlank="1" showInputMessage="1" showErrorMessage="1" xr:uid="{00000000-0002-0000-0300-0000601B0000}">
          <x14:formula1>
            <xm:f>項目!A4:$FKK$917506</xm:f>
          </x14:formula1>
          <xm:sqref>FKT917509:FKT917532</xm:sqref>
        </x14:dataValidation>
        <x14:dataValidation type="list" allowBlank="1" showInputMessage="1" showErrorMessage="1" xr:uid="{00000000-0002-0000-0300-0000611B0000}">
          <x14:formula1>
            <xm:f>項目!A4:$FUG$917506</xm:f>
          </x14:formula1>
          <xm:sqref>FUP917509:FUP917532</xm:sqref>
        </x14:dataValidation>
        <x14:dataValidation type="list" allowBlank="1" showInputMessage="1" showErrorMessage="1" xr:uid="{00000000-0002-0000-0300-0000621B0000}">
          <x14:formula1>
            <xm:f>項目!A4:$GEC$917506</xm:f>
          </x14:formula1>
          <xm:sqref>GEL917509:GEL917532</xm:sqref>
        </x14:dataValidation>
        <x14:dataValidation type="list" allowBlank="1" showInputMessage="1" showErrorMessage="1" xr:uid="{00000000-0002-0000-0300-0000631B0000}">
          <x14:formula1>
            <xm:f>項目!A4:$GNY$917506</xm:f>
          </x14:formula1>
          <xm:sqref>GOH917509:GOH917532</xm:sqref>
        </x14:dataValidation>
        <x14:dataValidation type="list" allowBlank="1" showInputMessage="1" showErrorMessage="1" xr:uid="{00000000-0002-0000-0300-0000641B0000}">
          <x14:formula1>
            <xm:f>項目!A4:$GXU$917506</xm:f>
          </x14:formula1>
          <xm:sqref>GYD917509:GYD917532</xm:sqref>
        </x14:dataValidation>
        <x14:dataValidation type="list" allowBlank="1" showInputMessage="1" showErrorMessage="1" xr:uid="{00000000-0002-0000-0300-0000651B0000}">
          <x14:formula1>
            <xm:f>項目!A4:$HHQ$917506</xm:f>
          </x14:formula1>
          <xm:sqref>HHZ917509:HHZ917532</xm:sqref>
        </x14:dataValidation>
        <x14:dataValidation type="list" allowBlank="1" showInputMessage="1" showErrorMessage="1" xr:uid="{00000000-0002-0000-0300-0000661B0000}">
          <x14:formula1>
            <xm:f>項目!A4:$HRM$917506</xm:f>
          </x14:formula1>
          <xm:sqref>HRV917509:HRV917532</xm:sqref>
        </x14:dataValidation>
        <x14:dataValidation type="list" allowBlank="1" showInputMessage="1" showErrorMessage="1" xr:uid="{00000000-0002-0000-0300-0000671B0000}">
          <x14:formula1>
            <xm:f>項目!A4:$IBI$917506</xm:f>
          </x14:formula1>
          <xm:sqref>IBR917509:IBR917532</xm:sqref>
        </x14:dataValidation>
        <x14:dataValidation type="list" allowBlank="1" showInputMessage="1" showErrorMessage="1" xr:uid="{00000000-0002-0000-0300-0000681B0000}">
          <x14:formula1>
            <xm:f>項目!A4:$ILE$917506</xm:f>
          </x14:formula1>
          <xm:sqref>ILN917509:ILN917532</xm:sqref>
        </x14:dataValidation>
        <x14:dataValidation type="list" allowBlank="1" showInputMessage="1" showErrorMessage="1" xr:uid="{00000000-0002-0000-0300-0000691B0000}">
          <x14:formula1>
            <xm:f>項目!A4:$IVA$917506</xm:f>
          </x14:formula1>
          <xm:sqref>IVJ917509:IVJ917532</xm:sqref>
        </x14:dataValidation>
        <x14:dataValidation type="list" allowBlank="1" showInputMessage="1" showErrorMessage="1" xr:uid="{00000000-0002-0000-0300-00006A1B0000}">
          <x14:formula1>
            <xm:f>項目!A4:$JEW$917506</xm:f>
          </x14:formula1>
          <xm:sqref>JFF917509:JFF917532</xm:sqref>
        </x14:dataValidation>
        <x14:dataValidation type="list" allowBlank="1" showInputMessage="1" showErrorMessage="1" xr:uid="{00000000-0002-0000-0300-00006B1B0000}">
          <x14:formula1>
            <xm:f>項目!A4:$JOS$917506</xm:f>
          </x14:formula1>
          <xm:sqref>JPB917509:JPB917532</xm:sqref>
        </x14:dataValidation>
        <x14:dataValidation type="list" allowBlank="1" showInputMessage="1" showErrorMessage="1" xr:uid="{00000000-0002-0000-0300-00006C1B0000}">
          <x14:formula1>
            <xm:f>項目!A4:$JYO$917506</xm:f>
          </x14:formula1>
          <xm:sqref>JYX917509:JYX917532</xm:sqref>
        </x14:dataValidation>
        <x14:dataValidation type="list" allowBlank="1" showInputMessage="1" showErrorMessage="1" xr:uid="{00000000-0002-0000-0300-00006D1B0000}">
          <x14:formula1>
            <xm:f>項目!A4:$KIK$917506</xm:f>
          </x14:formula1>
          <xm:sqref>KIT917509:KIT917532</xm:sqref>
        </x14:dataValidation>
        <x14:dataValidation type="list" allowBlank="1" showInputMessage="1" showErrorMessage="1" xr:uid="{00000000-0002-0000-0300-00006E1B0000}">
          <x14:formula1>
            <xm:f>項目!A4:$KSG$917506</xm:f>
          </x14:formula1>
          <xm:sqref>KSP917509:KSP917532</xm:sqref>
        </x14:dataValidation>
        <x14:dataValidation type="list" allowBlank="1" showInputMessage="1" showErrorMessage="1" xr:uid="{00000000-0002-0000-0300-00006F1B0000}">
          <x14:formula1>
            <xm:f>項目!A4:$LCC$917506</xm:f>
          </x14:formula1>
          <xm:sqref>LCL917509:LCL917532</xm:sqref>
        </x14:dataValidation>
        <x14:dataValidation type="list" allowBlank="1" showInputMessage="1" showErrorMessage="1" xr:uid="{00000000-0002-0000-0300-0000701B0000}">
          <x14:formula1>
            <xm:f>項目!A4:$LLY$917506</xm:f>
          </x14:formula1>
          <xm:sqref>LMH917509:LMH917532</xm:sqref>
        </x14:dataValidation>
        <x14:dataValidation type="list" allowBlank="1" showInputMessage="1" showErrorMessage="1" xr:uid="{00000000-0002-0000-0300-0000711B0000}">
          <x14:formula1>
            <xm:f>項目!A4:$LVU$917506</xm:f>
          </x14:formula1>
          <xm:sqref>LWD917509:LWD917532</xm:sqref>
        </x14:dataValidation>
        <x14:dataValidation type="list" allowBlank="1" showInputMessage="1" showErrorMessage="1" xr:uid="{00000000-0002-0000-0300-0000721B0000}">
          <x14:formula1>
            <xm:f>項目!A4:$MFQ$917506</xm:f>
          </x14:formula1>
          <xm:sqref>MFZ917509:MFZ917532</xm:sqref>
        </x14:dataValidation>
        <x14:dataValidation type="list" allowBlank="1" showInputMessage="1" showErrorMessage="1" xr:uid="{00000000-0002-0000-0300-0000731B0000}">
          <x14:formula1>
            <xm:f>項目!A4:$MPM$917506</xm:f>
          </x14:formula1>
          <xm:sqref>MPV917509:MPV917532</xm:sqref>
        </x14:dataValidation>
        <x14:dataValidation type="list" allowBlank="1" showInputMessage="1" showErrorMessage="1" xr:uid="{00000000-0002-0000-0300-0000741B0000}">
          <x14:formula1>
            <xm:f>項目!A4:$MZI$917506</xm:f>
          </x14:formula1>
          <xm:sqref>MZR917509:MZR917532</xm:sqref>
        </x14:dataValidation>
        <x14:dataValidation type="list" allowBlank="1" showInputMessage="1" showErrorMessage="1" xr:uid="{00000000-0002-0000-0300-0000751B0000}">
          <x14:formula1>
            <xm:f>項目!A4:$NJE$917506</xm:f>
          </x14:formula1>
          <xm:sqref>NJN917509:NJN917532</xm:sqref>
        </x14:dataValidation>
        <x14:dataValidation type="list" allowBlank="1" showInputMessage="1" showErrorMessage="1" xr:uid="{00000000-0002-0000-0300-0000761B0000}">
          <x14:formula1>
            <xm:f>項目!A4:$NTA$917506</xm:f>
          </x14:formula1>
          <xm:sqref>NTJ917509:NTJ917532</xm:sqref>
        </x14:dataValidation>
        <x14:dataValidation type="list" allowBlank="1" showInputMessage="1" showErrorMessage="1" xr:uid="{00000000-0002-0000-0300-0000771B0000}">
          <x14:formula1>
            <xm:f>項目!A4:$OCW$917506</xm:f>
          </x14:formula1>
          <xm:sqref>ODF917509:ODF917532</xm:sqref>
        </x14:dataValidation>
        <x14:dataValidation type="list" allowBlank="1" showInputMessage="1" showErrorMessage="1" xr:uid="{00000000-0002-0000-0300-0000781B0000}">
          <x14:formula1>
            <xm:f>項目!A4:$OMS$917506</xm:f>
          </x14:formula1>
          <xm:sqref>ONB917509:ONB917532</xm:sqref>
        </x14:dataValidation>
        <x14:dataValidation type="list" allowBlank="1" showInputMessage="1" showErrorMessage="1" xr:uid="{00000000-0002-0000-0300-0000791B0000}">
          <x14:formula1>
            <xm:f>項目!A4:$OWO$917506</xm:f>
          </x14:formula1>
          <xm:sqref>OWX917509:OWX917532</xm:sqref>
        </x14:dataValidation>
        <x14:dataValidation type="list" allowBlank="1" showInputMessage="1" showErrorMessage="1" xr:uid="{00000000-0002-0000-0300-00007A1B0000}">
          <x14:formula1>
            <xm:f>項目!A4:$PGK$917506</xm:f>
          </x14:formula1>
          <xm:sqref>PGT917509:PGT917532</xm:sqref>
        </x14:dataValidation>
        <x14:dataValidation type="list" allowBlank="1" showInputMessage="1" showErrorMessage="1" xr:uid="{00000000-0002-0000-0300-00007B1B0000}">
          <x14:formula1>
            <xm:f>項目!A4:$PQG$917506</xm:f>
          </x14:formula1>
          <xm:sqref>PQP917509:PQP917532</xm:sqref>
        </x14:dataValidation>
        <x14:dataValidation type="list" allowBlank="1" showInputMessage="1" showErrorMessage="1" xr:uid="{00000000-0002-0000-0300-00007C1B0000}">
          <x14:formula1>
            <xm:f>項目!A4:$QAC$917506</xm:f>
          </x14:formula1>
          <xm:sqref>QAL917509:QAL917532</xm:sqref>
        </x14:dataValidation>
        <x14:dataValidation type="list" allowBlank="1" showInputMessage="1" showErrorMessage="1" xr:uid="{00000000-0002-0000-0300-00007D1B0000}">
          <x14:formula1>
            <xm:f>項目!A4:$QJY$917506</xm:f>
          </x14:formula1>
          <xm:sqref>QKH917509:QKH917532</xm:sqref>
        </x14:dataValidation>
        <x14:dataValidation type="list" allowBlank="1" showInputMessage="1" showErrorMessage="1" xr:uid="{00000000-0002-0000-0300-00007E1B0000}">
          <x14:formula1>
            <xm:f>項目!A4:$QTU$917506</xm:f>
          </x14:formula1>
          <xm:sqref>QUD917509:QUD917532</xm:sqref>
        </x14:dataValidation>
        <x14:dataValidation type="list" allowBlank="1" showInputMessage="1" showErrorMessage="1" xr:uid="{00000000-0002-0000-0300-00007F1B0000}">
          <x14:formula1>
            <xm:f>項目!A4:$RDQ$917506</xm:f>
          </x14:formula1>
          <xm:sqref>RDZ917509:RDZ917532</xm:sqref>
        </x14:dataValidation>
        <x14:dataValidation type="list" allowBlank="1" showInputMessage="1" showErrorMessage="1" xr:uid="{00000000-0002-0000-0300-0000801B0000}">
          <x14:formula1>
            <xm:f>項目!A4:$RNM$917506</xm:f>
          </x14:formula1>
          <xm:sqref>RNV917509:RNV917532</xm:sqref>
        </x14:dataValidation>
        <x14:dataValidation type="list" allowBlank="1" showInputMessage="1" showErrorMessage="1" xr:uid="{00000000-0002-0000-0300-0000811B0000}">
          <x14:formula1>
            <xm:f>項目!A4:$RXI$917506</xm:f>
          </x14:formula1>
          <xm:sqref>RXR917509:RXR917532</xm:sqref>
        </x14:dataValidation>
        <x14:dataValidation type="list" allowBlank="1" showInputMessage="1" showErrorMessage="1" xr:uid="{00000000-0002-0000-0300-0000821B0000}">
          <x14:formula1>
            <xm:f>項目!A4:$SHE$917506</xm:f>
          </x14:formula1>
          <xm:sqref>SHN917509:SHN917532</xm:sqref>
        </x14:dataValidation>
        <x14:dataValidation type="list" allowBlank="1" showInputMessage="1" showErrorMessage="1" xr:uid="{00000000-0002-0000-0300-0000831B0000}">
          <x14:formula1>
            <xm:f>項目!A4:$SRA$917506</xm:f>
          </x14:formula1>
          <xm:sqref>SRJ917509:SRJ917532</xm:sqref>
        </x14:dataValidation>
        <x14:dataValidation type="list" allowBlank="1" showInputMessage="1" showErrorMessage="1" xr:uid="{00000000-0002-0000-0300-0000841B0000}">
          <x14:formula1>
            <xm:f>項目!A4:$TAW$917506</xm:f>
          </x14:formula1>
          <xm:sqref>TBF917509:TBF917532</xm:sqref>
        </x14:dataValidation>
        <x14:dataValidation type="list" allowBlank="1" showInputMessage="1" showErrorMessage="1" xr:uid="{00000000-0002-0000-0300-0000851B0000}">
          <x14:formula1>
            <xm:f>項目!A4:$TKS$917506</xm:f>
          </x14:formula1>
          <xm:sqref>TLB917509:TLB917532</xm:sqref>
        </x14:dataValidation>
        <x14:dataValidation type="list" allowBlank="1" showInputMessage="1" showErrorMessage="1" xr:uid="{00000000-0002-0000-0300-0000861B0000}">
          <x14:formula1>
            <xm:f>項目!A4:$TUO$917506</xm:f>
          </x14:formula1>
          <xm:sqref>TUX917509:TUX917532</xm:sqref>
        </x14:dataValidation>
        <x14:dataValidation type="list" allowBlank="1" showInputMessage="1" showErrorMessage="1" xr:uid="{00000000-0002-0000-0300-0000871B0000}">
          <x14:formula1>
            <xm:f>項目!A4:$UEK$917506</xm:f>
          </x14:formula1>
          <xm:sqref>UET917509:UET917532</xm:sqref>
        </x14:dataValidation>
        <x14:dataValidation type="list" allowBlank="1" showInputMessage="1" showErrorMessage="1" xr:uid="{00000000-0002-0000-0300-0000881B0000}">
          <x14:formula1>
            <xm:f>項目!A4:$UOG$917506</xm:f>
          </x14:formula1>
          <xm:sqref>UOP917509:UOP917532</xm:sqref>
        </x14:dataValidation>
        <x14:dataValidation type="list" allowBlank="1" showInputMessage="1" showErrorMessage="1" xr:uid="{00000000-0002-0000-0300-0000891B0000}">
          <x14:formula1>
            <xm:f>項目!A4:$UYC$917506</xm:f>
          </x14:formula1>
          <xm:sqref>UYL917509:UYL917532</xm:sqref>
        </x14:dataValidation>
        <x14:dataValidation type="list" allowBlank="1" showInputMessage="1" showErrorMessage="1" xr:uid="{00000000-0002-0000-0300-00008A1B0000}">
          <x14:formula1>
            <xm:f>項目!A4:$VHY$917506</xm:f>
          </x14:formula1>
          <xm:sqref>VIH917509:VIH917532</xm:sqref>
        </x14:dataValidation>
        <x14:dataValidation type="list" allowBlank="1" showInputMessage="1" showErrorMessage="1" xr:uid="{00000000-0002-0000-0300-00008B1B0000}">
          <x14:formula1>
            <xm:f>項目!A4:$VRU$917506</xm:f>
          </x14:formula1>
          <xm:sqref>VSD917509:VSD917532</xm:sqref>
        </x14:dataValidation>
        <x14:dataValidation type="list" allowBlank="1" showInputMessage="1" showErrorMessage="1" xr:uid="{00000000-0002-0000-0300-00008C1B0000}">
          <x14:formula1>
            <xm:f>項目!A4:$WBQ$917506</xm:f>
          </x14:formula1>
          <xm:sqref>WBZ917509:WBZ917532</xm:sqref>
        </x14:dataValidation>
        <x14:dataValidation type="list" allowBlank="1" showInputMessage="1" showErrorMessage="1" xr:uid="{00000000-0002-0000-0300-00008D1B0000}">
          <x14:formula1>
            <xm:f>項目!A4:$WLM$917506</xm:f>
          </x14:formula1>
          <xm:sqref>WLV917509:WLV917532</xm:sqref>
        </x14:dataValidation>
        <x14:dataValidation type="list" allowBlank="1" showInputMessage="1" showErrorMessage="1" xr:uid="{00000000-0002-0000-0300-00008E1B0000}">
          <x14:formula1>
            <xm:f>項目!A4:$WVI$917506</xm:f>
          </x14:formula1>
          <xm:sqref>WVR917509:WVR917532</xm:sqref>
        </x14:dataValidation>
        <x14:dataValidation type="list" allowBlank="1" showInputMessage="1" showErrorMessage="1" xr:uid="{00000000-0002-0000-0300-00008F1B0000}">
          <x14:formula1>
            <xm:f>項目!A4:$IW$983042</xm:f>
          </x14:formula1>
          <xm:sqref>JF983045:JF983068</xm:sqref>
        </x14:dataValidation>
        <x14:dataValidation type="list" allowBlank="1" showInputMessage="1" showErrorMessage="1" xr:uid="{00000000-0002-0000-0300-0000901B0000}">
          <x14:formula1>
            <xm:f>項目!A4:$SS$983042</xm:f>
          </x14:formula1>
          <xm:sqref>TB983045:TB983068</xm:sqref>
        </x14:dataValidation>
        <x14:dataValidation type="list" allowBlank="1" showInputMessage="1" showErrorMessage="1" xr:uid="{00000000-0002-0000-0300-0000911B0000}">
          <x14:formula1>
            <xm:f>項目!A4:$ACO$983042</xm:f>
          </x14:formula1>
          <xm:sqref>ACX983045:ACX983068</xm:sqref>
        </x14:dataValidation>
        <x14:dataValidation type="list" allowBlank="1" showInputMessage="1" showErrorMessage="1" xr:uid="{00000000-0002-0000-0300-0000921B0000}">
          <x14:formula1>
            <xm:f>項目!A4:$AMK$983042</xm:f>
          </x14:formula1>
          <xm:sqref>AMT983045:AMT983068</xm:sqref>
        </x14:dataValidation>
        <x14:dataValidation type="list" allowBlank="1" showInputMessage="1" showErrorMessage="1" xr:uid="{00000000-0002-0000-0300-0000931B0000}">
          <x14:formula1>
            <xm:f>項目!A4:$AWG$983042</xm:f>
          </x14:formula1>
          <xm:sqref>AWP983045:AWP983068</xm:sqref>
        </x14:dataValidation>
        <x14:dataValidation type="list" allowBlank="1" showInputMessage="1" showErrorMessage="1" xr:uid="{00000000-0002-0000-0300-0000941B0000}">
          <x14:formula1>
            <xm:f>項目!A4:$BGC$983042</xm:f>
          </x14:formula1>
          <xm:sqref>BGL983045:BGL983068</xm:sqref>
        </x14:dataValidation>
        <x14:dataValidation type="list" allowBlank="1" showInputMessage="1" showErrorMessage="1" xr:uid="{00000000-0002-0000-0300-0000951B0000}">
          <x14:formula1>
            <xm:f>項目!A4:$BPY$983042</xm:f>
          </x14:formula1>
          <xm:sqref>BQH983045:BQH983068</xm:sqref>
        </x14:dataValidation>
        <x14:dataValidation type="list" allowBlank="1" showInputMessage="1" showErrorMessage="1" xr:uid="{00000000-0002-0000-0300-0000961B0000}">
          <x14:formula1>
            <xm:f>項目!A4:$BZU$983042</xm:f>
          </x14:formula1>
          <xm:sqref>CAD983045:CAD983068</xm:sqref>
        </x14:dataValidation>
        <x14:dataValidation type="list" allowBlank="1" showInputMessage="1" showErrorMessage="1" xr:uid="{00000000-0002-0000-0300-0000971B0000}">
          <x14:formula1>
            <xm:f>項目!A4:$CJQ$983042</xm:f>
          </x14:formula1>
          <xm:sqref>CJZ983045:CJZ983068</xm:sqref>
        </x14:dataValidation>
        <x14:dataValidation type="list" allowBlank="1" showInputMessage="1" showErrorMessage="1" xr:uid="{00000000-0002-0000-0300-0000981B0000}">
          <x14:formula1>
            <xm:f>項目!A4:$CTM$983042</xm:f>
          </x14:formula1>
          <xm:sqref>CTV983045:CTV983068</xm:sqref>
        </x14:dataValidation>
        <x14:dataValidation type="list" allowBlank="1" showInputMessage="1" showErrorMessage="1" xr:uid="{00000000-0002-0000-0300-0000991B0000}">
          <x14:formula1>
            <xm:f>項目!A4:$DDI$983042</xm:f>
          </x14:formula1>
          <xm:sqref>DDR983045:DDR983068</xm:sqref>
        </x14:dataValidation>
        <x14:dataValidation type="list" allowBlank="1" showInputMessage="1" showErrorMessage="1" xr:uid="{00000000-0002-0000-0300-00009A1B0000}">
          <x14:formula1>
            <xm:f>項目!A4:$DNE$983042</xm:f>
          </x14:formula1>
          <xm:sqref>DNN983045:DNN983068</xm:sqref>
        </x14:dataValidation>
        <x14:dataValidation type="list" allowBlank="1" showInputMessage="1" showErrorMessage="1" xr:uid="{00000000-0002-0000-0300-00009B1B0000}">
          <x14:formula1>
            <xm:f>項目!A4:$DXA$983042</xm:f>
          </x14:formula1>
          <xm:sqref>DXJ983045:DXJ983068</xm:sqref>
        </x14:dataValidation>
        <x14:dataValidation type="list" allowBlank="1" showInputMessage="1" showErrorMessage="1" xr:uid="{00000000-0002-0000-0300-00009C1B0000}">
          <x14:formula1>
            <xm:f>項目!A4:$EGW$983042</xm:f>
          </x14:formula1>
          <xm:sqref>EHF983045:EHF983068</xm:sqref>
        </x14:dataValidation>
        <x14:dataValidation type="list" allowBlank="1" showInputMessage="1" showErrorMessage="1" xr:uid="{00000000-0002-0000-0300-00009D1B0000}">
          <x14:formula1>
            <xm:f>項目!A4:$EQS$983042</xm:f>
          </x14:formula1>
          <xm:sqref>ERB983045:ERB983068</xm:sqref>
        </x14:dataValidation>
        <x14:dataValidation type="list" allowBlank="1" showInputMessage="1" showErrorMessage="1" xr:uid="{00000000-0002-0000-0300-00009E1B0000}">
          <x14:formula1>
            <xm:f>項目!A4:$FAO$983042</xm:f>
          </x14:formula1>
          <xm:sqref>FAX983045:FAX983068</xm:sqref>
        </x14:dataValidation>
        <x14:dataValidation type="list" allowBlank="1" showInputMessage="1" showErrorMessage="1" xr:uid="{00000000-0002-0000-0300-00009F1B0000}">
          <x14:formula1>
            <xm:f>項目!A4:$FKK$983042</xm:f>
          </x14:formula1>
          <xm:sqref>FKT983045:FKT983068</xm:sqref>
        </x14:dataValidation>
        <x14:dataValidation type="list" allowBlank="1" showInputMessage="1" showErrorMessage="1" xr:uid="{00000000-0002-0000-0300-0000A01B0000}">
          <x14:formula1>
            <xm:f>項目!A4:$FUG$983042</xm:f>
          </x14:formula1>
          <xm:sqref>FUP983045:FUP983068</xm:sqref>
        </x14:dataValidation>
        <x14:dataValidation type="list" allowBlank="1" showInputMessage="1" showErrorMessage="1" xr:uid="{00000000-0002-0000-0300-0000A11B0000}">
          <x14:formula1>
            <xm:f>項目!A4:$GEC$983042</xm:f>
          </x14:formula1>
          <xm:sqref>GEL983045:GEL983068</xm:sqref>
        </x14:dataValidation>
        <x14:dataValidation type="list" allowBlank="1" showInputMessage="1" showErrorMessage="1" xr:uid="{00000000-0002-0000-0300-0000A21B0000}">
          <x14:formula1>
            <xm:f>項目!A4:$GNY$983042</xm:f>
          </x14:formula1>
          <xm:sqref>GOH983045:GOH983068</xm:sqref>
        </x14:dataValidation>
        <x14:dataValidation type="list" allowBlank="1" showInputMessage="1" showErrorMessage="1" xr:uid="{00000000-0002-0000-0300-0000A31B0000}">
          <x14:formula1>
            <xm:f>項目!A4:$GXU$983042</xm:f>
          </x14:formula1>
          <xm:sqref>GYD983045:GYD983068</xm:sqref>
        </x14:dataValidation>
        <x14:dataValidation type="list" allowBlank="1" showInputMessage="1" showErrorMessage="1" xr:uid="{00000000-0002-0000-0300-0000A41B0000}">
          <x14:formula1>
            <xm:f>項目!A4:$HHQ$983042</xm:f>
          </x14:formula1>
          <xm:sqref>HHZ983045:HHZ983068</xm:sqref>
        </x14:dataValidation>
        <x14:dataValidation type="list" allowBlank="1" showInputMessage="1" showErrorMessage="1" xr:uid="{00000000-0002-0000-0300-0000A51B0000}">
          <x14:formula1>
            <xm:f>項目!A4:$HRM$983042</xm:f>
          </x14:formula1>
          <xm:sqref>HRV983045:HRV983068</xm:sqref>
        </x14:dataValidation>
        <x14:dataValidation type="list" allowBlank="1" showInputMessage="1" showErrorMessage="1" xr:uid="{00000000-0002-0000-0300-0000A61B0000}">
          <x14:formula1>
            <xm:f>項目!A4:$IBI$983042</xm:f>
          </x14:formula1>
          <xm:sqref>IBR983045:IBR983068</xm:sqref>
        </x14:dataValidation>
        <x14:dataValidation type="list" allowBlank="1" showInputMessage="1" showErrorMessage="1" xr:uid="{00000000-0002-0000-0300-0000A71B0000}">
          <x14:formula1>
            <xm:f>項目!A4:$ILE$983042</xm:f>
          </x14:formula1>
          <xm:sqref>ILN983045:ILN983068</xm:sqref>
        </x14:dataValidation>
        <x14:dataValidation type="list" allowBlank="1" showInputMessage="1" showErrorMessage="1" xr:uid="{00000000-0002-0000-0300-0000A81B0000}">
          <x14:formula1>
            <xm:f>項目!A4:$IVA$983042</xm:f>
          </x14:formula1>
          <xm:sqref>IVJ983045:IVJ983068</xm:sqref>
        </x14:dataValidation>
        <x14:dataValidation type="list" allowBlank="1" showInputMessage="1" showErrorMessage="1" xr:uid="{00000000-0002-0000-0300-0000A91B0000}">
          <x14:formula1>
            <xm:f>項目!A4:$JEW$983042</xm:f>
          </x14:formula1>
          <xm:sqref>JFF983045:JFF983068</xm:sqref>
        </x14:dataValidation>
        <x14:dataValidation type="list" allowBlank="1" showInputMessage="1" showErrorMessage="1" xr:uid="{00000000-0002-0000-0300-0000AA1B0000}">
          <x14:formula1>
            <xm:f>項目!A4:$JOS$983042</xm:f>
          </x14:formula1>
          <xm:sqref>JPB983045:JPB983068</xm:sqref>
        </x14:dataValidation>
        <x14:dataValidation type="list" allowBlank="1" showInputMessage="1" showErrorMessage="1" xr:uid="{00000000-0002-0000-0300-0000AB1B0000}">
          <x14:formula1>
            <xm:f>項目!A4:$JYO$983042</xm:f>
          </x14:formula1>
          <xm:sqref>JYX983045:JYX983068</xm:sqref>
        </x14:dataValidation>
        <x14:dataValidation type="list" allowBlank="1" showInputMessage="1" showErrorMessage="1" xr:uid="{00000000-0002-0000-0300-0000AC1B0000}">
          <x14:formula1>
            <xm:f>項目!A4:$KIK$983042</xm:f>
          </x14:formula1>
          <xm:sqref>KIT983045:KIT983068</xm:sqref>
        </x14:dataValidation>
        <x14:dataValidation type="list" allowBlank="1" showInputMessage="1" showErrorMessage="1" xr:uid="{00000000-0002-0000-0300-0000AD1B0000}">
          <x14:formula1>
            <xm:f>項目!A4:$KSG$983042</xm:f>
          </x14:formula1>
          <xm:sqref>KSP983045:KSP983068</xm:sqref>
        </x14:dataValidation>
        <x14:dataValidation type="list" allowBlank="1" showInputMessage="1" showErrorMessage="1" xr:uid="{00000000-0002-0000-0300-0000AE1B0000}">
          <x14:formula1>
            <xm:f>項目!A4:$LCC$983042</xm:f>
          </x14:formula1>
          <xm:sqref>LCL983045:LCL983068</xm:sqref>
        </x14:dataValidation>
        <x14:dataValidation type="list" allowBlank="1" showInputMessage="1" showErrorMessage="1" xr:uid="{00000000-0002-0000-0300-0000AF1B0000}">
          <x14:formula1>
            <xm:f>項目!A4:$LLY$983042</xm:f>
          </x14:formula1>
          <xm:sqref>LMH983045:LMH983068</xm:sqref>
        </x14:dataValidation>
        <x14:dataValidation type="list" allowBlank="1" showInputMessage="1" showErrorMessage="1" xr:uid="{00000000-0002-0000-0300-0000B01B0000}">
          <x14:formula1>
            <xm:f>項目!A4:$LVU$983042</xm:f>
          </x14:formula1>
          <xm:sqref>LWD983045:LWD983068</xm:sqref>
        </x14:dataValidation>
        <x14:dataValidation type="list" allowBlank="1" showInputMessage="1" showErrorMessage="1" xr:uid="{00000000-0002-0000-0300-0000B11B0000}">
          <x14:formula1>
            <xm:f>項目!A4:$MFQ$983042</xm:f>
          </x14:formula1>
          <xm:sqref>MFZ983045:MFZ983068</xm:sqref>
        </x14:dataValidation>
        <x14:dataValidation type="list" allowBlank="1" showInputMessage="1" showErrorMessage="1" xr:uid="{00000000-0002-0000-0300-0000B21B0000}">
          <x14:formula1>
            <xm:f>項目!A4:$MPM$983042</xm:f>
          </x14:formula1>
          <xm:sqref>MPV983045:MPV983068</xm:sqref>
        </x14:dataValidation>
        <x14:dataValidation type="list" allowBlank="1" showInputMessage="1" showErrorMessage="1" xr:uid="{00000000-0002-0000-0300-0000B31B0000}">
          <x14:formula1>
            <xm:f>項目!A4:$MZI$983042</xm:f>
          </x14:formula1>
          <xm:sqref>MZR983045:MZR983068</xm:sqref>
        </x14:dataValidation>
        <x14:dataValidation type="list" allowBlank="1" showInputMessage="1" showErrorMessage="1" xr:uid="{00000000-0002-0000-0300-0000B41B0000}">
          <x14:formula1>
            <xm:f>項目!A4:$NJE$983042</xm:f>
          </x14:formula1>
          <xm:sqref>NJN983045:NJN983068</xm:sqref>
        </x14:dataValidation>
        <x14:dataValidation type="list" allowBlank="1" showInputMessage="1" showErrorMessage="1" xr:uid="{00000000-0002-0000-0300-0000B51B0000}">
          <x14:formula1>
            <xm:f>項目!A4:$NTA$983042</xm:f>
          </x14:formula1>
          <xm:sqref>NTJ983045:NTJ983068</xm:sqref>
        </x14:dataValidation>
        <x14:dataValidation type="list" allowBlank="1" showInputMessage="1" showErrorMessage="1" xr:uid="{00000000-0002-0000-0300-0000B61B0000}">
          <x14:formula1>
            <xm:f>項目!A4:$OCW$983042</xm:f>
          </x14:formula1>
          <xm:sqref>ODF983045:ODF983068</xm:sqref>
        </x14:dataValidation>
        <x14:dataValidation type="list" allowBlank="1" showInputMessage="1" showErrorMessage="1" xr:uid="{00000000-0002-0000-0300-0000B71B0000}">
          <x14:formula1>
            <xm:f>項目!A4:$OMS$983042</xm:f>
          </x14:formula1>
          <xm:sqref>ONB983045:ONB983068</xm:sqref>
        </x14:dataValidation>
        <x14:dataValidation type="list" allowBlank="1" showInputMessage="1" showErrorMessage="1" xr:uid="{00000000-0002-0000-0300-0000B81B0000}">
          <x14:formula1>
            <xm:f>項目!A4:$OWO$983042</xm:f>
          </x14:formula1>
          <xm:sqref>OWX983045:OWX983068</xm:sqref>
        </x14:dataValidation>
        <x14:dataValidation type="list" allowBlank="1" showInputMessage="1" showErrorMessage="1" xr:uid="{00000000-0002-0000-0300-0000B91B0000}">
          <x14:formula1>
            <xm:f>項目!A4:$PGK$983042</xm:f>
          </x14:formula1>
          <xm:sqref>PGT983045:PGT983068</xm:sqref>
        </x14:dataValidation>
        <x14:dataValidation type="list" allowBlank="1" showInputMessage="1" showErrorMessage="1" xr:uid="{00000000-0002-0000-0300-0000BA1B0000}">
          <x14:formula1>
            <xm:f>項目!A4:$PQG$983042</xm:f>
          </x14:formula1>
          <xm:sqref>PQP983045:PQP983068</xm:sqref>
        </x14:dataValidation>
        <x14:dataValidation type="list" allowBlank="1" showInputMessage="1" showErrorMessage="1" xr:uid="{00000000-0002-0000-0300-0000BB1B0000}">
          <x14:formula1>
            <xm:f>項目!A4:$QAC$983042</xm:f>
          </x14:formula1>
          <xm:sqref>QAL983045:QAL983068</xm:sqref>
        </x14:dataValidation>
        <x14:dataValidation type="list" allowBlank="1" showInputMessage="1" showErrorMessage="1" xr:uid="{00000000-0002-0000-0300-0000BC1B0000}">
          <x14:formula1>
            <xm:f>項目!A4:$QJY$983042</xm:f>
          </x14:formula1>
          <xm:sqref>QKH983045:QKH983068</xm:sqref>
        </x14:dataValidation>
        <x14:dataValidation type="list" allowBlank="1" showInputMessage="1" showErrorMessage="1" xr:uid="{00000000-0002-0000-0300-0000BD1B0000}">
          <x14:formula1>
            <xm:f>項目!A4:$QTU$983042</xm:f>
          </x14:formula1>
          <xm:sqref>QUD983045:QUD983068</xm:sqref>
        </x14:dataValidation>
        <x14:dataValidation type="list" allowBlank="1" showInputMessage="1" showErrorMessage="1" xr:uid="{00000000-0002-0000-0300-0000BE1B0000}">
          <x14:formula1>
            <xm:f>項目!A4:$RDQ$983042</xm:f>
          </x14:formula1>
          <xm:sqref>RDZ983045:RDZ983068</xm:sqref>
        </x14:dataValidation>
        <x14:dataValidation type="list" allowBlank="1" showInputMessage="1" showErrorMessage="1" xr:uid="{00000000-0002-0000-0300-0000BF1B0000}">
          <x14:formula1>
            <xm:f>項目!A4:$RNM$983042</xm:f>
          </x14:formula1>
          <xm:sqref>RNV983045:RNV983068</xm:sqref>
        </x14:dataValidation>
        <x14:dataValidation type="list" allowBlank="1" showInputMessage="1" showErrorMessage="1" xr:uid="{00000000-0002-0000-0300-0000C01B0000}">
          <x14:formula1>
            <xm:f>項目!A4:$RXI$983042</xm:f>
          </x14:formula1>
          <xm:sqref>RXR983045:RXR983068</xm:sqref>
        </x14:dataValidation>
        <x14:dataValidation type="list" allowBlank="1" showInputMessage="1" showErrorMessage="1" xr:uid="{00000000-0002-0000-0300-0000C11B0000}">
          <x14:formula1>
            <xm:f>項目!A4:$SHE$983042</xm:f>
          </x14:formula1>
          <xm:sqref>SHN983045:SHN983068</xm:sqref>
        </x14:dataValidation>
        <x14:dataValidation type="list" allowBlank="1" showInputMessage="1" showErrorMessage="1" xr:uid="{00000000-0002-0000-0300-0000C21B0000}">
          <x14:formula1>
            <xm:f>項目!A4:$SRA$983042</xm:f>
          </x14:formula1>
          <xm:sqref>SRJ983045:SRJ983068</xm:sqref>
        </x14:dataValidation>
        <x14:dataValidation type="list" allowBlank="1" showInputMessage="1" showErrorMessage="1" xr:uid="{00000000-0002-0000-0300-0000C31B0000}">
          <x14:formula1>
            <xm:f>項目!A4:$TAW$983042</xm:f>
          </x14:formula1>
          <xm:sqref>TBF983045:TBF983068</xm:sqref>
        </x14:dataValidation>
        <x14:dataValidation type="list" allowBlank="1" showInputMessage="1" showErrorMessage="1" xr:uid="{00000000-0002-0000-0300-0000C41B0000}">
          <x14:formula1>
            <xm:f>項目!A4:$TKS$983042</xm:f>
          </x14:formula1>
          <xm:sqref>TLB983045:TLB983068</xm:sqref>
        </x14:dataValidation>
        <x14:dataValidation type="list" allowBlank="1" showInputMessage="1" showErrorMessage="1" xr:uid="{00000000-0002-0000-0300-0000C51B0000}">
          <x14:formula1>
            <xm:f>項目!A4:$TUO$983042</xm:f>
          </x14:formula1>
          <xm:sqref>TUX983045:TUX983068</xm:sqref>
        </x14:dataValidation>
        <x14:dataValidation type="list" allowBlank="1" showInputMessage="1" showErrorMessage="1" xr:uid="{00000000-0002-0000-0300-0000C61B0000}">
          <x14:formula1>
            <xm:f>項目!A4:$UEK$983042</xm:f>
          </x14:formula1>
          <xm:sqref>UET983045:UET983068</xm:sqref>
        </x14:dataValidation>
        <x14:dataValidation type="list" allowBlank="1" showInputMessage="1" showErrorMessage="1" xr:uid="{00000000-0002-0000-0300-0000C71B0000}">
          <x14:formula1>
            <xm:f>項目!A4:$UOG$983042</xm:f>
          </x14:formula1>
          <xm:sqref>UOP983045:UOP983068</xm:sqref>
        </x14:dataValidation>
        <x14:dataValidation type="list" allowBlank="1" showInputMessage="1" showErrorMessage="1" xr:uid="{00000000-0002-0000-0300-0000C81B0000}">
          <x14:formula1>
            <xm:f>項目!A4:$UYC$983042</xm:f>
          </x14:formula1>
          <xm:sqref>UYL983045:UYL983068</xm:sqref>
        </x14:dataValidation>
        <x14:dataValidation type="list" allowBlank="1" showInputMessage="1" showErrorMessage="1" xr:uid="{00000000-0002-0000-0300-0000C91B0000}">
          <x14:formula1>
            <xm:f>項目!A4:$VHY$983042</xm:f>
          </x14:formula1>
          <xm:sqref>VIH983045:VIH983068</xm:sqref>
        </x14:dataValidation>
        <x14:dataValidation type="list" allowBlank="1" showInputMessage="1" showErrorMessage="1" xr:uid="{00000000-0002-0000-0300-0000CA1B0000}">
          <x14:formula1>
            <xm:f>項目!A4:$VRU$983042</xm:f>
          </x14:formula1>
          <xm:sqref>VSD983045:VSD983068</xm:sqref>
        </x14:dataValidation>
        <x14:dataValidation type="list" allowBlank="1" showInputMessage="1" showErrorMessage="1" xr:uid="{00000000-0002-0000-0300-0000CB1B0000}">
          <x14:formula1>
            <xm:f>項目!A4:$WBQ$983042</xm:f>
          </x14:formula1>
          <xm:sqref>WBZ983045:WBZ983068</xm:sqref>
        </x14:dataValidation>
        <x14:dataValidation type="list" allowBlank="1" showInputMessage="1" showErrorMessage="1" xr:uid="{00000000-0002-0000-0300-0000CC1B0000}">
          <x14:formula1>
            <xm:f>項目!A4:$WLM$983042</xm:f>
          </x14:formula1>
          <xm:sqref>WLV983045:WLV983068</xm:sqref>
        </x14:dataValidation>
        <x14:dataValidation type="list" allowBlank="1" showInputMessage="1" showErrorMessage="1" xr:uid="{00000000-0002-0000-0300-0000CD1B0000}">
          <x14:formula1>
            <xm:f>項目!A4:$WVI$983042</xm:f>
          </x14:formula1>
          <xm:sqref>WVR983045:WVR983068</xm:sqref>
        </x14:dataValidation>
        <x14:dataValidation type="list" allowBlank="1" showInputMessage="1" showErrorMessage="1" xr:uid="{00000000-0002-0000-0300-0000CE1B0000}">
          <x14:formula1>
            <xm:f>項目!A2:$IS$4</xm:f>
          </x14:formula1>
          <xm:sqref>JB5:JB28</xm:sqref>
        </x14:dataValidation>
        <x14:dataValidation type="list" allowBlank="1" showInputMessage="1" showErrorMessage="1" xr:uid="{00000000-0002-0000-0300-0000CF1B0000}">
          <x14:formula1>
            <xm:f>項目!A2:$JA$4</xm:f>
          </x14:formula1>
          <xm:sqref>JJ5:JJ28</xm:sqref>
        </x14:dataValidation>
        <x14:dataValidation type="list" allowBlank="1" showInputMessage="1" showErrorMessage="1" xr:uid="{00000000-0002-0000-0300-0000D01B0000}">
          <x14:formula1>
            <xm:f>項目!A2:$SW$4</xm:f>
          </x14:formula1>
          <xm:sqref>TF5:TF28</xm:sqref>
        </x14:dataValidation>
        <x14:dataValidation type="list" allowBlank="1" showInputMessage="1" showErrorMessage="1" xr:uid="{00000000-0002-0000-0300-0000D11B0000}">
          <x14:formula1>
            <xm:f>項目!A2:$ACS$4</xm:f>
          </x14:formula1>
          <xm:sqref>ADB5:ADB28</xm:sqref>
        </x14:dataValidation>
        <x14:dataValidation type="list" allowBlank="1" showInputMessage="1" showErrorMessage="1" xr:uid="{00000000-0002-0000-0300-0000D21B0000}">
          <x14:formula1>
            <xm:f>項目!A2:$AMO$4</xm:f>
          </x14:formula1>
          <xm:sqref>AMX5:AMX28</xm:sqref>
        </x14:dataValidation>
        <x14:dataValidation type="list" allowBlank="1" showInputMessage="1" showErrorMessage="1" xr:uid="{00000000-0002-0000-0300-0000D31B0000}">
          <x14:formula1>
            <xm:f>項目!A2:$AWK$4</xm:f>
          </x14:formula1>
          <xm:sqref>AWT5:AWT28</xm:sqref>
        </x14:dataValidation>
        <x14:dataValidation type="list" allowBlank="1" showInputMessage="1" showErrorMessage="1" xr:uid="{00000000-0002-0000-0300-0000D41B0000}">
          <x14:formula1>
            <xm:f>項目!A2:$BGG$4</xm:f>
          </x14:formula1>
          <xm:sqref>BGP5:BGP28</xm:sqref>
        </x14:dataValidation>
        <x14:dataValidation type="list" allowBlank="1" showInputMessage="1" showErrorMessage="1" xr:uid="{00000000-0002-0000-0300-0000D51B0000}">
          <x14:formula1>
            <xm:f>項目!A2:$BQC$4</xm:f>
          </x14:formula1>
          <xm:sqref>BQL5:BQL28</xm:sqref>
        </x14:dataValidation>
        <x14:dataValidation type="list" allowBlank="1" showInputMessage="1" showErrorMessage="1" xr:uid="{00000000-0002-0000-0300-0000D61B0000}">
          <x14:formula1>
            <xm:f>項目!A2:$BZY$4</xm:f>
          </x14:formula1>
          <xm:sqref>CAH5:CAH28</xm:sqref>
        </x14:dataValidation>
        <x14:dataValidation type="list" allowBlank="1" showInputMessage="1" showErrorMessage="1" xr:uid="{00000000-0002-0000-0300-0000D71B0000}">
          <x14:formula1>
            <xm:f>項目!A2:$CJU$4</xm:f>
          </x14:formula1>
          <xm:sqref>CKD5:CKD28</xm:sqref>
        </x14:dataValidation>
        <x14:dataValidation type="list" allowBlank="1" showInputMessage="1" showErrorMessage="1" xr:uid="{00000000-0002-0000-0300-0000D81B0000}">
          <x14:formula1>
            <xm:f>項目!A2:$CTQ$4</xm:f>
          </x14:formula1>
          <xm:sqref>CTZ5:CTZ28</xm:sqref>
        </x14:dataValidation>
        <x14:dataValidation type="list" allowBlank="1" showInputMessage="1" showErrorMessage="1" xr:uid="{00000000-0002-0000-0300-0000D91B0000}">
          <x14:formula1>
            <xm:f>項目!A2:$DDM$4</xm:f>
          </x14:formula1>
          <xm:sqref>DDV5:DDV28</xm:sqref>
        </x14:dataValidation>
        <x14:dataValidation type="list" allowBlank="1" showInputMessage="1" showErrorMessage="1" xr:uid="{00000000-0002-0000-0300-0000DA1B0000}">
          <x14:formula1>
            <xm:f>項目!A2:$DNI$4</xm:f>
          </x14:formula1>
          <xm:sqref>DNR5:DNR28</xm:sqref>
        </x14:dataValidation>
        <x14:dataValidation type="list" allowBlank="1" showInputMessage="1" showErrorMessage="1" xr:uid="{00000000-0002-0000-0300-0000DB1B0000}">
          <x14:formula1>
            <xm:f>項目!A2:$DXE$4</xm:f>
          </x14:formula1>
          <xm:sqref>DXN5:DXN28</xm:sqref>
        </x14:dataValidation>
        <x14:dataValidation type="list" allowBlank="1" showInputMessage="1" showErrorMessage="1" xr:uid="{00000000-0002-0000-0300-0000DC1B0000}">
          <x14:formula1>
            <xm:f>項目!A2:$EHA$4</xm:f>
          </x14:formula1>
          <xm:sqref>EHJ5:EHJ28</xm:sqref>
        </x14:dataValidation>
        <x14:dataValidation type="list" allowBlank="1" showInputMessage="1" showErrorMessage="1" xr:uid="{00000000-0002-0000-0300-0000DD1B0000}">
          <x14:formula1>
            <xm:f>項目!A2:$EQW$4</xm:f>
          </x14:formula1>
          <xm:sqref>ERF5:ERF28</xm:sqref>
        </x14:dataValidation>
        <x14:dataValidation type="list" allowBlank="1" showInputMessage="1" showErrorMessage="1" xr:uid="{00000000-0002-0000-0300-0000DE1B0000}">
          <x14:formula1>
            <xm:f>項目!A2:$FAS$4</xm:f>
          </x14:formula1>
          <xm:sqref>FBB5:FBB28</xm:sqref>
        </x14:dataValidation>
        <x14:dataValidation type="list" allowBlank="1" showInputMessage="1" showErrorMessage="1" xr:uid="{00000000-0002-0000-0300-0000DF1B0000}">
          <x14:formula1>
            <xm:f>項目!A2:$FKO$4</xm:f>
          </x14:formula1>
          <xm:sqref>FKX5:FKX28</xm:sqref>
        </x14:dataValidation>
        <x14:dataValidation type="list" allowBlank="1" showInputMessage="1" showErrorMessage="1" xr:uid="{00000000-0002-0000-0300-0000E01B0000}">
          <x14:formula1>
            <xm:f>項目!A2:$FUK$4</xm:f>
          </x14:formula1>
          <xm:sqref>FUT5:FUT28</xm:sqref>
        </x14:dataValidation>
        <x14:dataValidation type="list" allowBlank="1" showInputMessage="1" showErrorMessage="1" xr:uid="{00000000-0002-0000-0300-0000E11B0000}">
          <x14:formula1>
            <xm:f>項目!A2:$GEG$4</xm:f>
          </x14:formula1>
          <xm:sqref>GEP5:GEP28</xm:sqref>
        </x14:dataValidation>
        <x14:dataValidation type="list" allowBlank="1" showInputMessage="1" showErrorMessage="1" xr:uid="{00000000-0002-0000-0300-0000E21B0000}">
          <x14:formula1>
            <xm:f>項目!A2:$GOC$4</xm:f>
          </x14:formula1>
          <xm:sqref>GOL5:GOL28</xm:sqref>
        </x14:dataValidation>
        <x14:dataValidation type="list" allowBlank="1" showInputMessage="1" showErrorMessage="1" xr:uid="{00000000-0002-0000-0300-0000E31B0000}">
          <x14:formula1>
            <xm:f>項目!A2:$GXY$4</xm:f>
          </x14:formula1>
          <xm:sqref>GYH5:GYH28</xm:sqref>
        </x14:dataValidation>
        <x14:dataValidation type="list" allowBlank="1" showInputMessage="1" showErrorMessage="1" xr:uid="{00000000-0002-0000-0300-0000E41B0000}">
          <x14:formula1>
            <xm:f>項目!A2:$HHU$4</xm:f>
          </x14:formula1>
          <xm:sqref>HID5:HID28</xm:sqref>
        </x14:dataValidation>
        <x14:dataValidation type="list" allowBlank="1" showInputMessage="1" showErrorMessage="1" xr:uid="{00000000-0002-0000-0300-0000E51B0000}">
          <x14:formula1>
            <xm:f>項目!A2:$HRQ$4</xm:f>
          </x14:formula1>
          <xm:sqref>HRZ5:HRZ28</xm:sqref>
        </x14:dataValidation>
        <x14:dataValidation type="list" allowBlank="1" showInputMessage="1" showErrorMessage="1" xr:uid="{00000000-0002-0000-0300-0000E61B0000}">
          <x14:formula1>
            <xm:f>項目!A2:$IBM$4</xm:f>
          </x14:formula1>
          <xm:sqref>IBV5:IBV28</xm:sqref>
        </x14:dataValidation>
        <x14:dataValidation type="list" allowBlank="1" showInputMessage="1" showErrorMessage="1" xr:uid="{00000000-0002-0000-0300-0000E71B0000}">
          <x14:formula1>
            <xm:f>項目!A2:$ILI$4</xm:f>
          </x14:formula1>
          <xm:sqref>ILR5:ILR28</xm:sqref>
        </x14:dataValidation>
        <x14:dataValidation type="list" allowBlank="1" showInputMessage="1" showErrorMessage="1" xr:uid="{00000000-0002-0000-0300-0000E81B0000}">
          <x14:formula1>
            <xm:f>項目!A2:$IVE$4</xm:f>
          </x14:formula1>
          <xm:sqref>IVN5:IVN28</xm:sqref>
        </x14:dataValidation>
        <x14:dataValidation type="list" allowBlank="1" showInputMessage="1" showErrorMessage="1" xr:uid="{00000000-0002-0000-0300-0000E91B0000}">
          <x14:formula1>
            <xm:f>項目!A2:$JFA$4</xm:f>
          </x14:formula1>
          <xm:sqref>JFJ5:JFJ28</xm:sqref>
        </x14:dataValidation>
        <x14:dataValidation type="list" allowBlank="1" showInputMessage="1" showErrorMessage="1" xr:uid="{00000000-0002-0000-0300-0000EA1B0000}">
          <x14:formula1>
            <xm:f>項目!A2:$JOW$4</xm:f>
          </x14:formula1>
          <xm:sqref>JPF5:JPF28</xm:sqref>
        </x14:dataValidation>
        <x14:dataValidation type="list" allowBlank="1" showInputMessage="1" showErrorMessage="1" xr:uid="{00000000-0002-0000-0300-0000EB1B0000}">
          <x14:formula1>
            <xm:f>項目!A2:$JYS$4</xm:f>
          </x14:formula1>
          <xm:sqref>JZB5:JZB28</xm:sqref>
        </x14:dataValidation>
        <x14:dataValidation type="list" allowBlank="1" showInputMessage="1" showErrorMessage="1" xr:uid="{00000000-0002-0000-0300-0000EC1B0000}">
          <x14:formula1>
            <xm:f>項目!A2:$KIO$4</xm:f>
          </x14:formula1>
          <xm:sqref>KIX5:KIX28</xm:sqref>
        </x14:dataValidation>
        <x14:dataValidation type="list" allowBlank="1" showInputMessage="1" showErrorMessage="1" xr:uid="{00000000-0002-0000-0300-0000ED1B0000}">
          <x14:formula1>
            <xm:f>項目!A2:$KSK$4</xm:f>
          </x14:formula1>
          <xm:sqref>KST5:KST28</xm:sqref>
        </x14:dataValidation>
        <x14:dataValidation type="list" allowBlank="1" showInputMessage="1" showErrorMessage="1" xr:uid="{00000000-0002-0000-0300-0000EE1B0000}">
          <x14:formula1>
            <xm:f>項目!A2:$LCG$4</xm:f>
          </x14:formula1>
          <xm:sqref>LCP5:LCP28</xm:sqref>
        </x14:dataValidation>
        <x14:dataValidation type="list" allowBlank="1" showInputMessage="1" showErrorMessage="1" xr:uid="{00000000-0002-0000-0300-0000EF1B0000}">
          <x14:formula1>
            <xm:f>項目!A2:$LMC$4</xm:f>
          </x14:formula1>
          <xm:sqref>LML5:LML28</xm:sqref>
        </x14:dataValidation>
        <x14:dataValidation type="list" allowBlank="1" showInputMessage="1" showErrorMessage="1" xr:uid="{00000000-0002-0000-0300-0000F01B0000}">
          <x14:formula1>
            <xm:f>項目!A2:$LVY$4</xm:f>
          </x14:formula1>
          <xm:sqref>LWH5:LWH28</xm:sqref>
        </x14:dataValidation>
        <x14:dataValidation type="list" allowBlank="1" showInputMessage="1" showErrorMessage="1" xr:uid="{00000000-0002-0000-0300-0000F11B0000}">
          <x14:formula1>
            <xm:f>項目!A2:$MFU$4</xm:f>
          </x14:formula1>
          <xm:sqref>MGD5:MGD28</xm:sqref>
        </x14:dataValidation>
        <x14:dataValidation type="list" allowBlank="1" showInputMessage="1" showErrorMessage="1" xr:uid="{00000000-0002-0000-0300-0000F21B0000}">
          <x14:formula1>
            <xm:f>項目!A2:$MPQ$4</xm:f>
          </x14:formula1>
          <xm:sqref>MPZ5:MPZ28</xm:sqref>
        </x14:dataValidation>
        <x14:dataValidation type="list" allowBlank="1" showInputMessage="1" showErrorMessage="1" xr:uid="{00000000-0002-0000-0300-0000F31B0000}">
          <x14:formula1>
            <xm:f>項目!A2:$MZM$4</xm:f>
          </x14:formula1>
          <xm:sqref>MZV5:MZV28</xm:sqref>
        </x14:dataValidation>
        <x14:dataValidation type="list" allowBlank="1" showInputMessage="1" showErrorMessage="1" xr:uid="{00000000-0002-0000-0300-0000F41B0000}">
          <x14:formula1>
            <xm:f>項目!A2:$NJI$4</xm:f>
          </x14:formula1>
          <xm:sqref>NJR5:NJR28</xm:sqref>
        </x14:dataValidation>
        <x14:dataValidation type="list" allowBlank="1" showInputMessage="1" showErrorMessage="1" xr:uid="{00000000-0002-0000-0300-0000F51B0000}">
          <x14:formula1>
            <xm:f>項目!A2:$NTE$4</xm:f>
          </x14:formula1>
          <xm:sqref>NTN5:NTN28</xm:sqref>
        </x14:dataValidation>
        <x14:dataValidation type="list" allowBlank="1" showInputMessage="1" showErrorMessage="1" xr:uid="{00000000-0002-0000-0300-0000F61B0000}">
          <x14:formula1>
            <xm:f>項目!A2:$ODA$4</xm:f>
          </x14:formula1>
          <xm:sqref>ODJ5:ODJ28</xm:sqref>
        </x14:dataValidation>
        <x14:dataValidation type="list" allowBlank="1" showInputMessage="1" showErrorMessage="1" xr:uid="{00000000-0002-0000-0300-0000F71B0000}">
          <x14:formula1>
            <xm:f>項目!A2:$OMW$4</xm:f>
          </x14:formula1>
          <xm:sqref>ONF5:ONF28</xm:sqref>
        </x14:dataValidation>
        <x14:dataValidation type="list" allowBlank="1" showInputMessage="1" showErrorMessage="1" xr:uid="{00000000-0002-0000-0300-0000F81B0000}">
          <x14:formula1>
            <xm:f>項目!A2:$OWS$4</xm:f>
          </x14:formula1>
          <xm:sqref>OXB5:OXB28</xm:sqref>
        </x14:dataValidation>
        <x14:dataValidation type="list" allowBlank="1" showInputMessage="1" showErrorMessage="1" xr:uid="{00000000-0002-0000-0300-0000F91B0000}">
          <x14:formula1>
            <xm:f>項目!A2:$PGO$4</xm:f>
          </x14:formula1>
          <xm:sqref>PGX5:PGX28</xm:sqref>
        </x14:dataValidation>
        <x14:dataValidation type="list" allowBlank="1" showInputMessage="1" showErrorMessage="1" xr:uid="{00000000-0002-0000-0300-0000FA1B0000}">
          <x14:formula1>
            <xm:f>項目!A2:$PQK$4</xm:f>
          </x14:formula1>
          <xm:sqref>PQT5:PQT28</xm:sqref>
        </x14:dataValidation>
        <x14:dataValidation type="list" allowBlank="1" showInputMessage="1" showErrorMessage="1" xr:uid="{00000000-0002-0000-0300-0000FB1B0000}">
          <x14:formula1>
            <xm:f>項目!A2:$QAG$4</xm:f>
          </x14:formula1>
          <xm:sqref>QAP5:QAP28</xm:sqref>
        </x14:dataValidation>
        <x14:dataValidation type="list" allowBlank="1" showInputMessage="1" showErrorMessage="1" xr:uid="{00000000-0002-0000-0300-0000FC1B0000}">
          <x14:formula1>
            <xm:f>項目!A2:$QKC$4</xm:f>
          </x14:formula1>
          <xm:sqref>QKL5:QKL28</xm:sqref>
        </x14:dataValidation>
        <x14:dataValidation type="list" allowBlank="1" showInputMessage="1" showErrorMessage="1" xr:uid="{00000000-0002-0000-0300-0000FD1B0000}">
          <x14:formula1>
            <xm:f>項目!A2:$QTY$4</xm:f>
          </x14:formula1>
          <xm:sqref>QUH5:QUH28</xm:sqref>
        </x14:dataValidation>
        <x14:dataValidation type="list" allowBlank="1" showInputMessage="1" showErrorMessage="1" xr:uid="{00000000-0002-0000-0300-0000FE1B0000}">
          <x14:formula1>
            <xm:f>項目!A2:$RDU$4</xm:f>
          </x14:formula1>
          <xm:sqref>RED5:RED28</xm:sqref>
        </x14:dataValidation>
        <x14:dataValidation type="list" allowBlank="1" showInputMessage="1" showErrorMessage="1" xr:uid="{00000000-0002-0000-0300-0000FF1B0000}">
          <x14:formula1>
            <xm:f>項目!A2:$RNQ$4</xm:f>
          </x14:formula1>
          <xm:sqref>RNZ5:RNZ28</xm:sqref>
        </x14:dataValidation>
        <x14:dataValidation type="list" allowBlank="1" showInputMessage="1" showErrorMessage="1" xr:uid="{00000000-0002-0000-0300-0000001C0000}">
          <x14:formula1>
            <xm:f>項目!A2:$RXM$4</xm:f>
          </x14:formula1>
          <xm:sqref>RXV5:RXV28</xm:sqref>
        </x14:dataValidation>
        <x14:dataValidation type="list" allowBlank="1" showInputMessage="1" showErrorMessage="1" xr:uid="{00000000-0002-0000-0300-0000011C0000}">
          <x14:formula1>
            <xm:f>項目!A2:$SHI$4</xm:f>
          </x14:formula1>
          <xm:sqref>SHR5:SHR28</xm:sqref>
        </x14:dataValidation>
        <x14:dataValidation type="list" allowBlank="1" showInputMessage="1" showErrorMessage="1" xr:uid="{00000000-0002-0000-0300-0000021C0000}">
          <x14:formula1>
            <xm:f>項目!A2:$SRE$4</xm:f>
          </x14:formula1>
          <xm:sqref>SRN5:SRN28</xm:sqref>
        </x14:dataValidation>
        <x14:dataValidation type="list" allowBlank="1" showInputMessage="1" showErrorMessage="1" xr:uid="{00000000-0002-0000-0300-0000031C0000}">
          <x14:formula1>
            <xm:f>項目!A2:$TBA$4</xm:f>
          </x14:formula1>
          <xm:sqref>TBJ5:TBJ28</xm:sqref>
        </x14:dataValidation>
        <x14:dataValidation type="list" allowBlank="1" showInputMessage="1" showErrorMessage="1" xr:uid="{00000000-0002-0000-0300-0000041C0000}">
          <x14:formula1>
            <xm:f>項目!A2:$TKW$4</xm:f>
          </x14:formula1>
          <xm:sqref>TLF5:TLF28</xm:sqref>
        </x14:dataValidation>
        <x14:dataValidation type="list" allowBlank="1" showInputMessage="1" showErrorMessage="1" xr:uid="{00000000-0002-0000-0300-0000051C0000}">
          <x14:formula1>
            <xm:f>項目!A2:$TUS$4</xm:f>
          </x14:formula1>
          <xm:sqref>TVB5:TVB28</xm:sqref>
        </x14:dataValidation>
        <x14:dataValidation type="list" allowBlank="1" showInputMessage="1" showErrorMessage="1" xr:uid="{00000000-0002-0000-0300-0000061C0000}">
          <x14:formula1>
            <xm:f>項目!A2:$UEO$4</xm:f>
          </x14:formula1>
          <xm:sqref>UEX5:UEX28</xm:sqref>
        </x14:dataValidation>
        <x14:dataValidation type="list" allowBlank="1" showInputMessage="1" showErrorMessage="1" xr:uid="{00000000-0002-0000-0300-0000071C0000}">
          <x14:formula1>
            <xm:f>項目!A2:$UOK$4</xm:f>
          </x14:formula1>
          <xm:sqref>UOT5:UOT28</xm:sqref>
        </x14:dataValidation>
        <x14:dataValidation type="list" allowBlank="1" showInputMessage="1" showErrorMessage="1" xr:uid="{00000000-0002-0000-0300-0000081C0000}">
          <x14:formula1>
            <xm:f>項目!A2:$UYG$4</xm:f>
          </x14:formula1>
          <xm:sqref>UYP5:UYP28</xm:sqref>
        </x14:dataValidation>
        <x14:dataValidation type="list" allowBlank="1" showInputMessage="1" showErrorMessage="1" xr:uid="{00000000-0002-0000-0300-0000091C0000}">
          <x14:formula1>
            <xm:f>項目!A2:$VIC$4</xm:f>
          </x14:formula1>
          <xm:sqref>VIL5:VIL28</xm:sqref>
        </x14:dataValidation>
        <x14:dataValidation type="list" allowBlank="1" showInputMessage="1" showErrorMessage="1" xr:uid="{00000000-0002-0000-0300-00000A1C0000}">
          <x14:formula1>
            <xm:f>項目!A2:$VRY$4</xm:f>
          </x14:formula1>
          <xm:sqref>VSH5:VSH28</xm:sqref>
        </x14:dataValidation>
        <x14:dataValidation type="list" allowBlank="1" showInputMessage="1" showErrorMessage="1" xr:uid="{00000000-0002-0000-0300-00000B1C0000}">
          <x14:formula1>
            <xm:f>項目!A2:$WBU$4</xm:f>
          </x14:formula1>
          <xm:sqref>WCD5:WCD28</xm:sqref>
        </x14:dataValidation>
        <x14:dataValidation type="list" allowBlank="1" showInputMessage="1" showErrorMessage="1" xr:uid="{00000000-0002-0000-0300-00000C1C0000}">
          <x14:formula1>
            <xm:f>項目!A2:$WLQ$4</xm:f>
          </x14:formula1>
          <xm:sqref>WLZ5:WLZ28</xm:sqref>
        </x14:dataValidation>
        <x14:dataValidation type="list" allowBlank="1" showInputMessage="1" showErrorMessage="1" xr:uid="{00000000-0002-0000-0300-00000D1C0000}">
          <x14:formula1>
            <xm:f>項目!A2:$WVM$4</xm:f>
          </x14:formula1>
          <xm:sqref>WVV5:WVV28</xm:sqref>
        </x14:dataValidation>
        <x14:dataValidation type="list" allowBlank="1" showInputMessage="1" showErrorMessage="1" xr:uid="{00000000-0002-0000-0300-00000E1C0000}">
          <x14:formula1>
            <xm:f>項目!A4:$JA$65538</xm:f>
          </x14:formula1>
          <xm:sqref>JJ65541:JJ65564</xm:sqref>
        </x14:dataValidation>
        <x14:dataValidation type="list" allowBlank="1" showInputMessage="1" showErrorMessage="1" xr:uid="{00000000-0002-0000-0300-00000F1C0000}">
          <x14:formula1>
            <xm:f>項目!A4:$SW$65538</xm:f>
          </x14:formula1>
          <xm:sqref>TF65541:TF65564</xm:sqref>
        </x14:dataValidation>
        <x14:dataValidation type="list" allowBlank="1" showInputMessage="1" showErrorMessage="1" xr:uid="{00000000-0002-0000-0300-0000101C0000}">
          <x14:formula1>
            <xm:f>項目!A4:$ACS$65538</xm:f>
          </x14:formula1>
          <xm:sqref>ADB65541:ADB65564</xm:sqref>
        </x14:dataValidation>
        <x14:dataValidation type="list" allowBlank="1" showInputMessage="1" showErrorMessage="1" xr:uid="{00000000-0002-0000-0300-0000111C0000}">
          <x14:formula1>
            <xm:f>項目!A4:$AMO$65538</xm:f>
          </x14:formula1>
          <xm:sqref>AMX65541:AMX65564</xm:sqref>
        </x14:dataValidation>
        <x14:dataValidation type="list" allowBlank="1" showInputMessage="1" showErrorMessage="1" xr:uid="{00000000-0002-0000-0300-0000121C0000}">
          <x14:formula1>
            <xm:f>項目!A4:$AWK$65538</xm:f>
          </x14:formula1>
          <xm:sqref>AWT65541:AWT65564</xm:sqref>
        </x14:dataValidation>
        <x14:dataValidation type="list" allowBlank="1" showInputMessage="1" showErrorMessage="1" xr:uid="{00000000-0002-0000-0300-0000131C0000}">
          <x14:formula1>
            <xm:f>項目!A4:$BGG$65538</xm:f>
          </x14:formula1>
          <xm:sqref>BGP65541:BGP65564</xm:sqref>
        </x14:dataValidation>
        <x14:dataValidation type="list" allowBlank="1" showInputMessage="1" showErrorMessage="1" xr:uid="{00000000-0002-0000-0300-0000141C0000}">
          <x14:formula1>
            <xm:f>項目!A4:$BQC$65538</xm:f>
          </x14:formula1>
          <xm:sqref>BQL65541:BQL65564</xm:sqref>
        </x14:dataValidation>
        <x14:dataValidation type="list" allowBlank="1" showInputMessage="1" showErrorMessage="1" xr:uid="{00000000-0002-0000-0300-0000151C0000}">
          <x14:formula1>
            <xm:f>項目!A4:$BZY$65538</xm:f>
          </x14:formula1>
          <xm:sqref>CAH65541:CAH65564</xm:sqref>
        </x14:dataValidation>
        <x14:dataValidation type="list" allowBlank="1" showInputMessage="1" showErrorMessage="1" xr:uid="{00000000-0002-0000-0300-0000161C0000}">
          <x14:formula1>
            <xm:f>項目!A4:$CJU$65538</xm:f>
          </x14:formula1>
          <xm:sqref>CKD65541:CKD65564</xm:sqref>
        </x14:dataValidation>
        <x14:dataValidation type="list" allowBlank="1" showInputMessage="1" showErrorMessage="1" xr:uid="{00000000-0002-0000-0300-0000171C0000}">
          <x14:formula1>
            <xm:f>項目!A4:$CTQ$65538</xm:f>
          </x14:formula1>
          <xm:sqref>CTZ65541:CTZ65564</xm:sqref>
        </x14:dataValidation>
        <x14:dataValidation type="list" allowBlank="1" showInputMessage="1" showErrorMessage="1" xr:uid="{00000000-0002-0000-0300-0000181C0000}">
          <x14:formula1>
            <xm:f>項目!A4:$DDM$65538</xm:f>
          </x14:formula1>
          <xm:sqref>DDV65541:DDV65564</xm:sqref>
        </x14:dataValidation>
        <x14:dataValidation type="list" allowBlank="1" showInputMessage="1" showErrorMessage="1" xr:uid="{00000000-0002-0000-0300-0000191C0000}">
          <x14:formula1>
            <xm:f>項目!A4:$DNI$65538</xm:f>
          </x14:formula1>
          <xm:sqref>DNR65541:DNR65564</xm:sqref>
        </x14:dataValidation>
        <x14:dataValidation type="list" allowBlank="1" showInputMessage="1" showErrorMessage="1" xr:uid="{00000000-0002-0000-0300-00001A1C0000}">
          <x14:formula1>
            <xm:f>項目!A4:$DXE$65538</xm:f>
          </x14:formula1>
          <xm:sqref>DXN65541:DXN65564</xm:sqref>
        </x14:dataValidation>
        <x14:dataValidation type="list" allowBlank="1" showInputMessage="1" showErrorMessage="1" xr:uid="{00000000-0002-0000-0300-00001B1C0000}">
          <x14:formula1>
            <xm:f>項目!A4:$EHA$65538</xm:f>
          </x14:formula1>
          <xm:sqref>EHJ65541:EHJ65564</xm:sqref>
        </x14:dataValidation>
        <x14:dataValidation type="list" allowBlank="1" showInputMessage="1" showErrorMessage="1" xr:uid="{00000000-0002-0000-0300-00001C1C0000}">
          <x14:formula1>
            <xm:f>項目!A4:$EQW$65538</xm:f>
          </x14:formula1>
          <xm:sqref>ERF65541:ERF65564</xm:sqref>
        </x14:dataValidation>
        <x14:dataValidation type="list" allowBlank="1" showInputMessage="1" showErrorMessage="1" xr:uid="{00000000-0002-0000-0300-00001D1C0000}">
          <x14:formula1>
            <xm:f>項目!A4:$FAS$65538</xm:f>
          </x14:formula1>
          <xm:sqref>FBB65541:FBB65564</xm:sqref>
        </x14:dataValidation>
        <x14:dataValidation type="list" allowBlank="1" showInputMessage="1" showErrorMessage="1" xr:uid="{00000000-0002-0000-0300-00001E1C0000}">
          <x14:formula1>
            <xm:f>項目!A4:$FKO$65538</xm:f>
          </x14:formula1>
          <xm:sqref>FKX65541:FKX65564</xm:sqref>
        </x14:dataValidation>
        <x14:dataValidation type="list" allowBlank="1" showInputMessage="1" showErrorMessage="1" xr:uid="{00000000-0002-0000-0300-00001F1C0000}">
          <x14:formula1>
            <xm:f>項目!A4:$FUK$65538</xm:f>
          </x14:formula1>
          <xm:sqref>FUT65541:FUT65564</xm:sqref>
        </x14:dataValidation>
        <x14:dataValidation type="list" allowBlank="1" showInputMessage="1" showErrorMessage="1" xr:uid="{00000000-0002-0000-0300-0000201C0000}">
          <x14:formula1>
            <xm:f>項目!A4:$GEG$65538</xm:f>
          </x14:formula1>
          <xm:sqref>GEP65541:GEP65564</xm:sqref>
        </x14:dataValidation>
        <x14:dataValidation type="list" allowBlank="1" showInputMessage="1" showErrorMessage="1" xr:uid="{00000000-0002-0000-0300-0000211C0000}">
          <x14:formula1>
            <xm:f>項目!A4:$GOC$65538</xm:f>
          </x14:formula1>
          <xm:sqref>GOL65541:GOL65564</xm:sqref>
        </x14:dataValidation>
        <x14:dataValidation type="list" allowBlank="1" showInputMessage="1" showErrorMessage="1" xr:uid="{00000000-0002-0000-0300-0000221C0000}">
          <x14:formula1>
            <xm:f>項目!A4:$GXY$65538</xm:f>
          </x14:formula1>
          <xm:sqref>GYH65541:GYH65564</xm:sqref>
        </x14:dataValidation>
        <x14:dataValidation type="list" allowBlank="1" showInputMessage="1" showErrorMessage="1" xr:uid="{00000000-0002-0000-0300-0000231C0000}">
          <x14:formula1>
            <xm:f>項目!A4:$HHU$65538</xm:f>
          </x14:formula1>
          <xm:sqref>HID65541:HID65564</xm:sqref>
        </x14:dataValidation>
        <x14:dataValidation type="list" allowBlank="1" showInputMessage="1" showErrorMessage="1" xr:uid="{00000000-0002-0000-0300-0000241C0000}">
          <x14:formula1>
            <xm:f>項目!A4:$HRQ$65538</xm:f>
          </x14:formula1>
          <xm:sqref>HRZ65541:HRZ65564</xm:sqref>
        </x14:dataValidation>
        <x14:dataValidation type="list" allowBlank="1" showInputMessage="1" showErrorMessage="1" xr:uid="{00000000-0002-0000-0300-0000251C0000}">
          <x14:formula1>
            <xm:f>項目!A4:$IBM$65538</xm:f>
          </x14:formula1>
          <xm:sqref>IBV65541:IBV65564</xm:sqref>
        </x14:dataValidation>
        <x14:dataValidation type="list" allowBlank="1" showInputMessage="1" showErrorMessage="1" xr:uid="{00000000-0002-0000-0300-0000261C0000}">
          <x14:formula1>
            <xm:f>項目!A4:$ILI$65538</xm:f>
          </x14:formula1>
          <xm:sqref>ILR65541:ILR65564</xm:sqref>
        </x14:dataValidation>
        <x14:dataValidation type="list" allowBlank="1" showInputMessage="1" showErrorMessage="1" xr:uid="{00000000-0002-0000-0300-0000271C0000}">
          <x14:formula1>
            <xm:f>項目!A4:$IVE$65538</xm:f>
          </x14:formula1>
          <xm:sqref>IVN65541:IVN65564</xm:sqref>
        </x14:dataValidation>
        <x14:dataValidation type="list" allowBlank="1" showInputMessage="1" showErrorMessage="1" xr:uid="{00000000-0002-0000-0300-0000281C0000}">
          <x14:formula1>
            <xm:f>項目!A4:$JFA$65538</xm:f>
          </x14:formula1>
          <xm:sqref>JFJ65541:JFJ65564</xm:sqref>
        </x14:dataValidation>
        <x14:dataValidation type="list" allowBlank="1" showInputMessage="1" showErrorMessage="1" xr:uid="{00000000-0002-0000-0300-0000291C0000}">
          <x14:formula1>
            <xm:f>項目!A4:$JOW$65538</xm:f>
          </x14:formula1>
          <xm:sqref>JPF65541:JPF65564</xm:sqref>
        </x14:dataValidation>
        <x14:dataValidation type="list" allowBlank="1" showInputMessage="1" showErrorMessage="1" xr:uid="{00000000-0002-0000-0300-00002A1C0000}">
          <x14:formula1>
            <xm:f>項目!A4:$JYS$65538</xm:f>
          </x14:formula1>
          <xm:sqref>JZB65541:JZB65564</xm:sqref>
        </x14:dataValidation>
        <x14:dataValidation type="list" allowBlank="1" showInputMessage="1" showErrorMessage="1" xr:uid="{00000000-0002-0000-0300-00002B1C0000}">
          <x14:formula1>
            <xm:f>項目!A4:$KIO$65538</xm:f>
          </x14:formula1>
          <xm:sqref>KIX65541:KIX65564</xm:sqref>
        </x14:dataValidation>
        <x14:dataValidation type="list" allowBlank="1" showInputMessage="1" showErrorMessage="1" xr:uid="{00000000-0002-0000-0300-00002C1C0000}">
          <x14:formula1>
            <xm:f>項目!A4:$KSK$65538</xm:f>
          </x14:formula1>
          <xm:sqref>KST65541:KST65564</xm:sqref>
        </x14:dataValidation>
        <x14:dataValidation type="list" allowBlank="1" showInputMessage="1" showErrorMessage="1" xr:uid="{00000000-0002-0000-0300-00002D1C0000}">
          <x14:formula1>
            <xm:f>項目!A4:$LCG$65538</xm:f>
          </x14:formula1>
          <xm:sqref>LCP65541:LCP65564</xm:sqref>
        </x14:dataValidation>
        <x14:dataValidation type="list" allowBlank="1" showInputMessage="1" showErrorMessage="1" xr:uid="{00000000-0002-0000-0300-00002E1C0000}">
          <x14:formula1>
            <xm:f>項目!A4:$LMC$65538</xm:f>
          </x14:formula1>
          <xm:sqref>LML65541:LML65564</xm:sqref>
        </x14:dataValidation>
        <x14:dataValidation type="list" allowBlank="1" showInputMessage="1" showErrorMessage="1" xr:uid="{00000000-0002-0000-0300-00002F1C0000}">
          <x14:formula1>
            <xm:f>項目!A4:$LVY$65538</xm:f>
          </x14:formula1>
          <xm:sqref>LWH65541:LWH65564</xm:sqref>
        </x14:dataValidation>
        <x14:dataValidation type="list" allowBlank="1" showInputMessage="1" showErrorMessage="1" xr:uid="{00000000-0002-0000-0300-0000301C0000}">
          <x14:formula1>
            <xm:f>項目!A4:$MFU$65538</xm:f>
          </x14:formula1>
          <xm:sqref>MGD65541:MGD65564</xm:sqref>
        </x14:dataValidation>
        <x14:dataValidation type="list" allowBlank="1" showInputMessage="1" showErrorMessage="1" xr:uid="{00000000-0002-0000-0300-0000311C0000}">
          <x14:formula1>
            <xm:f>項目!A4:$MPQ$65538</xm:f>
          </x14:formula1>
          <xm:sqref>MPZ65541:MPZ65564</xm:sqref>
        </x14:dataValidation>
        <x14:dataValidation type="list" allowBlank="1" showInputMessage="1" showErrorMessage="1" xr:uid="{00000000-0002-0000-0300-0000321C0000}">
          <x14:formula1>
            <xm:f>項目!A4:$MZM$65538</xm:f>
          </x14:formula1>
          <xm:sqref>MZV65541:MZV65564</xm:sqref>
        </x14:dataValidation>
        <x14:dataValidation type="list" allowBlank="1" showInputMessage="1" showErrorMessage="1" xr:uid="{00000000-0002-0000-0300-0000331C0000}">
          <x14:formula1>
            <xm:f>項目!A4:$NJI$65538</xm:f>
          </x14:formula1>
          <xm:sqref>NJR65541:NJR65564</xm:sqref>
        </x14:dataValidation>
        <x14:dataValidation type="list" allowBlank="1" showInputMessage="1" showErrorMessage="1" xr:uid="{00000000-0002-0000-0300-0000341C0000}">
          <x14:formula1>
            <xm:f>項目!A4:$NTE$65538</xm:f>
          </x14:formula1>
          <xm:sqref>NTN65541:NTN65564</xm:sqref>
        </x14:dataValidation>
        <x14:dataValidation type="list" allowBlank="1" showInputMessage="1" showErrorMessage="1" xr:uid="{00000000-0002-0000-0300-0000351C0000}">
          <x14:formula1>
            <xm:f>項目!A4:$ODA$65538</xm:f>
          </x14:formula1>
          <xm:sqref>ODJ65541:ODJ65564</xm:sqref>
        </x14:dataValidation>
        <x14:dataValidation type="list" allowBlank="1" showInputMessage="1" showErrorMessage="1" xr:uid="{00000000-0002-0000-0300-0000361C0000}">
          <x14:formula1>
            <xm:f>項目!A4:$OMW$65538</xm:f>
          </x14:formula1>
          <xm:sqref>ONF65541:ONF65564</xm:sqref>
        </x14:dataValidation>
        <x14:dataValidation type="list" allowBlank="1" showInputMessage="1" showErrorMessage="1" xr:uid="{00000000-0002-0000-0300-0000371C0000}">
          <x14:formula1>
            <xm:f>項目!A4:$OWS$65538</xm:f>
          </x14:formula1>
          <xm:sqref>OXB65541:OXB65564</xm:sqref>
        </x14:dataValidation>
        <x14:dataValidation type="list" allowBlank="1" showInputMessage="1" showErrorMessage="1" xr:uid="{00000000-0002-0000-0300-0000381C0000}">
          <x14:formula1>
            <xm:f>項目!A4:$PGO$65538</xm:f>
          </x14:formula1>
          <xm:sqref>PGX65541:PGX65564</xm:sqref>
        </x14:dataValidation>
        <x14:dataValidation type="list" allowBlank="1" showInputMessage="1" showErrorMessage="1" xr:uid="{00000000-0002-0000-0300-0000391C0000}">
          <x14:formula1>
            <xm:f>項目!A4:$PQK$65538</xm:f>
          </x14:formula1>
          <xm:sqref>PQT65541:PQT65564</xm:sqref>
        </x14:dataValidation>
        <x14:dataValidation type="list" allowBlank="1" showInputMessage="1" showErrorMessage="1" xr:uid="{00000000-0002-0000-0300-00003A1C0000}">
          <x14:formula1>
            <xm:f>項目!A4:$QAG$65538</xm:f>
          </x14:formula1>
          <xm:sqref>QAP65541:QAP65564</xm:sqref>
        </x14:dataValidation>
        <x14:dataValidation type="list" allowBlank="1" showInputMessage="1" showErrorMessage="1" xr:uid="{00000000-0002-0000-0300-00003B1C0000}">
          <x14:formula1>
            <xm:f>項目!A4:$QKC$65538</xm:f>
          </x14:formula1>
          <xm:sqref>QKL65541:QKL65564</xm:sqref>
        </x14:dataValidation>
        <x14:dataValidation type="list" allowBlank="1" showInputMessage="1" showErrorMessage="1" xr:uid="{00000000-0002-0000-0300-00003C1C0000}">
          <x14:formula1>
            <xm:f>項目!A4:$QTY$65538</xm:f>
          </x14:formula1>
          <xm:sqref>QUH65541:QUH65564</xm:sqref>
        </x14:dataValidation>
        <x14:dataValidation type="list" allowBlank="1" showInputMessage="1" showErrorMessage="1" xr:uid="{00000000-0002-0000-0300-00003D1C0000}">
          <x14:formula1>
            <xm:f>項目!A4:$RDU$65538</xm:f>
          </x14:formula1>
          <xm:sqref>RED65541:RED65564</xm:sqref>
        </x14:dataValidation>
        <x14:dataValidation type="list" allowBlank="1" showInputMessage="1" showErrorMessage="1" xr:uid="{00000000-0002-0000-0300-00003E1C0000}">
          <x14:formula1>
            <xm:f>項目!A4:$RNQ$65538</xm:f>
          </x14:formula1>
          <xm:sqref>RNZ65541:RNZ65564</xm:sqref>
        </x14:dataValidation>
        <x14:dataValidation type="list" allowBlank="1" showInputMessage="1" showErrorMessage="1" xr:uid="{00000000-0002-0000-0300-00003F1C0000}">
          <x14:formula1>
            <xm:f>項目!A4:$RXM$65538</xm:f>
          </x14:formula1>
          <xm:sqref>RXV65541:RXV65564</xm:sqref>
        </x14:dataValidation>
        <x14:dataValidation type="list" allowBlank="1" showInputMessage="1" showErrorMessage="1" xr:uid="{00000000-0002-0000-0300-0000401C0000}">
          <x14:formula1>
            <xm:f>項目!A4:$SHI$65538</xm:f>
          </x14:formula1>
          <xm:sqref>SHR65541:SHR65564</xm:sqref>
        </x14:dataValidation>
        <x14:dataValidation type="list" allowBlank="1" showInputMessage="1" showErrorMessage="1" xr:uid="{00000000-0002-0000-0300-0000411C0000}">
          <x14:formula1>
            <xm:f>項目!A4:$SRE$65538</xm:f>
          </x14:formula1>
          <xm:sqref>SRN65541:SRN65564</xm:sqref>
        </x14:dataValidation>
        <x14:dataValidation type="list" allowBlank="1" showInputMessage="1" showErrorMessage="1" xr:uid="{00000000-0002-0000-0300-0000421C0000}">
          <x14:formula1>
            <xm:f>項目!A4:$TBA$65538</xm:f>
          </x14:formula1>
          <xm:sqref>TBJ65541:TBJ65564</xm:sqref>
        </x14:dataValidation>
        <x14:dataValidation type="list" allowBlank="1" showInputMessage="1" showErrorMessage="1" xr:uid="{00000000-0002-0000-0300-0000431C0000}">
          <x14:formula1>
            <xm:f>項目!A4:$TKW$65538</xm:f>
          </x14:formula1>
          <xm:sqref>TLF65541:TLF65564</xm:sqref>
        </x14:dataValidation>
        <x14:dataValidation type="list" allowBlank="1" showInputMessage="1" showErrorMessage="1" xr:uid="{00000000-0002-0000-0300-0000441C0000}">
          <x14:formula1>
            <xm:f>項目!A4:$TUS$65538</xm:f>
          </x14:formula1>
          <xm:sqref>TVB65541:TVB65564</xm:sqref>
        </x14:dataValidation>
        <x14:dataValidation type="list" allowBlank="1" showInputMessage="1" showErrorMessage="1" xr:uid="{00000000-0002-0000-0300-0000451C0000}">
          <x14:formula1>
            <xm:f>項目!A4:$UEO$65538</xm:f>
          </x14:formula1>
          <xm:sqref>UEX65541:UEX65564</xm:sqref>
        </x14:dataValidation>
        <x14:dataValidation type="list" allowBlank="1" showInputMessage="1" showErrorMessage="1" xr:uid="{00000000-0002-0000-0300-0000461C0000}">
          <x14:formula1>
            <xm:f>項目!A4:$UOK$65538</xm:f>
          </x14:formula1>
          <xm:sqref>UOT65541:UOT65564</xm:sqref>
        </x14:dataValidation>
        <x14:dataValidation type="list" allowBlank="1" showInputMessage="1" showErrorMessage="1" xr:uid="{00000000-0002-0000-0300-0000471C0000}">
          <x14:formula1>
            <xm:f>項目!A4:$UYG$65538</xm:f>
          </x14:formula1>
          <xm:sqref>UYP65541:UYP65564</xm:sqref>
        </x14:dataValidation>
        <x14:dataValidation type="list" allowBlank="1" showInputMessage="1" showErrorMessage="1" xr:uid="{00000000-0002-0000-0300-0000481C0000}">
          <x14:formula1>
            <xm:f>項目!A4:$VIC$65538</xm:f>
          </x14:formula1>
          <xm:sqref>VIL65541:VIL65564</xm:sqref>
        </x14:dataValidation>
        <x14:dataValidation type="list" allowBlank="1" showInputMessage="1" showErrorMessage="1" xr:uid="{00000000-0002-0000-0300-0000491C0000}">
          <x14:formula1>
            <xm:f>項目!A4:$VRY$65538</xm:f>
          </x14:formula1>
          <xm:sqref>VSH65541:VSH65564</xm:sqref>
        </x14:dataValidation>
        <x14:dataValidation type="list" allowBlank="1" showInputMessage="1" showErrorMessage="1" xr:uid="{00000000-0002-0000-0300-00004A1C0000}">
          <x14:formula1>
            <xm:f>項目!A4:$WBU$65538</xm:f>
          </x14:formula1>
          <xm:sqref>WCD65541:WCD65564</xm:sqref>
        </x14:dataValidation>
        <x14:dataValidation type="list" allowBlank="1" showInputMessage="1" showErrorMessage="1" xr:uid="{00000000-0002-0000-0300-00004B1C0000}">
          <x14:formula1>
            <xm:f>項目!A4:$WLQ$65538</xm:f>
          </x14:formula1>
          <xm:sqref>WLZ65541:WLZ65564</xm:sqref>
        </x14:dataValidation>
        <x14:dataValidation type="list" allowBlank="1" showInputMessage="1" showErrorMessage="1" xr:uid="{00000000-0002-0000-0300-00004C1C0000}">
          <x14:formula1>
            <xm:f>項目!A4:$WVM$65538</xm:f>
          </x14:formula1>
          <xm:sqref>WVV65541:WVV65564</xm:sqref>
        </x14:dataValidation>
        <x14:dataValidation type="list" allowBlank="1" showInputMessage="1" showErrorMessage="1" xr:uid="{00000000-0002-0000-0300-00004D1C0000}">
          <x14:formula1>
            <xm:f>項目!A4:$JA$131074</xm:f>
          </x14:formula1>
          <xm:sqref>JJ131077:JJ131100</xm:sqref>
        </x14:dataValidation>
        <x14:dataValidation type="list" allowBlank="1" showInputMessage="1" showErrorMessage="1" xr:uid="{00000000-0002-0000-0300-00004E1C0000}">
          <x14:formula1>
            <xm:f>項目!A4:$SW$131074</xm:f>
          </x14:formula1>
          <xm:sqref>TF131077:TF131100</xm:sqref>
        </x14:dataValidation>
        <x14:dataValidation type="list" allowBlank="1" showInputMessage="1" showErrorMessage="1" xr:uid="{00000000-0002-0000-0300-00004F1C0000}">
          <x14:formula1>
            <xm:f>項目!A4:$ACS$131074</xm:f>
          </x14:formula1>
          <xm:sqref>ADB131077:ADB131100</xm:sqref>
        </x14:dataValidation>
        <x14:dataValidation type="list" allowBlank="1" showInputMessage="1" showErrorMessage="1" xr:uid="{00000000-0002-0000-0300-0000501C0000}">
          <x14:formula1>
            <xm:f>項目!A4:$AMO$131074</xm:f>
          </x14:formula1>
          <xm:sqref>AMX131077:AMX131100</xm:sqref>
        </x14:dataValidation>
        <x14:dataValidation type="list" allowBlank="1" showInputMessage="1" showErrorMessage="1" xr:uid="{00000000-0002-0000-0300-0000511C0000}">
          <x14:formula1>
            <xm:f>項目!A4:$AWK$131074</xm:f>
          </x14:formula1>
          <xm:sqref>AWT131077:AWT131100</xm:sqref>
        </x14:dataValidation>
        <x14:dataValidation type="list" allowBlank="1" showInputMessage="1" showErrorMessage="1" xr:uid="{00000000-0002-0000-0300-0000521C0000}">
          <x14:formula1>
            <xm:f>項目!A4:$BGG$131074</xm:f>
          </x14:formula1>
          <xm:sqref>BGP131077:BGP131100</xm:sqref>
        </x14:dataValidation>
        <x14:dataValidation type="list" allowBlank="1" showInputMessage="1" showErrorMessage="1" xr:uid="{00000000-0002-0000-0300-0000531C0000}">
          <x14:formula1>
            <xm:f>項目!A4:$BQC$131074</xm:f>
          </x14:formula1>
          <xm:sqref>BQL131077:BQL131100</xm:sqref>
        </x14:dataValidation>
        <x14:dataValidation type="list" allowBlank="1" showInputMessage="1" showErrorMessage="1" xr:uid="{00000000-0002-0000-0300-0000541C0000}">
          <x14:formula1>
            <xm:f>項目!A4:$BZY$131074</xm:f>
          </x14:formula1>
          <xm:sqref>CAH131077:CAH131100</xm:sqref>
        </x14:dataValidation>
        <x14:dataValidation type="list" allowBlank="1" showInputMessage="1" showErrorMessage="1" xr:uid="{00000000-0002-0000-0300-0000551C0000}">
          <x14:formula1>
            <xm:f>項目!A4:$CJU$131074</xm:f>
          </x14:formula1>
          <xm:sqref>CKD131077:CKD131100</xm:sqref>
        </x14:dataValidation>
        <x14:dataValidation type="list" allowBlank="1" showInputMessage="1" showErrorMessage="1" xr:uid="{00000000-0002-0000-0300-0000561C0000}">
          <x14:formula1>
            <xm:f>項目!A4:$CTQ$131074</xm:f>
          </x14:formula1>
          <xm:sqref>CTZ131077:CTZ131100</xm:sqref>
        </x14:dataValidation>
        <x14:dataValidation type="list" allowBlank="1" showInputMessage="1" showErrorMessage="1" xr:uid="{00000000-0002-0000-0300-0000571C0000}">
          <x14:formula1>
            <xm:f>項目!A4:$DDM$131074</xm:f>
          </x14:formula1>
          <xm:sqref>DDV131077:DDV131100</xm:sqref>
        </x14:dataValidation>
        <x14:dataValidation type="list" allowBlank="1" showInputMessage="1" showErrorMessage="1" xr:uid="{00000000-0002-0000-0300-0000581C0000}">
          <x14:formula1>
            <xm:f>項目!A4:$DNI$131074</xm:f>
          </x14:formula1>
          <xm:sqref>DNR131077:DNR131100</xm:sqref>
        </x14:dataValidation>
        <x14:dataValidation type="list" allowBlank="1" showInputMessage="1" showErrorMessage="1" xr:uid="{00000000-0002-0000-0300-0000591C0000}">
          <x14:formula1>
            <xm:f>項目!A4:$DXE$131074</xm:f>
          </x14:formula1>
          <xm:sqref>DXN131077:DXN131100</xm:sqref>
        </x14:dataValidation>
        <x14:dataValidation type="list" allowBlank="1" showInputMessage="1" showErrorMessage="1" xr:uid="{00000000-0002-0000-0300-00005A1C0000}">
          <x14:formula1>
            <xm:f>項目!A4:$EHA$131074</xm:f>
          </x14:formula1>
          <xm:sqref>EHJ131077:EHJ131100</xm:sqref>
        </x14:dataValidation>
        <x14:dataValidation type="list" allowBlank="1" showInputMessage="1" showErrorMessage="1" xr:uid="{00000000-0002-0000-0300-00005B1C0000}">
          <x14:formula1>
            <xm:f>項目!A4:$EQW$131074</xm:f>
          </x14:formula1>
          <xm:sqref>ERF131077:ERF131100</xm:sqref>
        </x14:dataValidation>
        <x14:dataValidation type="list" allowBlank="1" showInputMessage="1" showErrorMessage="1" xr:uid="{00000000-0002-0000-0300-00005C1C0000}">
          <x14:formula1>
            <xm:f>項目!A4:$FAS$131074</xm:f>
          </x14:formula1>
          <xm:sqref>FBB131077:FBB131100</xm:sqref>
        </x14:dataValidation>
        <x14:dataValidation type="list" allowBlank="1" showInputMessage="1" showErrorMessage="1" xr:uid="{00000000-0002-0000-0300-00005D1C0000}">
          <x14:formula1>
            <xm:f>項目!A4:$FKO$131074</xm:f>
          </x14:formula1>
          <xm:sqref>FKX131077:FKX131100</xm:sqref>
        </x14:dataValidation>
        <x14:dataValidation type="list" allowBlank="1" showInputMessage="1" showErrorMessage="1" xr:uid="{00000000-0002-0000-0300-00005E1C0000}">
          <x14:formula1>
            <xm:f>項目!A4:$FUK$131074</xm:f>
          </x14:formula1>
          <xm:sqref>FUT131077:FUT131100</xm:sqref>
        </x14:dataValidation>
        <x14:dataValidation type="list" allowBlank="1" showInputMessage="1" showErrorMessage="1" xr:uid="{00000000-0002-0000-0300-00005F1C0000}">
          <x14:formula1>
            <xm:f>項目!A4:$GEG$131074</xm:f>
          </x14:formula1>
          <xm:sqref>GEP131077:GEP131100</xm:sqref>
        </x14:dataValidation>
        <x14:dataValidation type="list" allowBlank="1" showInputMessage="1" showErrorMessage="1" xr:uid="{00000000-0002-0000-0300-0000601C0000}">
          <x14:formula1>
            <xm:f>項目!A4:$GOC$131074</xm:f>
          </x14:formula1>
          <xm:sqref>GOL131077:GOL131100</xm:sqref>
        </x14:dataValidation>
        <x14:dataValidation type="list" allowBlank="1" showInputMessage="1" showErrorMessage="1" xr:uid="{00000000-0002-0000-0300-0000611C0000}">
          <x14:formula1>
            <xm:f>項目!A4:$GXY$131074</xm:f>
          </x14:formula1>
          <xm:sqref>GYH131077:GYH131100</xm:sqref>
        </x14:dataValidation>
        <x14:dataValidation type="list" allowBlank="1" showInputMessage="1" showErrorMessage="1" xr:uid="{00000000-0002-0000-0300-0000621C0000}">
          <x14:formula1>
            <xm:f>項目!A4:$HHU$131074</xm:f>
          </x14:formula1>
          <xm:sqref>HID131077:HID131100</xm:sqref>
        </x14:dataValidation>
        <x14:dataValidation type="list" allowBlank="1" showInputMessage="1" showErrorMessage="1" xr:uid="{00000000-0002-0000-0300-0000631C0000}">
          <x14:formula1>
            <xm:f>項目!A4:$HRQ$131074</xm:f>
          </x14:formula1>
          <xm:sqref>HRZ131077:HRZ131100</xm:sqref>
        </x14:dataValidation>
        <x14:dataValidation type="list" allowBlank="1" showInputMessage="1" showErrorMessage="1" xr:uid="{00000000-0002-0000-0300-0000641C0000}">
          <x14:formula1>
            <xm:f>項目!A4:$IBM$131074</xm:f>
          </x14:formula1>
          <xm:sqref>IBV131077:IBV131100</xm:sqref>
        </x14:dataValidation>
        <x14:dataValidation type="list" allowBlank="1" showInputMessage="1" showErrorMessage="1" xr:uid="{00000000-0002-0000-0300-0000651C0000}">
          <x14:formula1>
            <xm:f>項目!A4:$ILI$131074</xm:f>
          </x14:formula1>
          <xm:sqref>ILR131077:ILR131100</xm:sqref>
        </x14:dataValidation>
        <x14:dataValidation type="list" allowBlank="1" showInputMessage="1" showErrorMessage="1" xr:uid="{00000000-0002-0000-0300-0000661C0000}">
          <x14:formula1>
            <xm:f>項目!A4:$IVE$131074</xm:f>
          </x14:formula1>
          <xm:sqref>IVN131077:IVN131100</xm:sqref>
        </x14:dataValidation>
        <x14:dataValidation type="list" allowBlank="1" showInputMessage="1" showErrorMessage="1" xr:uid="{00000000-0002-0000-0300-0000671C0000}">
          <x14:formula1>
            <xm:f>項目!A4:$JFA$131074</xm:f>
          </x14:formula1>
          <xm:sqref>JFJ131077:JFJ131100</xm:sqref>
        </x14:dataValidation>
        <x14:dataValidation type="list" allowBlank="1" showInputMessage="1" showErrorMessage="1" xr:uid="{00000000-0002-0000-0300-0000681C0000}">
          <x14:formula1>
            <xm:f>項目!A4:$JOW$131074</xm:f>
          </x14:formula1>
          <xm:sqref>JPF131077:JPF131100</xm:sqref>
        </x14:dataValidation>
        <x14:dataValidation type="list" allowBlank="1" showInputMessage="1" showErrorMessage="1" xr:uid="{00000000-0002-0000-0300-0000691C0000}">
          <x14:formula1>
            <xm:f>項目!A4:$JYS$131074</xm:f>
          </x14:formula1>
          <xm:sqref>JZB131077:JZB131100</xm:sqref>
        </x14:dataValidation>
        <x14:dataValidation type="list" allowBlank="1" showInputMessage="1" showErrorMessage="1" xr:uid="{00000000-0002-0000-0300-00006A1C0000}">
          <x14:formula1>
            <xm:f>項目!A4:$KIO$131074</xm:f>
          </x14:formula1>
          <xm:sqref>KIX131077:KIX131100</xm:sqref>
        </x14:dataValidation>
        <x14:dataValidation type="list" allowBlank="1" showInputMessage="1" showErrorMessage="1" xr:uid="{00000000-0002-0000-0300-00006B1C0000}">
          <x14:formula1>
            <xm:f>項目!A4:$KSK$131074</xm:f>
          </x14:formula1>
          <xm:sqref>KST131077:KST131100</xm:sqref>
        </x14:dataValidation>
        <x14:dataValidation type="list" allowBlank="1" showInputMessage="1" showErrorMessage="1" xr:uid="{00000000-0002-0000-0300-00006C1C0000}">
          <x14:formula1>
            <xm:f>項目!A4:$LCG$131074</xm:f>
          </x14:formula1>
          <xm:sqref>LCP131077:LCP131100</xm:sqref>
        </x14:dataValidation>
        <x14:dataValidation type="list" allowBlank="1" showInputMessage="1" showErrorMessage="1" xr:uid="{00000000-0002-0000-0300-00006D1C0000}">
          <x14:formula1>
            <xm:f>項目!A4:$LMC$131074</xm:f>
          </x14:formula1>
          <xm:sqref>LML131077:LML131100</xm:sqref>
        </x14:dataValidation>
        <x14:dataValidation type="list" allowBlank="1" showInputMessage="1" showErrorMessage="1" xr:uid="{00000000-0002-0000-0300-00006E1C0000}">
          <x14:formula1>
            <xm:f>項目!A4:$LVY$131074</xm:f>
          </x14:formula1>
          <xm:sqref>LWH131077:LWH131100</xm:sqref>
        </x14:dataValidation>
        <x14:dataValidation type="list" allowBlank="1" showInputMessage="1" showErrorMessage="1" xr:uid="{00000000-0002-0000-0300-00006F1C0000}">
          <x14:formula1>
            <xm:f>項目!A4:$MFU$131074</xm:f>
          </x14:formula1>
          <xm:sqref>MGD131077:MGD131100</xm:sqref>
        </x14:dataValidation>
        <x14:dataValidation type="list" allowBlank="1" showInputMessage="1" showErrorMessage="1" xr:uid="{00000000-0002-0000-0300-0000701C0000}">
          <x14:formula1>
            <xm:f>項目!A4:$MPQ$131074</xm:f>
          </x14:formula1>
          <xm:sqref>MPZ131077:MPZ131100</xm:sqref>
        </x14:dataValidation>
        <x14:dataValidation type="list" allowBlank="1" showInputMessage="1" showErrorMessage="1" xr:uid="{00000000-0002-0000-0300-0000711C0000}">
          <x14:formula1>
            <xm:f>項目!A4:$MZM$131074</xm:f>
          </x14:formula1>
          <xm:sqref>MZV131077:MZV131100</xm:sqref>
        </x14:dataValidation>
        <x14:dataValidation type="list" allowBlank="1" showInputMessage="1" showErrorMessage="1" xr:uid="{00000000-0002-0000-0300-0000721C0000}">
          <x14:formula1>
            <xm:f>項目!A4:$NJI$131074</xm:f>
          </x14:formula1>
          <xm:sqref>NJR131077:NJR131100</xm:sqref>
        </x14:dataValidation>
        <x14:dataValidation type="list" allowBlank="1" showInputMessage="1" showErrorMessage="1" xr:uid="{00000000-0002-0000-0300-0000731C0000}">
          <x14:formula1>
            <xm:f>項目!A4:$NTE$131074</xm:f>
          </x14:formula1>
          <xm:sqref>NTN131077:NTN131100</xm:sqref>
        </x14:dataValidation>
        <x14:dataValidation type="list" allowBlank="1" showInputMessage="1" showErrorMessage="1" xr:uid="{00000000-0002-0000-0300-0000741C0000}">
          <x14:formula1>
            <xm:f>項目!A4:$ODA$131074</xm:f>
          </x14:formula1>
          <xm:sqref>ODJ131077:ODJ131100</xm:sqref>
        </x14:dataValidation>
        <x14:dataValidation type="list" allowBlank="1" showInputMessage="1" showErrorMessage="1" xr:uid="{00000000-0002-0000-0300-0000751C0000}">
          <x14:formula1>
            <xm:f>項目!A4:$OMW$131074</xm:f>
          </x14:formula1>
          <xm:sqref>ONF131077:ONF131100</xm:sqref>
        </x14:dataValidation>
        <x14:dataValidation type="list" allowBlank="1" showInputMessage="1" showErrorMessage="1" xr:uid="{00000000-0002-0000-0300-0000761C0000}">
          <x14:formula1>
            <xm:f>項目!A4:$OWS$131074</xm:f>
          </x14:formula1>
          <xm:sqref>OXB131077:OXB131100</xm:sqref>
        </x14:dataValidation>
        <x14:dataValidation type="list" allowBlank="1" showInputMessage="1" showErrorMessage="1" xr:uid="{00000000-0002-0000-0300-0000771C0000}">
          <x14:formula1>
            <xm:f>項目!A4:$PGO$131074</xm:f>
          </x14:formula1>
          <xm:sqref>PGX131077:PGX131100</xm:sqref>
        </x14:dataValidation>
        <x14:dataValidation type="list" allowBlank="1" showInputMessage="1" showErrorMessage="1" xr:uid="{00000000-0002-0000-0300-0000781C0000}">
          <x14:formula1>
            <xm:f>項目!A4:$PQK$131074</xm:f>
          </x14:formula1>
          <xm:sqref>PQT131077:PQT131100</xm:sqref>
        </x14:dataValidation>
        <x14:dataValidation type="list" allowBlank="1" showInputMessage="1" showErrorMessage="1" xr:uid="{00000000-0002-0000-0300-0000791C0000}">
          <x14:formula1>
            <xm:f>項目!A4:$QAG$131074</xm:f>
          </x14:formula1>
          <xm:sqref>QAP131077:QAP131100</xm:sqref>
        </x14:dataValidation>
        <x14:dataValidation type="list" allowBlank="1" showInputMessage="1" showErrorMessage="1" xr:uid="{00000000-0002-0000-0300-00007A1C0000}">
          <x14:formula1>
            <xm:f>項目!A4:$QKC$131074</xm:f>
          </x14:formula1>
          <xm:sqref>QKL131077:QKL131100</xm:sqref>
        </x14:dataValidation>
        <x14:dataValidation type="list" allowBlank="1" showInputMessage="1" showErrorMessage="1" xr:uid="{00000000-0002-0000-0300-00007B1C0000}">
          <x14:formula1>
            <xm:f>項目!A4:$QTY$131074</xm:f>
          </x14:formula1>
          <xm:sqref>QUH131077:QUH131100</xm:sqref>
        </x14:dataValidation>
        <x14:dataValidation type="list" allowBlank="1" showInputMessage="1" showErrorMessage="1" xr:uid="{00000000-0002-0000-0300-00007C1C0000}">
          <x14:formula1>
            <xm:f>項目!A4:$RDU$131074</xm:f>
          </x14:formula1>
          <xm:sqref>RED131077:RED131100</xm:sqref>
        </x14:dataValidation>
        <x14:dataValidation type="list" allowBlank="1" showInputMessage="1" showErrorMessage="1" xr:uid="{00000000-0002-0000-0300-00007D1C0000}">
          <x14:formula1>
            <xm:f>項目!A4:$RNQ$131074</xm:f>
          </x14:formula1>
          <xm:sqref>RNZ131077:RNZ131100</xm:sqref>
        </x14:dataValidation>
        <x14:dataValidation type="list" allowBlank="1" showInputMessage="1" showErrorMessage="1" xr:uid="{00000000-0002-0000-0300-00007E1C0000}">
          <x14:formula1>
            <xm:f>項目!A4:$RXM$131074</xm:f>
          </x14:formula1>
          <xm:sqref>RXV131077:RXV131100</xm:sqref>
        </x14:dataValidation>
        <x14:dataValidation type="list" allowBlank="1" showInputMessage="1" showErrorMessage="1" xr:uid="{00000000-0002-0000-0300-00007F1C0000}">
          <x14:formula1>
            <xm:f>項目!A4:$SHI$131074</xm:f>
          </x14:formula1>
          <xm:sqref>SHR131077:SHR131100</xm:sqref>
        </x14:dataValidation>
        <x14:dataValidation type="list" allowBlank="1" showInputMessage="1" showErrorMessage="1" xr:uid="{00000000-0002-0000-0300-0000801C0000}">
          <x14:formula1>
            <xm:f>項目!A4:$SRE$131074</xm:f>
          </x14:formula1>
          <xm:sqref>SRN131077:SRN131100</xm:sqref>
        </x14:dataValidation>
        <x14:dataValidation type="list" allowBlank="1" showInputMessage="1" showErrorMessage="1" xr:uid="{00000000-0002-0000-0300-0000811C0000}">
          <x14:formula1>
            <xm:f>項目!A4:$TBA$131074</xm:f>
          </x14:formula1>
          <xm:sqref>TBJ131077:TBJ131100</xm:sqref>
        </x14:dataValidation>
        <x14:dataValidation type="list" allowBlank="1" showInputMessage="1" showErrorMessage="1" xr:uid="{00000000-0002-0000-0300-0000821C0000}">
          <x14:formula1>
            <xm:f>項目!A4:$TKW$131074</xm:f>
          </x14:formula1>
          <xm:sqref>TLF131077:TLF131100</xm:sqref>
        </x14:dataValidation>
        <x14:dataValidation type="list" allowBlank="1" showInputMessage="1" showErrorMessage="1" xr:uid="{00000000-0002-0000-0300-0000831C0000}">
          <x14:formula1>
            <xm:f>項目!A4:$TUS$131074</xm:f>
          </x14:formula1>
          <xm:sqref>TVB131077:TVB131100</xm:sqref>
        </x14:dataValidation>
        <x14:dataValidation type="list" allowBlank="1" showInputMessage="1" showErrorMessage="1" xr:uid="{00000000-0002-0000-0300-0000841C0000}">
          <x14:formula1>
            <xm:f>項目!A4:$UEO$131074</xm:f>
          </x14:formula1>
          <xm:sqref>UEX131077:UEX131100</xm:sqref>
        </x14:dataValidation>
        <x14:dataValidation type="list" allowBlank="1" showInputMessage="1" showErrorMessage="1" xr:uid="{00000000-0002-0000-0300-0000851C0000}">
          <x14:formula1>
            <xm:f>項目!A4:$UOK$131074</xm:f>
          </x14:formula1>
          <xm:sqref>UOT131077:UOT131100</xm:sqref>
        </x14:dataValidation>
        <x14:dataValidation type="list" allowBlank="1" showInputMessage="1" showErrorMessage="1" xr:uid="{00000000-0002-0000-0300-0000861C0000}">
          <x14:formula1>
            <xm:f>項目!A4:$UYG$131074</xm:f>
          </x14:formula1>
          <xm:sqref>UYP131077:UYP131100</xm:sqref>
        </x14:dataValidation>
        <x14:dataValidation type="list" allowBlank="1" showInputMessage="1" showErrorMessage="1" xr:uid="{00000000-0002-0000-0300-0000871C0000}">
          <x14:formula1>
            <xm:f>項目!A4:$VIC$131074</xm:f>
          </x14:formula1>
          <xm:sqref>VIL131077:VIL131100</xm:sqref>
        </x14:dataValidation>
        <x14:dataValidation type="list" allowBlank="1" showInputMessage="1" showErrorMessage="1" xr:uid="{00000000-0002-0000-0300-0000881C0000}">
          <x14:formula1>
            <xm:f>項目!A4:$VRY$131074</xm:f>
          </x14:formula1>
          <xm:sqref>VSH131077:VSH131100</xm:sqref>
        </x14:dataValidation>
        <x14:dataValidation type="list" allowBlank="1" showInputMessage="1" showErrorMessage="1" xr:uid="{00000000-0002-0000-0300-0000891C0000}">
          <x14:formula1>
            <xm:f>項目!A4:$WBU$131074</xm:f>
          </x14:formula1>
          <xm:sqref>WCD131077:WCD131100</xm:sqref>
        </x14:dataValidation>
        <x14:dataValidation type="list" allowBlank="1" showInputMessage="1" showErrorMessage="1" xr:uid="{00000000-0002-0000-0300-00008A1C0000}">
          <x14:formula1>
            <xm:f>項目!A4:$WLQ$131074</xm:f>
          </x14:formula1>
          <xm:sqref>WLZ131077:WLZ131100</xm:sqref>
        </x14:dataValidation>
        <x14:dataValidation type="list" allowBlank="1" showInputMessage="1" showErrorMessage="1" xr:uid="{00000000-0002-0000-0300-00008B1C0000}">
          <x14:formula1>
            <xm:f>項目!A4:$WVM$131074</xm:f>
          </x14:formula1>
          <xm:sqref>WVV131077:WVV131100</xm:sqref>
        </x14:dataValidation>
        <x14:dataValidation type="list" allowBlank="1" showInputMessage="1" showErrorMessage="1" xr:uid="{00000000-0002-0000-0300-00008C1C0000}">
          <x14:formula1>
            <xm:f>項目!A4:$JA$196610</xm:f>
          </x14:formula1>
          <xm:sqref>JJ196613:JJ196636</xm:sqref>
        </x14:dataValidation>
        <x14:dataValidation type="list" allowBlank="1" showInputMessage="1" showErrorMessage="1" xr:uid="{00000000-0002-0000-0300-00008D1C0000}">
          <x14:formula1>
            <xm:f>項目!A4:$SW$196610</xm:f>
          </x14:formula1>
          <xm:sqref>TF196613:TF196636</xm:sqref>
        </x14:dataValidation>
        <x14:dataValidation type="list" allowBlank="1" showInputMessage="1" showErrorMessage="1" xr:uid="{00000000-0002-0000-0300-00008E1C0000}">
          <x14:formula1>
            <xm:f>項目!A4:$ACS$196610</xm:f>
          </x14:formula1>
          <xm:sqref>ADB196613:ADB196636</xm:sqref>
        </x14:dataValidation>
        <x14:dataValidation type="list" allowBlank="1" showInputMessage="1" showErrorMessage="1" xr:uid="{00000000-0002-0000-0300-00008F1C0000}">
          <x14:formula1>
            <xm:f>項目!A4:$AMO$196610</xm:f>
          </x14:formula1>
          <xm:sqref>AMX196613:AMX196636</xm:sqref>
        </x14:dataValidation>
        <x14:dataValidation type="list" allowBlank="1" showInputMessage="1" showErrorMessage="1" xr:uid="{00000000-0002-0000-0300-0000901C0000}">
          <x14:formula1>
            <xm:f>項目!A4:$AWK$196610</xm:f>
          </x14:formula1>
          <xm:sqref>AWT196613:AWT196636</xm:sqref>
        </x14:dataValidation>
        <x14:dataValidation type="list" allowBlank="1" showInputMessage="1" showErrorMessage="1" xr:uid="{00000000-0002-0000-0300-0000911C0000}">
          <x14:formula1>
            <xm:f>項目!A4:$BGG$196610</xm:f>
          </x14:formula1>
          <xm:sqref>BGP196613:BGP196636</xm:sqref>
        </x14:dataValidation>
        <x14:dataValidation type="list" allowBlank="1" showInputMessage="1" showErrorMessage="1" xr:uid="{00000000-0002-0000-0300-0000921C0000}">
          <x14:formula1>
            <xm:f>項目!A4:$BQC$196610</xm:f>
          </x14:formula1>
          <xm:sqref>BQL196613:BQL196636</xm:sqref>
        </x14:dataValidation>
        <x14:dataValidation type="list" allowBlank="1" showInputMessage="1" showErrorMessage="1" xr:uid="{00000000-0002-0000-0300-0000931C0000}">
          <x14:formula1>
            <xm:f>項目!A4:$BZY$196610</xm:f>
          </x14:formula1>
          <xm:sqref>CAH196613:CAH196636</xm:sqref>
        </x14:dataValidation>
        <x14:dataValidation type="list" allowBlank="1" showInputMessage="1" showErrorMessage="1" xr:uid="{00000000-0002-0000-0300-0000941C0000}">
          <x14:formula1>
            <xm:f>項目!A4:$CJU$196610</xm:f>
          </x14:formula1>
          <xm:sqref>CKD196613:CKD196636</xm:sqref>
        </x14:dataValidation>
        <x14:dataValidation type="list" allowBlank="1" showInputMessage="1" showErrorMessage="1" xr:uid="{00000000-0002-0000-0300-0000951C0000}">
          <x14:formula1>
            <xm:f>項目!A4:$CTQ$196610</xm:f>
          </x14:formula1>
          <xm:sqref>CTZ196613:CTZ196636</xm:sqref>
        </x14:dataValidation>
        <x14:dataValidation type="list" allowBlank="1" showInputMessage="1" showErrorMessage="1" xr:uid="{00000000-0002-0000-0300-0000961C0000}">
          <x14:formula1>
            <xm:f>項目!A4:$DDM$196610</xm:f>
          </x14:formula1>
          <xm:sqref>DDV196613:DDV196636</xm:sqref>
        </x14:dataValidation>
        <x14:dataValidation type="list" allowBlank="1" showInputMessage="1" showErrorMessage="1" xr:uid="{00000000-0002-0000-0300-0000971C0000}">
          <x14:formula1>
            <xm:f>項目!A4:$DNI$196610</xm:f>
          </x14:formula1>
          <xm:sqref>DNR196613:DNR196636</xm:sqref>
        </x14:dataValidation>
        <x14:dataValidation type="list" allowBlank="1" showInputMessage="1" showErrorMessage="1" xr:uid="{00000000-0002-0000-0300-0000981C0000}">
          <x14:formula1>
            <xm:f>項目!A4:$DXE$196610</xm:f>
          </x14:formula1>
          <xm:sqref>DXN196613:DXN196636</xm:sqref>
        </x14:dataValidation>
        <x14:dataValidation type="list" allowBlank="1" showInputMessage="1" showErrorMessage="1" xr:uid="{00000000-0002-0000-0300-0000991C0000}">
          <x14:formula1>
            <xm:f>項目!A4:$EHA$196610</xm:f>
          </x14:formula1>
          <xm:sqref>EHJ196613:EHJ196636</xm:sqref>
        </x14:dataValidation>
        <x14:dataValidation type="list" allowBlank="1" showInputMessage="1" showErrorMessage="1" xr:uid="{00000000-0002-0000-0300-00009A1C0000}">
          <x14:formula1>
            <xm:f>項目!A4:$EQW$196610</xm:f>
          </x14:formula1>
          <xm:sqref>ERF196613:ERF196636</xm:sqref>
        </x14:dataValidation>
        <x14:dataValidation type="list" allowBlank="1" showInputMessage="1" showErrorMessage="1" xr:uid="{00000000-0002-0000-0300-00009B1C0000}">
          <x14:formula1>
            <xm:f>項目!A4:$FAS$196610</xm:f>
          </x14:formula1>
          <xm:sqref>FBB196613:FBB196636</xm:sqref>
        </x14:dataValidation>
        <x14:dataValidation type="list" allowBlank="1" showInputMessage="1" showErrorMessage="1" xr:uid="{00000000-0002-0000-0300-00009C1C0000}">
          <x14:formula1>
            <xm:f>項目!A4:$FKO$196610</xm:f>
          </x14:formula1>
          <xm:sqref>FKX196613:FKX196636</xm:sqref>
        </x14:dataValidation>
        <x14:dataValidation type="list" allowBlank="1" showInputMessage="1" showErrorMessage="1" xr:uid="{00000000-0002-0000-0300-00009D1C0000}">
          <x14:formula1>
            <xm:f>項目!A4:$FUK$196610</xm:f>
          </x14:formula1>
          <xm:sqref>FUT196613:FUT196636</xm:sqref>
        </x14:dataValidation>
        <x14:dataValidation type="list" allowBlank="1" showInputMessage="1" showErrorMessage="1" xr:uid="{00000000-0002-0000-0300-00009E1C0000}">
          <x14:formula1>
            <xm:f>項目!A4:$GEG$196610</xm:f>
          </x14:formula1>
          <xm:sqref>GEP196613:GEP196636</xm:sqref>
        </x14:dataValidation>
        <x14:dataValidation type="list" allowBlank="1" showInputMessage="1" showErrorMessage="1" xr:uid="{00000000-0002-0000-0300-00009F1C0000}">
          <x14:formula1>
            <xm:f>項目!A4:$GOC$196610</xm:f>
          </x14:formula1>
          <xm:sqref>GOL196613:GOL196636</xm:sqref>
        </x14:dataValidation>
        <x14:dataValidation type="list" allowBlank="1" showInputMessage="1" showErrorMessage="1" xr:uid="{00000000-0002-0000-0300-0000A01C0000}">
          <x14:formula1>
            <xm:f>項目!A4:$GXY$196610</xm:f>
          </x14:formula1>
          <xm:sqref>GYH196613:GYH196636</xm:sqref>
        </x14:dataValidation>
        <x14:dataValidation type="list" allowBlank="1" showInputMessage="1" showErrorMessage="1" xr:uid="{00000000-0002-0000-0300-0000A11C0000}">
          <x14:formula1>
            <xm:f>項目!A4:$HHU$196610</xm:f>
          </x14:formula1>
          <xm:sqref>HID196613:HID196636</xm:sqref>
        </x14:dataValidation>
        <x14:dataValidation type="list" allowBlank="1" showInputMessage="1" showErrorMessage="1" xr:uid="{00000000-0002-0000-0300-0000A21C0000}">
          <x14:formula1>
            <xm:f>項目!A4:$HRQ$196610</xm:f>
          </x14:formula1>
          <xm:sqref>HRZ196613:HRZ196636</xm:sqref>
        </x14:dataValidation>
        <x14:dataValidation type="list" allowBlank="1" showInputMessage="1" showErrorMessage="1" xr:uid="{00000000-0002-0000-0300-0000A31C0000}">
          <x14:formula1>
            <xm:f>項目!A4:$IBM$196610</xm:f>
          </x14:formula1>
          <xm:sqref>IBV196613:IBV196636</xm:sqref>
        </x14:dataValidation>
        <x14:dataValidation type="list" allowBlank="1" showInputMessage="1" showErrorMessage="1" xr:uid="{00000000-0002-0000-0300-0000A41C0000}">
          <x14:formula1>
            <xm:f>項目!A4:$ILI$196610</xm:f>
          </x14:formula1>
          <xm:sqref>ILR196613:ILR196636</xm:sqref>
        </x14:dataValidation>
        <x14:dataValidation type="list" allowBlank="1" showInputMessage="1" showErrorMessage="1" xr:uid="{00000000-0002-0000-0300-0000A51C0000}">
          <x14:formula1>
            <xm:f>項目!A4:$IVE$196610</xm:f>
          </x14:formula1>
          <xm:sqref>IVN196613:IVN196636</xm:sqref>
        </x14:dataValidation>
        <x14:dataValidation type="list" allowBlank="1" showInputMessage="1" showErrorMessage="1" xr:uid="{00000000-0002-0000-0300-0000A61C0000}">
          <x14:formula1>
            <xm:f>項目!A4:$JFA$196610</xm:f>
          </x14:formula1>
          <xm:sqref>JFJ196613:JFJ196636</xm:sqref>
        </x14:dataValidation>
        <x14:dataValidation type="list" allowBlank="1" showInputMessage="1" showErrorMessage="1" xr:uid="{00000000-0002-0000-0300-0000A71C0000}">
          <x14:formula1>
            <xm:f>項目!A4:$JOW$196610</xm:f>
          </x14:formula1>
          <xm:sqref>JPF196613:JPF196636</xm:sqref>
        </x14:dataValidation>
        <x14:dataValidation type="list" allowBlank="1" showInputMessage="1" showErrorMessage="1" xr:uid="{00000000-0002-0000-0300-0000A81C0000}">
          <x14:formula1>
            <xm:f>項目!A4:$JYS$196610</xm:f>
          </x14:formula1>
          <xm:sqref>JZB196613:JZB196636</xm:sqref>
        </x14:dataValidation>
        <x14:dataValidation type="list" allowBlank="1" showInputMessage="1" showErrorMessage="1" xr:uid="{00000000-0002-0000-0300-0000A91C0000}">
          <x14:formula1>
            <xm:f>項目!A4:$KIO$196610</xm:f>
          </x14:formula1>
          <xm:sqref>KIX196613:KIX196636</xm:sqref>
        </x14:dataValidation>
        <x14:dataValidation type="list" allowBlank="1" showInputMessage="1" showErrorMessage="1" xr:uid="{00000000-0002-0000-0300-0000AA1C0000}">
          <x14:formula1>
            <xm:f>項目!A4:$KSK$196610</xm:f>
          </x14:formula1>
          <xm:sqref>KST196613:KST196636</xm:sqref>
        </x14:dataValidation>
        <x14:dataValidation type="list" allowBlank="1" showInputMessage="1" showErrorMessage="1" xr:uid="{00000000-0002-0000-0300-0000AB1C0000}">
          <x14:formula1>
            <xm:f>項目!A4:$LCG$196610</xm:f>
          </x14:formula1>
          <xm:sqref>LCP196613:LCP196636</xm:sqref>
        </x14:dataValidation>
        <x14:dataValidation type="list" allowBlank="1" showInputMessage="1" showErrorMessage="1" xr:uid="{00000000-0002-0000-0300-0000AC1C0000}">
          <x14:formula1>
            <xm:f>項目!A4:$LMC$196610</xm:f>
          </x14:formula1>
          <xm:sqref>LML196613:LML196636</xm:sqref>
        </x14:dataValidation>
        <x14:dataValidation type="list" allowBlank="1" showInputMessage="1" showErrorMessage="1" xr:uid="{00000000-0002-0000-0300-0000AD1C0000}">
          <x14:formula1>
            <xm:f>項目!A4:$LVY$196610</xm:f>
          </x14:formula1>
          <xm:sqref>LWH196613:LWH196636</xm:sqref>
        </x14:dataValidation>
        <x14:dataValidation type="list" allowBlank="1" showInputMessage="1" showErrorMessage="1" xr:uid="{00000000-0002-0000-0300-0000AE1C0000}">
          <x14:formula1>
            <xm:f>項目!A4:$MFU$196610</xm:f>
          </x14:formula1>
          <xm:sqref>MGD196613:MGD196636</xm:sqref>
        </x14:dataValidation>
        <x14:dataValidation type="list" allowBlank="1" showInputMessage="1" showErrorMessage="1" xr:uid="{00000000-0002-0000-0300-0000AF1C0000}">
          <x14:formula1>
            <xm:f>項目!A4:$MPQ$196610</xm:f>
          </x14:formula1>
          <xm:sqref>MPZ196613:MPZ196636</xm:sqref>
        </x14:dataValidation>
        <x14:dataValidation type="list" allowBlank="1" showInputMessage="1" showErrorMessage="1" xr:uid="{00000000-0002-0000-0300-0000B01C0000}">
          <x14:formula1>
            <xm:f>項目!A4:$MZM$196610</xm:f>
          </x14:formula1>
          <xm:sqref>MZV196613:MZV196636</xm:sqref>
        </x14:dataValidation>
        <x14:dataValidation type="list" allowBlank="1" showInputMessage="1" showErrorMessage="1" xr:uid="{00000000-0002-0000-0300-0000B11C0000}">
          <x14:formula1>
            <xm:f>項目!A4:$NJI$196610</xm:f>
          </x14:formula1>
          <xm:sqref>NJR196613:NJR196636</xm:sqref>
        </x14:dataValidation>
        <x14:dataValidation type="list" allowBlank="1" showInputMessage="1" showErrorMessage="1" xr:uid="{00000000-0002-0000-0300-0000B21C0000}">
          <x14:formula1>
            <xm:f>項目!A4:$NTE$196610</xm:f>
          </x14:formula1>
          <xm:sqref>NTN196613:NTN196636</xm:sqref>
        </x14:dataValidation>
        <x14:dataValidation type="list" allowBlank="1" showInputMessage="1" showErrorMessage="1" xr:uid="{00000000-0002-0000-0300-0000B31C0000}">
          <x14:formula1>
            <xm:f>項目!A4:$ODA$196610</xm:f>
          </x14:formula1>
          <xm:sqref>ODJ196613:ODJ196636</xm:sqref>
        </x14:dataValidation>
        <x14:dataValidation type="list" allowBlank="1" showInputMessage="1" showErrorMessage="1" xr:uid="{00000000-0002-0000-0300-0000B41C0000}">
          <x14:formula1>
            <xm:f>項目!A4:$OMW$196610</xm:f>
          </x14:formula1>
          <xm:sqref>ONF196613:ONF196636</xm:sqref>
        </x14:dataValidation>
        <x14:dataValidation type="list" allowBlank="1" showInputMessage="1" showErrorMessage="1" xr:uid="{00000000-0002-0000-0300-0000B51C0000}">
          <x14:formula1>
            <xm:f>項目!A4:$OWS$196610</xm:f>
          </x14:formula1>
          <xm:sqref>OXB196613:OXB196636</xm:sqref>
        </x14:dataValidation>
        <x14:dataValidation type="list" allowBlank="1" showInputMessage="1" showErrorMessage="1" xr:uid="{00000000-0002-0000-0300-0000B61C0000}">
          <x14:formula1>
            <xm:f>項目!A4:$PGO$196610</xm:f>
          </x14:formula1>
          <xm:sqref>PGX196613:PGX196636</xm:sqref>
        </x14:dataValidation>
        <x14:dataValidation type="list" allowBlank="1" showInputMessage="1" showErrorMessage="1" xr:uid="{00000000-0002-0000-0300-0000B71C0000}">
          <x14:formula1>
            <xm:f>項目!A4:$PQK$196610</xm:f>
          </x14:formula1>
          <xm:sqref>PQT196613:PQT196636</xm:sqref>
        </x14:dataValidation>
        <x14:dataValidation type="list" allowBlank="1" showInputMessage="1" showErrorMessage="1" xr:uid="{00000000-0002-0000-0300-0000B81C0000}">
          <x14:formula1>
            <xm:f>項目!A4:$QAG$196610</xm:f>
          </x14:formula1>
          <xm:sqref>QAP196613:QAP196636</xm:sqref>
        </x14:dataValidation>
        <x14:dataValidation type="list" allowBlank="1" showInputMessage="1" showErrorMessage="1" xr:uid="{00000000-0002-0000-0300-0000B91C0000}">
          <x14:formula1>
            <xm:f>項目!A4:$QKC$196610</xm:f>
          </x14:formula1>
          <xm:sqref>QKL196613:QKL196636</xm:sqref>
        </x14:dataValidation>
        <x14:dataValidation type="list" allowBlank="1" showInputMessage="1" showErrorMessage="1" xr:uid="{00000000-0002-0000-0300-0000BA1C0000}">
          <x14:formula1>
            <xm:f>項目!A4:$QTY$196610</xm:f>
          </x14:formula1>
          <xm:sqref>QUH196613:QUH196636</xm:sqref>
        </x14:dataValidation>
        <x14:dataValidation type="list" allowBlank="1" showInputMessage="1" showErrorMessage="1" xr:uid="{00000000-0002-0000-0300-0000BB1C0000}">
          <x14:formula1>
            <xm:f>項目!A4:$RDU$196610</xm:f>
          </x14:formula1>
          <xm:sqref>RED196613:RED196636</xm:sqref>
        </x14:dataValidation>
        <x14:dataValidation type="list" allowBlank="1" showInputMessage="1" showErrorMessage="1" xr:uid="{00000000-0002-0000-0300-0000BC1C0000}">
          <x14:formula1>
            <xm:f>項目!A4:$RNQ$196610</xm:f>
          </x14:formula1>
          <xm:sqref>RNZ196613:RNZ196636</xm:sqref>
        </x14:dataValidation>
        <x14:dataValidation type="list" allowBlank="1" showInputMessage="1" showErrorMessage="1" xr:uid="{00000000-0002-0000-0300-0000BD1C0000}">
          <x14:formula1>
            <xm:f>項目!A4:$RXM$196610</xm:f>
          </x14:formula1>
          <xm:sqref>RXV196613:RXV196636</xm:sqref>
        </x14:dataValidation>
        <x14:dataValidation type="list" allowBlank="1" showInputMessage="1" showErrorMessage="1" xr:uid="{00000000-0002-0000-0300-0000BE1C0000}">
          <x14:formula1>
            <xm:f>項目!A4:$SHI$196610</xm:f>
          </x14:formula1>
          <xm:sqref>SHR196613:SHR196636</xm:sqref>
        </x14:dataValidation>
        <x14:dataValidation type="list" allowBlank="1" showInputMessage="1" showErrorMessage="1" xr:uid="{00000000-0002-0000-0300-0000BF1C0000}">
          <x14:formula1>
            <xm:f>項目!A4:$SRE$196610</xm:f>
          </x14:formula1>
          <xm:sqref>SRN196613:SRN196636</xm:sqref>
        </x14:dataValidation>
        <x14:dataValidation type="list" allowBlank="1" showInputMessage="1" showErrorMessage="1" xr:uid="{00000000-0002-0000-0300-0000C01C0000}">
          <x14:formula1>
            <xm:f>項目!A4:$TBA$196610</xm:f>
          </x14:formula1>
          <xm:sqref>TBJ196613:TBJ196636</xm:sqref>
        </x14:dataValidation>
        <x14:dataValidation type="list" allowBlank="1" showInputMessage="1" showErrorMessage="1" xr:uid="{00000000-0002-0000-0300-0000C11C0000}">
          <x14:formula1>
            <xm:f>項目!A4:$TKW$196610</xm:f>
          </x14:formula1>
          <xm:sqref>TLF196613:TLF196636</xm:sqref>
        </x14:dataValidation>
        <x14:dataValidation type="list" allowBlank="1" showInputMessage="1" showErrorMessage="1" xr:uid="{00000000-0002-0000-0300-0000C21C0000}">
          <x14:formula1>
            <xm:f>項目!A4:$TUS$196610</xm:f>
          </x14:formula1>
          <xm:sqref>TVB196613:TVB196636</xm:sqref>
        </x14:dataValidation>
        <x14:dataValidation type="list" allowBlank="1" showInputMessage="1" showErrorMessage="1" xr:uid="{00000000-0002-0000-0300-0000C31C0000}">
          <x14:formula1>
            <xm:f>項目!A4:$UEO$196610</xm:f>
          </x14:formula1>
          <xm:sqref>UEX196613:UEX196636</xm:sqref>
        </x14:dataValidation>
        <x14:dataValidation type="list" allowBlank="1" showInputMessage="1" showErrorMessage="1" xr:uid="{00000000-0002-0000-0300-0000C41C0000}">
          <x14:formula1>
            <xm:f>項目!A4:$UOK$196610</xm:f>
          </x14:formula1>
          <xm:sqref>UOT196613:UOT196636</xm:sqref>
        </x14:dataValidation>
        <x14:dataValidation type="list" allowBlank="1" showInputMessage="1" showErrorMessage="1" xr:uid="{00000000-0002-0000-0300-0000C51C0000}">
          <x14:formula1>
            <xm:f>項目!A4:$UYG$196610</xm:f>
          </x14:formula1>
          <xm:sqref>UYP196613:UYP196636</xm:sqref>
        </x14:dataValidation>
        <x14:dataValidation type="list" allowBlank="1" showInputMessage="1" showErrorMessage="1" xr:uid="{00000000-0002-0000-0300-0000C61C0000}">
          <x14:formula1>
            <xm:f>項目!A4:$VIC$196610</xm:f>
          </x14:formula1>
          <xm:sqref>VIL196613:VIL196636</xm:sqref>
        </x14:dataValidation>
        <x14:dataValidation type="list" allowBlank="1" showInputMessage="1" showErrorMessage="1" xr:uid="{00000000-0002-0000-0300-0000C71C0000}">
          <x14:formula1>
            <xm:f>項目!A4:$VRY$196610</xm:f>
          </x14:formula1>
          <xm:sqref>VSH196613:VSH196636</xm:sqref>
        </x14:dataValidation>
        <x14:dataValidation type="list" allowBlank="1" showInputMessage="1" showErrorMessage="1" xr:uid="{00000000-0002-0000-0300-0000C81C0000}">
          <x14:formula1>
            <xm:f>項目!A4:$WBU$196610</xm:f>
          </x14:formula1>
          <xm:sqref>WCD196613:WCD196636</xm:sqref>
        </x14:dataValidation>
        <x14:dataValidation type="list" allowBlank="1" showInputMessage="1" showErrorMessage="1" xr:uid="{00000000-0002-0000-0300-0000C91C0000}">
          <x14:formula1>
            <xm:f>項目!A4:$WLQ$196610</xm:f>
          </x14:formula1>
          <xm:sqref>WLZ196613:WLZ196636</xm:sqref>
        </x14:dataValidation>
        <x14:dataValidation type="list" allowBlank="1" showInputMessage="1" showErrorMessage="1" xr:uid="{00000000-0002-0000-0300-0000CA1C0000}">
          <x14:formula1>
            <xm:f>項目!A4:$WVM$196610</xm:f>
          </x14:formula1>
          <xm:sqref>WVV196613:WVV196636</xm:sqref>
        </x14:dataValidation>
        <x14:dataValidation type="list" allowBlank="1" showInputMessage="1" showErrorMessage="1" xr:uid="{00000000-0002-0000-0300-0000CB1C0000}">
          <x14:formula1>
            <xm:f>項目!A4:$JA$262146</xm:f>
          </x14:formula1>
          <xm:sqref>JJ262149:JJ262172</xm:sqref>
        </x14:dataValidation>
        <x14:dataValidation type="list" allowBlank="1" showInputMessage="1" showErrorMessage="1" xr:uid="{00000000-0002-0000-0300-0000CC1C0000}">
          <x14:formula1>
            <xm:f>項目!A4:$SW$262146</xm:f>
          </x14:formula1>
          <xm:sqref>TF262149:TF262172</xm:sqref>
        </x14:dataValidation>
        <x14:dataValidation type="list" allowBlank="1" showInputMessage="1" showErrorMessage="1" xr:uid="{00000000-0002-0000-0300-0000CD1C0000}">
          <x14:formula1>
            <xm:f>項目!A4:$ACS$262146</xm:f>
          </x14:formula1>
          <xm:sqref>ADB262149:ADB262172</xm:sqref>
        </x14:dataValidation>
        <x14:dataValidation type="list" allowBlank="1" showInputMessage="1" showErrorMessage="1" xr:uid="{00000000-0002-0000-0300-0000CE1C0000}">
          <x14:formula1>
            <xm:f>項目!A4:$AMO$262146</xm:f>
          </x14:formula1>
          <xm:sqref>AMX262149:AMX262172</xm:sqref>
        </x14:dataValidation>
        <x14:dataValidation type="list" allowBlank="1" showInputMessage="1" showErrorMessage="1" xr:uid="{00000000-0002-0000-0300-0000CF1C0000}">
          <x14:formula1>
            <xm:f>項目!A4:$AWK$262146</xm:f>
          </x14:formula1>
          <xm:sqref>AWT262149:AWT262172</xm:sqref>
        </x14:dataValidation>
        <x14:dataValidation type="list" allowBlank="1" showInputMessage="1" showErrorMessage="1" xr:uid="{00000000-0002-0000-0300-0000D01C0000}">
          <x14:formula1>
            <xm:f>項目!A4:$BGG$262146</xm:f>
          </x14:formula1>
          <xm:sqref>BGP262149:BGP262172</xm:sqref>
        </x14:dataValidation>
        <x14:dataValidation type="list" allowBlank="1" showInputMessage="1" showErrorMessage="1" xr:uid="{00000000-0002-0000-0300-0000D11C0000}">
          <x14:formula1>
            <xm:f>項目!A4:$BQC$262146</xm:f>
          </x14:formula1>
          <xm:sqref>BQL262149:BQL262172</xm:sqref>
        </x14:dataValidation>
        <x14:dataValidation type="list" allowBlank="1" showInputMessage="1" showErrorMessage="1" xr:uid="{00000000-0002-0000-0300-0000D21C0000}">
          <x14:formula1>
            <xm:f>項目!A4:$BZY$262146</xm:f>
          </x14:formula1>
          <xm:sqref>CAH262149:CAH262172</xm:sqref>
        </x14:dataValidation>
        <x14:dataValidation type="list" allowBlank="1" showInputMessage="1" showErrorMessage="1" xr:uid="{00000000-0002-0000-0300-0000D31C0000}">
          <x14:formula1>
            <xm:f>項目!A4:$CJU$262146</xm:f>
          </x14:formula1>
          <xm:sqref>CKD262149:CKD262172</xm:sqref>
        </x14:dataValidation>
        <x14:dataValidation type="list" allowBlank="1" showInputMessage="1" showErrorMessage="1" xr:uid="{00000000-0002-0000-0300-0000D41C0000}">
          <x14:formula1>
            <xm:f>項目!A4:$CTQ$262146</xm:f>
          </x14:formula1>
          <xm:sqref>CTZ262149:CTZ262172</xm:sqref>
        </x14:dataValidation>
        <x14:dataValidation type="list" allowBlank="1" showInputMessage="1" showErrorMessage="1" xr:uid="{00000000-0002-0000-0300-0000D51C0000}">
          <x14:formula1>
            <xm:f>項目!A4:$DDM$262146</xm:f>
          </x14:formula1>
          <xm:sqref>DDV262149:DDV262172</xm:sqref>
        </x14:dataValidation>
        <x14:dataValidation type="list" allowBlank="1" showInputMessage="1" showErrorMessage="1" xr:uid="{00000000-0002-0000-0300-0000D61C0000}">
          <x14:formula1>
            <xm:f>項目!A4:$DNI$262146</xm:f>
          </x14:formula1>
          <xm:sqref>DNR262149:DNR262172</xm:sqref>
        </x14:dataValidation>
        <x14:dataValidation type="list" allowBlank="1" showInputMessage="1" showErrorMessage="1" xr:uid="{00000000-0002-0000-0300-0000D71C0000}">
          <x14:formula1>
            <xm:f>項目!A4:$DXE$262146</xm:f>
          </x14:formula1>
          <xm:sqref>DXN262149:DXN262172</xm:sqref>
        </x14:dataValidation>
        <x14:dataValidation type="list" allowBlank="1" showInputMessage="1" showErrorMessage="1" xr:uid="{00000000-0002-0000-0300-0000D81C0000}">
          <x14:formula1>
            <xm:f>項目!A4:$EHA$262146</xm:f>
          </x14:formula1>
          <xm:sqref>EHJ262149:EHJ262172</xm:sqref>
        </x14:dataValidation>
        <x14:dataValidation type="list" allowBlank="1" showInputMessage="1" showErrorMessage="1" xr:uid="{00000000-0002-0000-0300-0000D91C0000}">
          <x14:formula1>
            <xm:f>項目!A4:$EQW$262146</xm:f>
          </x14:formula1>
          <xm:sqref>ERF262149:ERF262172</xm:sqref>
        </x14:dataValidation>
        <x14:dataValidation type="list" allowBlank="1" showInputMessage="1" showErrorMessage="1" xr:uid="{00000000-0002-0000-0300-0000DA1C0000}">
          <x14:formula1>
            <xm:f>項目!A4:$FAS$262146</xm:f>
          </x14:formula1>
          <xm:sqref>FBB262149:FBB262172</xm:sqref>
        </x14:dataValidation>
        <x14:dataValidation type="list" allowBlank="1" showInputMessage="1" showErrorMessage="1" xr:uid="{00000000-0002-0000-0300-0000DB1C0000}">
          <x14:formula1>
            <xm:f>項目!A4:$FKO$262146</xm:f>
          </x14:formula1>
          <xm:sqref>FKX262149:FKX262172</xm:sqref>
        </x14:dataValidation>
        <x14:dataValidation type="list" allowBlank="1" showInputMessage="1" showErrorMessage="1" xr:uid="{00000000-0002-0000-0300-0000DC1C0000}">
          <x14:formula1>
            <xm:f>項目!A4:$FUK$262146</xm:f>
          </x14:formula1>
          <xm:sqref>FUT262149:FUT262172</xm:sqref>
        </x14:dataValidation>
        <x14:dataValidation type="list" allowBlank="1" showInputMessage="1" showErrorMessage="1" xr:uid="{00000000-0002-0000-0300-0000DD1C0000}">
          <x14:formula1>
            <xm:f>項目!A4:$GEG$262146</xm:f>
          </x14:formula1>
          <xm:sqref>GEP262149:GEP262172</xm:sqref>
        </x14:dataValidation>
        <x14:dataValidation type="list" allowBlank="1" showInputMessage="1" showErrorMessage="1" xr:uid="{00000000-0002-0000-0300-0000DE1C0000}">
          <x14:formula1>
            <xm:f>項目!A4:$GOC$262146</xm:f>
          </x14:formula1>
          <xm:sqref>GOL262149:GOL262172</xm:sqref>
        </x14:dataValidation>
        <x14:dataValidation type="list" allowBlank="1" showInputMessage="1" showErrorMessage="1" xr:uid="{00000000-0002-0000-0300-0000DF1C0000}">
          <x14:formula1>
            <xm:f>項目!A4:$GXY$262146</xm:f>
          </x14:formula1>
          <xm:sqref>GYH262149:GYH262172</xm:sqref>
        </x14:dataValidation>
        <x14:dataValidation type="list" allowBlank="1" showInputMessage="1" showErrorMessage="1" xr:uid="{00000000-0002-0000-0300-0000E01C0000}">
          <x14:formula1>
            <xm:f>項目!A4:$HHU$262146</xm:f>
          </x14:formula1>
          <xm:sqref>HID262149:HID262172</xm:sqref>
        </x14:dataValidation>
        <x14:dataValidation type="list" allowBlank="1" showInputMessage="1" showErrorMessage="1" xr:uid="{00000000-0002-0000-0300-0000E11C0000}">
          <x14:formula1>
            <xm:f>項目!A4:$HRQ$262146</xm:f>
          </x14:formula1>
          <xm:sqref>HRZ262149:HRZ262172</xm:sqref>
        </x14:dataValidation>
        <x14:dataValidation type="list" allowBlank="1" showInputMessage="1" showErrorMessage="1" xr:uid="{00000000-0002-0000-0300-0000E21C0000}">
          <x14:formula1>
            <xm:f>項目!A4:$IBM$262146</xm:f>
          </x14:formula1>
          <xm:sqref>IBV262149:IBV262172</xm:sqref>
        </x14:dataValidation>
        <x14:dataValidation type="list" allowBlank="1" showInputMessage="1" showErrorMessage="1" xr:uid="{00000000-0002-0000-0300-0000E31C0000}">
          <x14:formula1>
            <xm:f>項目!A4:$ILI$262146</xm:f>
          </x14:formula1>
          <xm:sqref>ILR262149:ILR262172</xm:sqref>
        </x14:dataValidation>
        <x14:dataValidation type="list" allowBlank="1" showInputMessage="1" showErrorMessage="1" xr:uid="{00000000-0002-0000-0300-0000E41C0000}">
          <x14:formula1>
            <xm:f>項目!A4:$IVE$262146</xm:f>
          </x14:formula1>
          <xm:sqref>IVN262149:IVN262172</xm:sqref>
        </x14:dataValidation>
        <x14:dataValidation type="list" allowBlank="1" showInputMessage="1" showErrorMessage="1" xr:uid="{00000000-0002-0000-0300-0000E51C0000}">
          <x14:formula1>
            <xm:f>項目!A4:$JFA$262146</xm:f>
          </x14:formula1>
          <xm:sqref>JFJ262149:JFJ262172</xm:sqref>
        </x14:dataValidation>
        <x14:dataValidation type="list" allowBlank="1" showInputMessage="1" showErrorMessage="1" xr:uid="{00000000-0002-0000-0300-0000E61C0000}">
          <x14:formula1>
            <xm:f>項目!A4:$JOW$262146</xm:f>
          </x14:formula1>
          <xm:sqref>JPF262149:JPF262172</xm:sqref>
        </x14:dataValidation>
        <x14:dataValidation type="list" allowBlank="1" showInputMessage="1" showErrorMessage="1" xr:uid="{00000000-0002-0000-0300-0000E71C0000}">
          <x14:formula1>
            <xm:f>項目!A4:$JYS$262146</xm:f>
          </x14:formula1>
          <xm:sqref>JZB262149:JZB262172</xm:sqref>
        </x14:dataValidation>
        <x14:dataValidation type="list" allowBlank="1" showInputMessage="1" showErrorMessage="1" xr:uid="{00000000-0002-0000-0300-0000E81C0000}">
          <x14:formula1>
            <xm:f>項目!A4:$KIO$262146</xm:f>
          </x14:formula1>
          <xm:sqref>KIX262149:KIX262172</xm:sqref>
        </x14:dataValidation>
        <x14:dataValidation type="list" allowBlank="1" showInputMessage="1" showErrorMessage="1" xr:uid="{00000000-0002-0000-0300-0000E91C0000}">
          <x14:formula1>
            <xm:f>項目!A4:$KSK$262146</xm:f>
          </x14:formula1>
          <xm:sqref>KST262149:KST262172</xm:sqref>
        </x14:dataValidation>
        <x14:dataValidation type="list" allowBlank="1" showInputMessage="1" showErrorMessage="1" xr:uid="{00000000-0002-0000-0300-0000EA1C0000}">
          <x14:formula1>
            <xm:f>項目!A4:$LCG$262146</xm:f>
          </x14:formula1>
          <xm:sqref>LCP262149:LCP262172</xm:sqref>
        </x14:dataValidation>
        <x14:dataValidation type="list" allowBlank="1" showInputMessage="1" showErrorMessage="1" xr:uid="{00000000-0002-0000-0300-0000EB1C0000}">
          <x14:formula1>
            <xm:f>項目!A4:$LMC$262146</xm:f>
          </x14:formula1>
          <xm:sqref>LML262149:LML262172</xm:sqref>
        </x14:dataValidation>
        <x14:dataValidation type="list" allowBlank="1" showInputMessage="1" showErrorMessage="1" xr:uid="{00000000-0002-0000-0300-0000EC1C0000}">
          <x14:formula1>
            <xm:f>項目!A4:$LVY$262146</xm:f>
          </x14:formula1>
          <xm:sqref>LWH262149:LWH262172</xm:sqref>
        </x14:dataValidation>
        <x14:dataValidation type="list" allowBlank="1" showInputMessage="1" showErrorMessage="1" xr:uid="{00000000-0002-0000-0300-0000ED1C0000}">
          <x14:formula1>
            <xm:f>項目!A4:$MFU$262146</xm:f>
          </x14:formula1>
          <xm:sqref>MGD262149:MGD262172</xm:sqref>
        </x14:dataValidation>
        <x14:dataValidation type="list" allowBlank="1" showInputMessage="1" showErrorMessage="1" xr:uid="{00000000-0002-0000-0300-0000EE1C0000}">
          <x14:formula1>
            <xm:f>項目!A4:$MPQ$262146</xm:f>
          </x14:formula1>
          <xm:sqref>MPZ262149:MPZ262172</xm:sqref>
        </x14:dataValidation>
        <x14:dataValidation type="list" allowBlank="1" showInputMessage="1" showErrorMessage="1" xr:uid="{00000000-0002-0000-0300-0000EF1C0000}">
          <x14:formula1>
            <xm:f>項目!A4:$MZM$262146</xm:f>
          </x14:formula1>
          <xm:sqref>MZV262149:MZV262172</xm:sqref>
        </x14:dataValidation>
        <x14:dataValidation type="list" allowBlank="1" showInputMessage="1" showErrorMessage="1" xr:uid="{00000000-0002-0000-0300-0000F01C0000}">
          <x14:formula1>
            <xm:f>項目!A4:$NJI$262146</xm:f>
          </x14:formula1>
          <xm:sqref>NJR262149:NJR262172</xm:sqref>
        </x14:dataValidation>
        <x14:dataValidation type="list" allowBlank="1" showInputMessage="1" showErrorMessage="1" xr:uid="{00000000-0002-0000-0300-0000F11C0000}">
          <x14:formula1>
            <xm:f>項目!A4:$NTE$262146</xm:f>
          </x14:formula1>
          <xm:sqref>NTN262149:NTN262172</xm:sqref>
        </x14:dataValidation>
        <x14:dataValidation type="list" allowBlank="1" showInputMessage="1" showErrorMessage="1" xr:uid="{00000000-0002-0000-0300-0000F21C0000}">
          <x14:formula1>
            <xm:f>項目!A4:$ODA$262146</xm:f>
          </x14:formula1>
          <xm:sqref>ODJ262149:ODJ262172</xm:sqref>
        </x14:dataValidation>
        <x14:dataValidation type="list" allowBlank="1" showInputMessage="1" showErrorMessage="1" xr:uid="{00000000-0002-0000-0300-0000F31C0000}">
          <x14:formula1>
            <xm:f>項目!A4:$OMW$262146</xm:f>
          </x14:formula1>
          <xm:sqref>ONF262149:ONF262172</xm:sqref>
        </x14:dataValidation>
        <x14:dataValidation type="list" allowBlank="1" showInputMessage="1" showErrorMessage="1" xr:uid="{00000000-0002-0000-0300-0000F41C0000}">
          <x14:formula1>
            <xm:f>項目!A4:$OWS$262146</xm:f>
          </x14:formula1>
          <xm:sqref>OXB262149:OXB262172</xm:sqref>
        </x14:dataValidation>
        <x14:dataValidation type="list" allowBlank="1" showInputMessage="1" showErrorMessage="1" xr:uid="{00000000-0002-0000-0300-0000F51C0000}">
          <x14:formula1>
            <xm:f>項目!A4:$PGO$262146</xm:f>
          </x14:formula1>
          <xm:sqref>PGX262149:PGX262172</xm:sqref>
        </x14:dataValidation>
        <x14:dataValidation type="list" allowBlank="1" showInputMessage="1" showErrorMessage="1" xr:uid="{00000000-0002-0000-0300-0000F61C0000}">
          <x14:formula1>
            <xm:f>項目!A4:$PQK$262146</xm:f>
          </x14:formula1>
          <xm:sqref>PQT262149:PQT262172</xm:sqref>
        </x14:dataValidation>
        <x14:dataValidation type="list" allowBlank="1" showInputMessage="1" showErrorMessage="1" xr:uid="{00000000-0002-0000-0300-0000F71C0000}">
          <x14:formula1>
            <xm:f>項目!A4:$QAG$262146</xm:f>
          </x14:formula1>
          <xm:sqref>QAP262149:QAP262172</xm:sqref>
        </x14:dataValidation>
        <x14:dataValidation type="list" allowBlank="1" showInputMessage="1" showErrorMessage="1" xr:uid="{00000000-0002-0000-0300-0000F81C0000}">
          <x14:formula1>
            <xm:f>項目!A4:$QKC$262146</xm:f>
          </x14:formula1>
          <xm:sqref>QKL262149:QKL262172</xm:sqref>
        </x14:dataValidation>
        <x14:dataValidation type="list" allowBlank="1" showInputMessage="1" showErrorMessage="1" xr:uid="{00000000-0002-0000-0300-0000F91C0000}">
          <x14:formula1>
            <xm:f>項目!A4:$QTY$262146</xm:f>
          </x14:formula1>
          <xm:sqref>QUH262149:QUH262172</xm:sqref>
        </x14:dataValidation>
        <x14:dataValidation type="list" allowBlank="1" showInputMessage="1" showErrorMessage="1" xr:uid="{00000000-0002-0000-0300-0000FA1C0000}">
          <x14:formula1>
            <xm:f>項目!A4:$RDU$262146</xm:f>
          </x14:formula1>
          <xm:sqref>RED262149:RED262172</xm:sqref>
        </x14:dataValidation>
        <x14:dataValidation type="list" allowBlank="1" showInputMessage="1" showErrorMessage="1" xr:uid="{00000000-0002-0000-0300-0000FB1C0000}">
          <x14:formula1>
            <xm:f>項目!A4:$RNQ$262146</xm:f>
          </x14:formula1>
          <xm:sqref>RNZ262149:RNZ262172</xm:sqref>
        </x14:dataValidation>
        <x14:dataValidation type="list" allowBlank="1" showInputMessage="1" showErrorMessage="1" xr:uid="{00000000-0002-0000-0300-0000FC1C0000}">
          <x14:formula1>
            <xm:f>項目!A4:$RXM$262146</xm:f>
          </x14:formula1>
          <xm:sqref>RXV262149:RXV262172</xm:sqref>
        </x14:dataValidation>
        <x14:dataValidation type="list" allowBlank="1" showInputMessage="1" showErrorMessage="1" xr:uid="{00000000-0002-0000-0300-0000FD1C0000}">
          <x14:formula1>
            <xm:f>項目!A4:$SHI$262146</xm:f>
          </x14:formula1>
          <xm:sqref>SHR262149:SHR262172</xm:sqref>
        </x14:dataValidation>
        <x14:dataValidation type="list" allowBlank="1" showInputMessage="1" showErrorMessage="1" xr:uid="{00000000-0002-0000-0300-0000FE1C0000}">
          <x14:formula1>
            <xm:f>項目!A4:$SRE$262146</xm:f>
          </x14:formula1>
          <xm:sqref>SRN262149:SRN262172</xm:sqref>
        </x14:dataValidation>
        <x14:dataValidation type="list" allowBlank="1" showInputMessage="1" showErrorMessage="1" xr:uid="{00000000-0002-0000-0300-0000FF1C0000}">
          <x14:formula1>
            <xm:f>項目!A4:$TBA$262146</xm:f>
          </x14:formula1>
          <xm:sqref>TBJ262149:TBJ262172</xm:sqref>
        </x14:dataValidation>
        <x14:dataValidation type="list" allowBlank="1" showInputMessage="1" showErrorMessage="1" xr:uid="{00000000-0002-0000-0300-0000001D0000}">
          <x14:formula1>
            <xm:f>項目!A4:$TKW$262146</xm:f>
          </x14:formula1>
          <xm:sqref>TLF262149:TLF262172</xm:sqref>
        </x14:dataValidation>
        <x14:dataValidation type="list" allowBlank="1" showInputMessage="1" showErrorMessage="1" xr:uid="{00000000-0002-0000-0300-0000011D0000}">
          <x14:formula1>
            <xm:f>項目!A4:$TUS$262146</xm:f>
          </x14:formula1>
          <xm:sqref>TVB262149:TVB262172</xm:sqref>
        </x14:dataValidation>
        <x14:dataValidation type="list" allowBlank="1" showInputMessage="1" showErrorMessage="1" xr:uid="{00000000-0002-0000-0300-0000021D0000}">
          <x14:formula1>
            <xm:f>項目!A4:$UEO$262146</xm:f>
          </x14:formula1>
          <xm:sqref>UEX262149:UEX262172</xm:sqref>
        </x14:dataValidation>
        <x14:dataValidation type="list" allowBlank="1" showInputMessage="1" showErrorMessage="1" xr:uid="{00000000-0002-0000-0300-0000031D0000}">
          <x14:formula1>
            <xm:f>項目!A4:$UOK$262146</xm:f>
          </x14:formula1>
          <xm:sqref>UOT262149:UOT262172</xm:sqref>
        </x14:dataValidation>
        <x14:dataValidation type="list" allowBlank="1" showInputMessage="1" showErrorMessage="1" xr:uid="{00000000-0002-0000-0300-0000041D0000}">
          <x14:formula1>
            <xm:f>項目!A4:$UYG$262146</xm:f>
          </x14:formula1>
          <xm:sqref>UYP262149:UYP262172</xm:sqref>
        </x14:dataValidation>
        <x14:dataValidation type="list" allowBlank="1" showInputMessage="1" showErrorMessage="1" xr:uid="{00000000-0002-0000-0300-0000051D0000}">
          <x14:formula1>
            <xm:f>項目!A4:$VIC$262146</xm:f>
          </x14:formula1>
          <xm:sqref>VIL262149:VIL262172</xm:sqref>
        </x14:dataValidation>
        <x14:dataValidation type="list" allowBlank="1" showInputMessage="1" showErrorMessage="1" xr:uid="{00000000-0002-0000-0300-0000061D0000}">
          <x14:formula1>
            <xm:f>項目!A4:$VRY$262146</xm:f>
          </x14:formula1>
          <xm:sqref>VSH262149:VSH262172</xm:sqref>
        </x14:dataValidation>
        <x14:dataValidation type="list" allowBlank="1" showInputMessage="1" showErrorMessage="1" xr:uid="{00000000-0002-0000-0300-0000071D0000}">
          <x14:formula1>
            <xm:f>項目!A4:$WBU$262146</xm:f>
          </x14:formula1>
          <xm:sqref>WCD262149:WCD262172</xm:sqref>
        </x14:dataValidation>
        <x14:dataValidation type="list" allowBlank="1" showInputMessage="1" showErrorMessage="1" xr:uid="{00000000-0002-0000-0300-0000081D0000}">
          <x14:formula1>
            <xm:f>項目!A4:$WLQ$262146</xm:f>
          </x14:formula1>
          <xm:sqref>WLZ262149:WLZ262172</xm:sqref>
        </x14:dataValidation>
        <x14:dataValidation type="list" allowBlank="1" showInputMessage="1" showErrorMessage="1" xr:uid="{00000000-0002-0000-0300-0000091D0000}">
          <x14:formula1>
            <xm:f>項目!A4:$WVM$262146</xm:f>
          </x14:formula1>
          <xm:sqref>WVV262149:WVV262172</xm:sqref>
        </x14:dataValidation>
        <x14:dataValidation type="list" allowBlank="1" showInputMessage="1" showErrorMessage="1" xr:uid="{00000000-0002-0000-0300-00000A1D0000}">
          <x14:formula1>
            <xm:f>項目!A4:$JA$327682</xm:f>
          </x14:formula1>
          <xm:sqref>JJ327685:JJ327708</xm:sqref>
        </x14:dataValidation>
        <x14:dataValidation type="list" allowBlank="1" showInputMessage="1" showErrorMessage="1" xr:uid="{00000000-0002-0000-0300-00000B1D0000}">
          <x14:formula1>
            <xm:f>項目!A4:$SW$327682</xm:f>
          </x14:formula1>
          <xm:sqref>TF327685:TF327708</xm:sqref>
        </x14:dataValidation>
        <x14:dataValidation type="list" allowBlank="1" showInputMessage="1" showErrorMessage="1" xr:uid="{00000000-0002-0000-0300-00000C1D0000}">
          <x14:formula1>
            <xm:f>項目!A4:$ACS$327682</xm:f>
          </x14:formula1>
          <xm:sqref>ADB327685:ADB327708</xm:sqref>
        </x14:dataValidation>
        <x14:dataValidation type="list" allowBlank="1" showInputMessage="1" showErrorMessage="1" xr:uid="{00000000-0002-0000-0300-00000D1D0000}">
          <x14:formula1>
            <xm:f>項目!A4:$AMO$327682</xm:f>
          </x14:formula1>
          <xm:sqref>AMX327685:AMX327708</xm:sqref>
        </x14:dataValidation>
        <x14:dataValidation type="list" allowBlank="1" showInputMessage="1" showErrorMessage="1" xr:uid="{00000000-0002-0000-0300-00000E1D0000}">
          <x14:formula1>
            <xm:f>項目!A4:$AWK$327682</xm:f>
          </x14:formula1>
          <xm:sqref>AWT327685:AWT327708</xm:sqref>
        </x14:dataValidation>
        <x14:dataValidation type="list" allowBlank="1" showInputMessage="1" showErrorMessage="1" xr:uid="{00000000-0002-0000-0300-00000F1D0000}">
          <x14:formula1>
            <xm:f>項目!A4:$BGG$327682</xm:f>
          </x14:formula1>
          <xm:sqref>BGP327685:BGP327708</xm:sqref>
        </x14:dataValidation>
        <x14:dataValidation type="list" allowBlank="1" showInputMessage="1" showErrorMessage="1" xr:uid="{00000000-0002-0000-0300-0000101D0000}">
          <x14:formula1>
            <xm:f>項目!A4:$BQC$327682</xm:f>
          </x14:formula1>
          <xm:sqref>BQL327685:BQL327708</xm:sqref>
        </x14:dataValidation>
        <x14:dataValidation type="list" allowBlank="1" showInputMessage="1" showErrorMessage="1" xr:uid="{00000000-0002-0000-0300-0000111D0000}">
          <x14:formula1>
            <xm:f>項目!A4:$BZY$327682</xm:f>
          </x14:formula1>
          <xm:sqref>CAH327685:CAH327708</xm:sqref>
        </x14:dataValidation>
        <x14:dataValidation type="list" allowBlank="1" showInputMessage="1" showErrorMessage="1" xr:uid="{00000000-0002-0000-0300-0000121D0000}">
          <x14:formula1>
            <xm:f>項目!A4:$CJU$327682</xm:f>
          </x14:formula1>
          <xm:sqref>CKD327685:CKD327708</xm:sqref>
        </x14:dataValidation>
        <x14:dataValidation type="list" allowBlank="1" showInputMessage="1" showErrorMessage="1" xr:uid="{00000000-0002-0000-0300-0000131D0000}">
          <x14:formula1>
            <xm:f>項目!A4:$CTQ$327682</xm:f>
          </x14:formula1>
          <xm:sqref>CTZ327685:CTZ327708</xm:sqref>
        </x14:dataValidation>
        <x14:dataValidation type="list" allowBlank="1" showInputMessage="1" showErrorMessage="1" xr:uid="{00000000-0002-0000-0300-0000141D0000}">
          <x14:formula1>
            <xm:f>項目!A4:$DDM$327682</xm:f>
          </x14:formula1>
          <xm:sqref>DDV327685:DDV327708</xm:sqref>
        </x14:dataValidation>
        <x14:dataValidation type="list" allowBlank="1" showInputMessage="1" showErrorMessage="1" xr:uid="{00000000-0002-0000-0300-0000151D0000}">
          <x14:formula1>
            <xm:f>項目!A4:$DNI$327682</xm:f>
          </x14:formula1>
          <xm:sqref>DNR327685:DNR327708</xm:sqref>
        </x14:dataValidation>
        <x14:dataValidation type="list" allowBlank="1" showInputMessage="1" showErrorMessage="1" xr:uid="{00000000-0002-0000-0300-0000161D0000}">
          <x14:formula1>
            <xm:f>項目!A4:$DXE$327682</xm:f>
          </x14:formula1>
          <xm:sqref>DXN327685:DXN327708</xm:sqref>
        </x14:dataValidation>
        <x14:dataValidation type="list" allowBlank="1" showInputMessage="1" showErrorMessage="1" xr:uid="{00000000-0002-0000-0300-0000171D0000}">
          <x14:formula1>
            <xm:f>項目!A4:$EHA$327682</xm:f>
          </x14:formula1>
          <xm:sqref>EHJ327685:EHJ327708</xm:sqref>
        </x14:dataValidation>
        <x14:dataValidation type="list" allowBlank="1" showInputMessage="1" showErrorMessage="1" xr:uid="{00000000-0002-0000-0300-0000181D0000}">
          <x14:formula1>
            <xm:f>項目!A4:$EQW$327682</xm:f>
          </x14:formula1>
          <xm:sqref>ERF327685:ERF327708</xm:sqref>
        </x14:dataValidation>
        <x14:dataValidation type="list" allowBlank="1" showInputMessage="1" showErrorMessage="1" xr:uid="{00000000-0002-0000-0300-0000191D0000}">
          <x14:formula1>
            <xm:f>項目!A4:$FAS$327682</xm:f>
          </x14:formula1>
          <xm:sqref>FBB327685:FBB327708</xm:sqref>
        </x14:dataValidation>
        <x14:dataValidation type="list" allowBlank="1" showInputMessage="1" showErrorMessage="1" xr:uid="{00000000-0002-0000-0300-00001A1D0000}">
          <x14:formula1>
            <xm:f>項目!A4:$FKO$327682</xm:f>
          </x14:formula1>
          <xm:sqref>FKX327685:FKX327708</xm:sqref>
        </x14:dataValidation>
        <x14:dataValidation type="list" allowBlank="1" showInputMessage="1" showErrorMessage="1" xr:uid="{00000000-0002-0000-0300-00001B1D0000}">
          <x14:formula1>
            <xm:f>項目!A4:$FUK$327682</xm:f>
          </x14:formula1>
          <xm:sqref>FUT327685:FUT327708</xm:sqref>
        </x14:dataValidation>
        <x14:dataValidation type="list" allowBlank="1" showInputMessage="1" showErrorMessage="1" xr:uid="{00000000-0002-0000-0300-00001C1D0000}">
          <x14:formula1>
            <xm:f>項目!A4:$GEG$327682</xm:f>
          </x14:formula1>
          <xm:sqref>GEP327685:GEP327708</xm:sqref>
        </x14:dataValidation>
        <x14:dataValidation type="list" allowBlank="1" showInputMessage="1" showErrorMessage="1" xr:uid="{00000000-0002-0000-0300-00001D1D0000}">
          <x14:formula1>
            <xm:f>項目!A4:$GOC$327682</xm:f>
          </x14:formula1>
          <xm:sqref>GOL327685:GOL327708</xm:sqref>
        </x14:dataValidation>
        <x14:dataValidation type="list" allowBlank="1" showInputMessage="1" showErrorMessage="1" xr:uid="{00000000-0002-0000-0300-00001E1D0000}">
          <x14:formula1>
            <xm:f>項目!A4:$GXY$327682</xm:f>
          </x14:formula1>
          <xm:sqref>GYH327685:GYH327708</xm:sqref>
        </x14:dataValidation>
        <x14:dataValidation type="list" allowBlank="1" showInputMessage="1" showErrorMessage="1" xr:uid="{00000000-0002-0000-0300-00001F1D0000}">
          <x14:formula1>
            <xm:f>項目!A4:$HHU$327682</xm:f>
          </x14:formula1>
          <xm:sqref>HID327685:HID327708</xm:sqref>
        </x14:dataValidation>
        <x14:dataValidation type="list" allowBlank="1" showInputMessage="1" showErrorMessage="1" xr:uid="{00000000-0002-0000-0300-0000201D0000}">
          <x14:formula1>
            <xm:f>項目!A4:$HRQ$327682</xm:f>
          </x14:formula1>
          <xm:sqref>HRZ327685:HRZ327708</xm:sqref>
        </x14:dataValidation>
        <x14:dataValidation type="list" allowBlank="1" showInputMessage="1" showErrorMessage="1" xr:uid="{00000000-0002-0000-0300-0000211D0000}">
          <x14:formula1>
            <xm:f>項目!A4:$IBM$327682</xm:f>
          </x14:formula1>
          <xm:sqref>IBV327685:IBV327708</xm:sqref>
        </x14:dataValidation>
        <x14:dataValidation type="list" allowBlank="1" showInputMessage="1" showErrorMessage="1" xr:uid="{00000000-0002-0000-0300-0000221D0000}">
          <x14:formula1>
            <xm:f>項目!A4:$ILI$327682</xm:f>
          </x14:formula1>
          <xm:sqref>ILR327685:ILR327708</xm:sqref>
        </x14:dataValidation>
        <x14:dataValidation type="list" allowBlank="1" showInputMessage="1" showErrorMessage="1" xr:uid="{00000000-0002-0000-0300-0000231D0000}">
          <x14:formula1>
            <xm:f>項目!A4:$IVE$327682</xm:f>
          </x14:formula1>
          <xm:sqref>IVN327685:IVN327708</xm:sqref>
        </x14:dataValidation>
        <x14:dataValidation type="list" allowBlank="1" showInputMessage="1" showErrorMessage="1" xr:uid="{00000000-0002-0000-0300-0000241D0000}">
          <x14:formula1>
            <xm:f>項目!A4:$JFA$327682</xm:f>
          </x14:formula1>
          <xm:sqref>JFJ327685:JFJ327708</xm:sqref>
        </x14:dataValidation>
        <x14:dataValidation type="list" allowBlank="1" showInputMessage="1" showErrorMessage="1" xr:uid="{00000000-0002-0000-0300-0000251D0000}">
          <x14:formula1>
            <xm:f>項目!A4:$JOW$327682</xm:f>
          </x14:formula1>
          <xm:sqref>JPF327685:JPF327708</xm:sqref>
        </x14:dataValidation>
        <x14:dataValidation type="list" allowBlank="1" showInputMessage="1" showErrorMessage="1" xr:uid="{00000000-0002-0000-0300-0000261D0000}">
          <x14:formula1>
            <xm:f>項目!A4:$JYS$327682</xm:f>
          </x14:formula1>
          <xm:sqref>JZB327685:JZB327708</xm:sqref>
        </x14:dataValidation>
        <x14:dataValidation type="list" allowBlank="1" showInputMessage="1" showErrorMessage="1" xr:uid="{00000000-0002-0000-0300-0000271D0000}">
          <x14:formula1>
            <xm:f>項目!A4:$KIO$327682</xm:f>
          </x14:formula1>
          <xm:sqref>KIX327685:KIX327708</xm:sqref>
        </x14:dataValidation>
        <x14:dataValidation type="list" allowBlank="1" showInputMessage="1" showErrorMessage="1" xr:uid="{00000000-0002-0000-0300-0000281D0000}">
          <x14:formula1>
            <xm:f>項目!A4:$KSK$327682</xm:f>
          </x14:formula1>
          <xm:sqref>KST327685:KST327708</xm:sqref>
        </x14:dataValidation>
        <x14:dataValidation type="list" allowBlank="1" showInputMessage="1" showErrorMessage="1" xr:uid="{00000000-0002-0000-0300-0000291D0000}">
          <x14:formula1>
            <xm:f>項目!A4:$LCG$327682</xm:f>
          </x14:formula1>
          <xm:sqref>LCP327685:LCP327708</xm:sqref>
        </x14:dataValidation>
        <x14:dataValidation type="list" allowBlank="1" showInputMessage="1" showErrorMessage="1" xr:uid="{00000000-0002-0000-0300-00002A1D0000}">
          <x14:formula1>
            <xm:f>項目!A4:$LMC$327682</xm:f>
          </x14:formula1>
          <xm:sqref>LML327685:LML327708</xm:sqref>
        </x14:dataValidation>
        <x14:dataValidation type="list" allowBlank="1" showInputMessage="1" showErrorMessage="1" xr:uid="{00000000-0002-0000-0300-00002B1D0000}">
          <x14:formula1>
            <xm:f>項目!A4:$LVY$327682</xm:f>
          </x14:formula1>
          <xm:sqref>LWH327685:LWH327708</xm:sqref>
        </x14:dataValidation>
        <x14:dataValidation type="list" allowBlank="1" showInputMessage="1" showErrorMessage="1" xr:uid="{00000000-0002-0000-0300-00002C1D0000}">
          <x14:formula1>
            <xm:f>項目!A4:$MFU$327682</xm:f>
          </x14:formula1>
          <xm:sqref>MGD327685:MGD327708</xm:sqref>
        </x14:dataValidation>
        <x14:dataValidation type="list" allowBlank="1" showInputMessage="1" showErrorMessage="1" xr:uid="{00000000-0002-0000-0300-00002D1D0000}">
          <x14:formula1>
            <xm:f>項目!A4:$MPQ$327682</xm:f>
          </x14:formula1>
          <xm:sqref>MPZ327685:MPZ327708</xm:sqref>
        </x14:dataValidation>
        <x14:dataValidation type="list" allowBlank="1" showInputMessage="1" showErrorMessage="1" xr:uid="{00000000-0002-0000-0300-00002E1D0000}">
          <x14:formula1>
            <xm:f>項目!A4:$MZM$327682</xm:f>
          </x14:formula1>
          <xm:sqref>MZV327685:MZV327708</xm:sqref>
        </x14:dataValidation>
        <x14:dataValidation type="list" allowBlank="1" showInputMessage="1" showErrorMessage="1" xr:uid="{00000000-0002-0000-0300-00002F1D0000}">
          <x14:formula1>
            <xm:f>項目!A4:$NJI$327682</xm:f>
          </x14:formula1>
          <xm:sqref>NJR327685:NJR327708</xm:sqref>
        </x14:dataValidation>
        <x14:dataValidation type="list" allowBlank="1" showInputMessage="1" showErrorMessage="1" xr:uid="{00000000-0002-0000-0300-0000301D0000}">
          <x14:formula1>
            <xm:f>項目!A4:$NTE$327682</xm:f>
          </x14:formula1>
          <xm:sqref>NTN327685:NTN327708</xm:sqref>
        </x14:dataValidation>
        <x14:dataValidation type="list" allowBlank="1" showInputMessage="1" showErrorMessage="1" xr:uid="{00000000-0002-0000-0300-0000311D0000}">
          <x14:formula1>
            <xm:f>項目!A4:$ODA$327682</xm:f>
          </x14:formula1>
          <xm:sqref>ODJ327685:ODJ327708</xm:sqref>
        </x14:dataValidation>
        <x14:dataValidation type="list" allowBlank="1" showInputMessage="1" showErrorMessage="1" xr:uid="{00000000-0002-0000-0300-0000321D0000}">
          <x14:formula1>
            <xm:f>項目!A4:$OMW$327682</xm:f>
          </x14:formula1>
          <xm:sqref>ONF327685:ONF327708</xm:sqref>
        </x14:dataValidation>
        <x14:dataValidation type="list" allowBlank="1" showInputMessage="1" showErrorMessage="1" xr:uid="{00000000-0002-0000-0300-0000331D0000}">
          <x14:formula1>
            <xm:f>項目!A4:$OWS$327682</xm:f>
          </x14:formula1>
          <xm:sqref>OXB327685:OXB327708</xm:sqref>
        </x14:dataValidation>
        <x14:dataValidation type="list" allowBlank="1" showInputMessage="1" showErrorMessage="1" xr:uid="{00000000-0002-0000-0300-0000341D0000}">
          <x14:formula1>
            <xm:f>項目!A4:$PGO$327682</xm:f>
          </x14:formula1>
          <xm:sqref>PGX327685:PGX327708</xm:sqref>
        </x14:dataValidation>
        <x14:dataValidation type="list" allowBlank="1" showInputMessage="1" showErrorMessage="1" xr:uid="{00000000-0002-0000-0300-0000351D0000}">
          <x14:formula1>
            <xm:f>項目!A4:$PQK$327682</xm:f>
          </x14:formula1>
          <xm:sqref>PQT327685:PQT327708</xm:sqref>
        </x14:dataValidation>
        <x14:dataValidation type="list" allowBlank="1" showInputMessage="1" showErrorMessage="1" xr:uid="{00000000-0002-0000-0300-0000361D0000}">
          <x14:formula1>
            <xm:f>項目!A4:$QAG$327682</xm:f>
          </x14:formula1>
          <xm:sqref>QAP327685:QAP327708</xm:sqref>
        </x14:dataValidation>
        <x14:dataValidation type="list" allowBlank="1" showInputMessage="1" showErrorMessage="1" xr:uid="{00000000-0002-0000-0300-0000371D0000}">
          <x14:formula1>
            <xm:f>項目!A4:$QKC$327682</xm:f>
          </x14:formula1>
          <xm:sqref>QKL327685:QKL327708</xm:sqref>
        </x14:dataValidation>
        <x14:dataValidation type="list" allowBlank="1" showInputMessage="1" showErrorMessage="1" xr:uid="{00000000-0002-0000-0300-0000381D0000}">
          <x14:formula1>
            <xm:f>項目!A4:$QTY$327682</xm:f>
          </x14:formula1>
          <xm:sqref>QUH327685:QUH327708</xm:sqref>
        </x14:dataValidation>
        <x14:dataValidation type="list" allowBlank="1" showInputMessage="1" showErrorMessage="1" xr:uid="{00000000-0002-0000-0300-0000391D0000}">
          <x14:formula1>
            <xm:f>項目!A4:$RDU$327682</xm:f>
          </x14:formula1>
          <xm:sqref>RED327685:RED327708</xm:sqref>
        </x14:dataValidation>
        <x14:dataValidation type="list" allowBlank="1" showInputMessage="1" showErrorMessage="1" xr:uid="{00000000-0002-0000-0300-00003A1D0000}">
          <x14:formula1>
            <xm:f>項目!A4:$RNQ$327682</xm:f>
          </x14:formula1>
          <xm:sqref>RNZ327685:RNZ327708</xm:sqref>
        </x14:dataValidation>
        <x14:dataValidation type="list" allowBlank="1" showInputMessage="1" showErrorMessage="1" xr:uid="{00000000-0002-0000-0300-00003B1D0000}">
          <x14:formula1>
            <xm:f>項目!A4:$RXM$327682</xm:f>
          </x14:formula1>
          <xm:sqref>RXV327685:RXV327708</xm:sqref>
        </x14:dataValidation>
        <x14:dataValidation type="list" allowBlank="1" showInputMessage="1" showErrorMessage="1" xr:uid="{00000000-0002-0000-0300-00003C1D0000}">
          <x14:formula1>
            <xm:f>項目!A4:$SHI$327682</xm:f>
          </x14:formula1>
          <xm:sqref>SHR327685:SHR327708</xm:sqref>
        </x14:dataValidation>
        <x14:dataValidation type="list" allowBlank="1" showInputMessage="1" showErrorMessage="1" xr:uid="{00000000-0002-0000-0300-00003D1D0000}">
          <x14:formula1>
            <xm:f>項目!A4:$SRE$327682</xm:f>
          </x14:formula1>
          <xm:sqref>SRN327685:SRN327708</xm:sqref>
        </x14:dataValidation>
        <x14:dataValidation type="list" allowBlank="1" showInputMessage="1" showErrorMessage="1" xr:uid="{00000000-0002-0000-0300-00003E1D0000}">
          <x14:formula1>
            <xm:f>項目!A4:$TBA$327682</xm:f>
          </x14:formula1>
          <xm:sqref>TBJ327685:TBJ327708</xm:sqref>
        </x14:dataValidation>
        <x14:dataValidation type="list" allowBlank="1" showInputMessage="1" showErrorMessage="1" xr:uid="{00000000-0002-0000-0300-00003F1D0000}">
          <x14:formula1>
            <xm:f>項目!A4:$TKW$327682</xm:f>
          </x14:formula1>
          <xm:sqref>TLF327685:TLF327708</xm:sqref>
        </x14:dataValidation>
        <x14:dataValidation type="list" allowBlank="1" showInputMessage="1" showErrorMessage="1" xr:uid="{00000000-0002-0000-0300-0000401D0000}">
          <x14:formula1>
            <xm:f>項目!A4:$TUS$327682</xm:f>
          </x14:formula1>
          <xm:sqref>TVB327685:TVB327708</xm:sqref>
        </x14:dataValidation>
        <x14:dataValidation type="list" allowBlank="1" showInputMessage="1" showErrorMessage="1" xr:uid="{00000000-0002-0000-0300-0000411D0000}">
          <x14:formula1>
            <xm:f>項目!A4:$UEO$327682</xm:f>
          </x14:formula1>
          <xm:sqref>UEX327685:UEX327708</xm:sqref>
        </x14:dataValidation>
        <x14:dataValidation type="list" allowBlank="1" showInputMessage="1" showErrorMessage="1" xr:uid="{00000000-0002-0000-0300-0000421D0000}">
          <x14:formula1>
            <xm:f>項目!A4:$UOK$327682</xm:f>
          </x14:formula1>
          <xm:sqref>UOT327685:UOT327708</xm:sqref>
        </x14:dataValidation>
        <x14:dataValidation type="list" allowBlank="1" showInputMessage="1" showErrorMessage="1" xr:uid="{00000000-0002-0000-0300-0000431D0000}">
          <x14:formula1>
            <xm:f>項目!A4:$UYG$327682</xm:f>
          </x14:formula1>
          <xm:sqref>UYP327685:UYP327708</xm:sqref>
        </x14:dataValidation>
        <x14:dataValidation type="list" allowBlank="1" showInputMessage="1" showErrorMessage="1" xr:uid="{00000000-0002-0000-0300-0000441D0000}">
          <x14:formula1>
            <xm:f>項目!A4:$VIC$327682</xm:f>
          </x14:formula1>
          <xm:sqref>VIL327685:VIL327708</xm:sqref>
        </x14:dataValidation>
        <x14:dataValidation type="list" allowBlank="1" showInputMessage="1" showErrorMessage="1" xr:uid="{00000000-0002-0000-0300-0000451D0000}">
          <x14:formula1>
            <xm:f>項目!A4:$VRY$327682</xm:f>
          </x14:formula1>
          <xm:sqref>VSH327685:VSH327708</xm:sqref>
        </x14:dataValidation>
        <x14:dataValidation type="list" allowBlank="1" showInputMessage="1" showErrorMessage="1" xr:uid="{00000000-0002-0000-0300-0000461D0000}">
          <x14:formula1>
            <xm:f>項目!A4:$WBU$327682</xm:f>
          </x14:formula1>
          <xm:sqref>WCD327685:WCD327708</xm:sqref>
        </x14:dataValidation>
        <x14:dataValidation type="list" allowBlank="1" showInputMessage="1" showErrorMessage="1" xr:uid="{00000000-0002-0000-0300-0000471D0000}">
          <x14:formula1>
            <xm:f>項目!A4:$WLQ$327682</xm:f>
          </x14:formula1>
          <xm:sqref>WLZ327685:WLZ327708</xm:sqref>
        </x14:dataValidation>
        <x14:dataValidation type="list" allowBlank="1" showInputMessage="1" showErrorMessage="1" xr:uid="{00000000-0002-0000-0300-0000481D0000}">
          <x14:formula1>
            <xm:f>項目!A4:$WVM$327682</xm:f>
          </x14:formula1>
          <xm:sqref>WVV327685:WVV327708</xm:sqref>
        </x14:dataValidation>
        <x14:dataValidation type="list" allowBlank="1" showInputMessage="1" showErrorMessage="1" xr:uid="{00000000-0002-0000-0300-0000491D0000}">
          <x14:formula1>
            <xm:f>項目!A4:$JA$393218</xm:f>
          </x14:formula1>
          <xm:sqref>JJ393221:JJ393244</xm:sqref>
        </x14:dataValidation>
        <x14:dataValidation type="list" allowBlank="1" showInputMessage="1" showErrorMessage="1" xr:uid="{00000000-0002-0000-0300-00004A1D0000}">
          <x14:formula1>
            <xm:f>項目!A4:$SW$393218</xm:f>
          </x14:formula1>
          <xm:sqref>TF393221:TF393244</xm:sqref>
        </x14:dataValidation>
        <x14:dataValidation type="list" allowBlank="1" showInputMessage="1" showErrorMessage="1" xr:uid="{00000000-0002-0000-0300-00004B1D0000}">
          <x14:formula1>
            <xm:f>項目!A4:$ACS$393218</xm:f>
          </x14:formula1>
          <xm:sqref>ADB393221:ADB393244</xm:sqref>
        </x14:dataValidation>
        <x14:dataValidation type="list" allowBlank="1" showInputMessage="1" showErrorMessage="1" xr:uid="{00000000-0002-0000-0300-00004C1D0000}">
          <x14:formula1>
            <xm:f>項目!A4:$AMO$393218</xm:f>
          </x14:formula1>
          <xm:sqref>AMX393221:AMX393244</xm:sqref>
        </x14:dataValidation>
        <x14:dataValidation type="list" allowBlank="1" showInputMessage="1" showErrorMessage="1" xr:uid="{00000000-0002-0000-0300-00004D1D0000}">
          <x14:formula1>
            <xm:f>項目!A4:$AWK$393218</xm:f>
          </x14:formula1>
          <xm:sqref>AWT393221:AWT393244</xm:sqref>
        </x14:dataValidation>
        <x14:dataValidation type="list" allowBlank="1" showInputMessage="1" showErrorMessage="1" xr:uid="{00000000-0002-0000-0300-00004E1D0000}">
          <x14:formula1>
            <xm:f>項目!A4:$BGG$393218</xm:f>
          </x14:formula1>
          <xm:sqref>BGP393221:BGP393244</xm:sqref>
        </x14:dataValidation>
        <x14:dataValidation type="list" allowBlank="1" showInputMessage="1" showErrorMessage="1" xr:uid="{00000000-0002-0000-0300-00004F1D0000}">
          <x14:formula1>
            <xm:f>項目!A4:$BQC$393218</xm:f>
          </x14:formula1>
          <xm:sqref>BQL393221:BQL393244</xm:sqref>
        </x14:dataValidation>
        <x14:dataValidation type="list" allowBlank="1" showInputMessage="1" showErrorMessage="1" xr:uid="{00000000-0002-0000-0300-0000501D0000}">
          <x14:formula1>
            <xm:f>項目!A4:$BZY$393218</xm:f>
          </x14:formula1>
          <xm:sqref>CAH393221:CAH393244</xm:sqref>
        </x14:dataValidation>
        <x14:dataValidation type="list" allowBlank="1" showInputMessage="1" showErrorMessage="1" xr:uid="{00000000-0002-0000-0300-0000511D0000}">
          <x14:formula1>
            <xm:f>項目!A4:$CJU$393218</xm:f>
          </x14:formula1>
          <xm:sqref>CKD393221:CKD393244</xm:sqref>
        </x14:dataValidation>
        <x14:dataValidation type="list" allowBlank="1" showInputMessage="1" showErrorMessage="1" xr:uid="{00000000-0002-0000-0300-0000521D0000}">
          <x14:formula1>
            <xm:f>項目!A4:$CTQ$393218</xm:f>
          </x14:formula1>
          <xm:sqref>CTZ393221:CTZ393244</xm:sqref>
        </x14:dataValidation>
        <x14:dataValidation type="list" allowBlank="1" showInputMessage="1" showErrorMessage="1" xr:uid="{00000000-0002-0000-0300-0000531D0000}">
          <x14:formula1>
            <xm:f>項目!A4:$DDM$393218</xm:f>
          </x14:formula1>
          <xm:sqref>DDV393221:DDV393244</xm:sqref>
        </x14:dataValidation>
        <x14:dataValidation type="list" allowBlank="1" showInputMessage="1" showErrorMessage="1" xr:uid="{00000000-0002-0000-0300-0000541D0000}">
          <x14:formula1>
            <xm:f>項目!A4:$DNI$393218</xm:f>
          </x14:formula1>
          <xm:sqref>DNR393221:DNR393244</xm:sqref>
        </x14:dataValidation>
        <x14:dataValidation type="list" allowBlank="1" showInputMessage="1" showErrorMessage="1" xr:uid="{00000000-0002-0000-0300-0000551D0000}">
          <x14:formula1>
            <xm:f>項目!A4:$DXE$393218</xm:f>
          </x14:formula1>
          <xm:sqref>DXN393221:DXN393244</xm:sqref>
        </x14:dataValidation>
        <x14:dataValidation type="list" allowBlank="1" showInputMessage="1" showErrorMessage="1" xr:uid="{00000000-0002-0000-0300-0000561D0000}">
          <x14:formula1>
            <xm:f>項目!A4:$EHA$393218</xm:f>
          </x14:formula1>
          <xm:sqref>EHJ393221:EHJ393244</xm:sqref>
        </x14:dataValidation>
        <x14:dataValidation type="list" allowBlank="1" showInputMessage="1" showErrorMessage="1" xr:uid="{00000000-0002-0000-0300-0000571D0000}">
          <x14:formula1>
            <xm:f>項目!A4:$EQW$393218</xm:f>
          </x14:formula1>
          <xm:sqref>ERF393221:ERF393244</xm:sqref>
        </x14:dataValidation>
        <x14:dataValidation type="list" allowBlank="1" showInputMessage="1" showErrorMessage="1" xr:uid="{00000000-0002-0000-0300-0000581D0000}">
          <x14:formula1>
            <xm:f>項目!A4:$FAS$393218</xm:f>
          </x14:formula1>
          <xm:sqref>FBB393221:FBB393244</xm:sqref>
        </x14:dataValidation>
        <x14:dataValidation type="list" allowBlank="1" showInputMessage="1" showErrorMessage="1" xr:uid="{00000000-0002-0000-0300-0000591D0000}">
          <x14:formula1>
            <xm:f>項目!A4:$FKO$393218</xm:f>
          </x14:formula1>
          <xm:sqref>FKX393221:FKX393244</xm:sqref>
        </x14:dataValidation>
        <x14:dataValidation type="list" allowBlank="1" showInputMessage="1" showErrorMessage="1" xr:uid="{00000000-0002-0000-0300-00005A1D0000}">
          <x14:formula1>
            <xm:f>項目!A4:$FUK$393218</xm:f>
          </x14:formula1>
          <xm:sqref>FUT393221:FUT393244</xm:sqref>
        </x14:dataValidation>
        <x14:dataValidation type="list" allowBlank="1" showInputMessage="1" showErrorMessage="1" xr:uid="{00000000-0002-0000-0300-00005B1D0000}">
          <x14:formula1>
            <xm:f>項目!A4:$GEG$393218</xm:f>
          </x14:formula1>
          <xm:sqref>GEP393221:GEP393244</xm:sqref>
        </x14:dataValidation>
        <x14:dataValidation type="list" allowBlank="1" showInputMessage="1" showErrorMessage="1" xr:uid="{00000000-0002-0000-0300-00005C1D0000}">
          <x14:formula1>
            <xm:f>項目!A4:$GOC$393218</xm:f>
          </x14:formula1>
          <xm:sqref>GOL393221:GOL393244</xm:sqref>
        </x14:dataValidation>
        <x14:dataValidation type="list" allowBlank="1" showInputMessage="1" showErrorMessage="1" xr:uid="{00000000-0002-0000-0300-00005D1D0000}">
          <x14:formula1>
            <xm:f>項目!A4:$GXY$393218</xm:f>
          </x14:formula1>
          <xm:sqref>GYH393221:GYH393244</xm:sqref>
        </x14:dataValidation>
        <x14:dataValidation type="list" allowBlank="1" showInputMessage="1" showErrorMessage="1" xr:uid="{00000000-0002-0000-0300-00005E1D0000}">
          <x14:formula1>
            <xm:f>項目!A4:$HHU$393218</xm:f>
          </x14:formula1>
          <xm:sqref>HID393221:HID393244</xm:sqref>
        </x14:dataValidation>
        <x14:dataValidation type="list" allowBlank="1" showInputMessage="1" showErrorMessage="1" xr:uid="{00000000-0002-0000-0300-00005F1D0000}">
          <x14:formula1>
            <xm:f>項目!A4:$HRQ$393218</xm:f>
          </x14:formula1>
          <xm:sqref>HRZ393221:HRZ393244</xm:sqref>
        </x14:dataValidation>
        <x14:dataValidation type="list" allowBlank="1" showInputMessage="1" showErrorMessage="1" xr:uid="{00000000-0002-0000-0300-0000601D0000}">
          <x14:formula1>
            <xm:f>項目!A4:$IBM$393218</xm:f>
          </x14:formula1>
          <xm:sqref>IBV393221:IBV393244</xm:sqref>
        </x14:dataValidation>
        <x14:dataValidation type="list" allowBlank="1" showInputMessage="1" showErrorMessage="1" xr:uid="{00000000-0002-0000-0300-0000611D0000}">
          <x14:formula1>
            <xm:f>項目!A4:$ILI$393218</xm:f>
          </x14:formula1>
          <xm:sqref>ILR393221:ILR393244</xm:sqref>
        </x14:dataValidation>
        <x14:dataValidation type="list" allowBlank="1" showInputMessage="1" showErrorMessage="1" xr:uid="{00000000-0002-0000-0300-0000621D0000}">
          <x14:formula1>
            <xm:f>項目!A4:$IVE$393218</xm:f>
          </x14:formula1>
          <xm:sqref>IVN393221:IVN393244</xm:sqref>
        </x14:dataValidation>
        <x14:dataValidation type="list" allowBlank="1" showInputMessage="1" showErrorMessage="1" xr:uid="{00000000-0002-0000-0300-0000631D0000}">
          <x14:formula1>
            <xm:f>項目!A4:$JFA$393218</xm:f>
          </x14:formula1>
          <xm:sqref>JFJ393221:JFJ393244</xm:sqref>
        </x14:dataValidation>
        <x14:dataValidation type="list" allowBlank="1" showInputMessage="1" showErrorMessage="1" xr:uid="{00000000-0002-0000-0300-0000641D0000}">
          <x14:formula1>
            <xm:f>項目!A4:$JOW$393218</xm:f>
          </x14:formula1>
          <xm:sqref>JPF393221:JPF393244</xm:sqref>
        </x14:dataValidation>
        <x14:dataValidation type="list" allowBlank="1" showInputMessage="1" showErrorMessage="1" xr:uid="{00000000-0002-0000-0300-0000651D0000}">
          <x14:formula1>
            <xm:f>項目!A4:$JYS$393218</xm:f>
          </x14:formula1>
          <xm:sqref>JZB393221:JZB393244</xm:sqref>
        </x14:dataValidation>
        <x14:dataValidation type="list" allowBlank="1" showInputMessage="1" showErrorMessage="1" xr:uid="{00000000-0002-0000-0300-0000661D0000}">
          <x14:formula1>
            <xm:f>項目!A4:$KIO$393218</xm:f>
          </x14:formula1>
          <xm:sqref>KIX393221:KIX393244</xm:sqref>
        </x14:dataValidation>
        <x14:dataValidation type="list" allowBlank="1" showInputMessage="1" showErrorMessage="1" xr:uid="{00000000-0002-0000-0300-0000671D0000}">
          <x14:formula1>
            <xm:f>項目!A4:$KSK$393218</xm:f>
          </x14:formula1>
          <xm:sqref>KST393221:KST393244</xm:sqref>
        </x14:dataValidation>
        <x14:dataValidation type="list" allowBlank="1" showInputMessage="1" showErrorMessage="1" xr:uid="{00000000-0002-0000-0300-0000681D0000}">
          <x14:formula1>
            <xm:f>項目!A4:$LCG$393218</xm:f>
          </x14:formula1>
          <xm:sqref>LCP393221:LCP393244</xm:sqref>
        </x14:dataValidation>
        <x14:dataValidation type="list" allowBlank="1" showInputMessage="1" showErrorMessage="1" xr:uid="{00000000-0002-0000-0300-0000691D0000}">
          <x14:formula1>
            <xm:f>項目!A4:$LMC$393218</xm:f>
          </x14:formula1>
          <xm:sqref>LML393221:LML393244</xm:sqref>
        </x14:dataValidation>
        <x14:dataValidation type="list" allowBlank="1" showInputMessage="1" showErrorMessage="1" xr:uid="{00000000-0002-0000-0300-00006A1D0000}">
          <x14:formula1>
            <xm:f>項目!A4:$LVY$393218</xm:f>
          </x14:formula1>
          <xm:sqref>LWH393221:LWH393244</xm:sqref>
        </x14:dataValidation>
        <x14:dataValidation type="list" allowBlank="1" showInputMessage="1" showErrorMessage="1" xr:uid="{00000000-0002-0000-0300-00006B1D0000}">
          <x14:formula1>
            <xm:f>項目!A4:$MFU$393218</xm:f>
          </x14:formula1>
          <xm:sqref>MGD393221:MGD393244</xm:sqref>
        </x14:dataValidation>
        <x14:dataValidation type="list" allowBlank="1" showInputMessage="1" showErrorMessage="1" xr:uid="{00000000-0002-0000-0300-00006C1D0000}">
          <x14:formula1>
            <xm:f>項目!A4:$MPQ$393218</xm:f>
          </x14:formula1>
          <xm:sqref>MPZ393221:MPZ393244</xm:sqref>
        </x14:dataValidation>
        <x14:dataValidation type="list" allowBlank="1" showInputMessage="1" showErrorMessage="1" xr:uid="{00000000-0002-0000-0300-00006D1D0000}">
          <x14:formula1>
            <xm:f>項目!A4:$MZM$393218</xm:f>
          </x14:formula1>
          <xm:sqref>MZV393221:MZV393244</xm:sqref>
        </x14:dataValidation>
        <x14:dataValidation type="list" allowBlank="1" showInputMessage="1" showErrorMessage="1" xr:uid="{00000000-0002-0000-0300-00006E1D0000}">
          <x14:formula1>
            <xm:f>項目!A4:$NJI$393218</xm:f>
          </x14:formula1>
          <xm:sqref>NJR393221:NJR393244</xm:sqref>
        </x14:dataValidation>
        <x14:dataValidation type="list" allowBlank="1" showInputMessage="1" showErrorMessage="1" xr:uid="{00000000-0002-0000-0300-00006F1D0000}">
          <x14:formula1>
            <xm:f>項目!A4:$NTE$393218</xm:f>
          </x14:formula1>
          <xm:sqref>NTN393221:NTN393244</xm:sqref>
        </x14:dataValidation>
        <x14:dataValidation type="list" allowBlank="1" showInputMessage="1" showErrorMessage="1" xr:uid="{00000000-0002-0000-0300-0000701D0000}">
          <x14:formula1>
            <xm:f>項目!A4:$ODA$393218</xm:f>
          </x14:formula1>
          <xm:sqref>ODJ393221:ODJ393244</xm:sqref>
        </x14:dataValidation>
        <x14:dataValidation type="list" allowBlank="1" showInputMessage="1" showErrorMessage="1" xr:uid="{00000000-0002-0000-0300-0000711D0000}">
          <x14:formula1>
            <xm:f>項目!A4:$OMW$393218</xm:f>
          </x14:formula1>
          <xm:sqref>ONF393221:ONF393244</xm:sqref>
        </x14:dataValidation>
        <x14:dataValidation type="list" allowBlank="1" showInputMessage="1" showErrorMessage="1" xr:uid="{00000000-0002-0000-0300-0000721D0000}">
          <x14:formula1>
            <xm:f>項目!A4:$OWS$393218</xm:f>
          </x14:formula1>
          <xm:sqref>OXB393221:OXB393244</xm:sqref>
        </x14:dataValidation>
        <x14:dataValidation type="list" allowBlank="1" showInputMessage="1" showErrorMessage="1" xr:uid="{00000000-0002-0000-0300-0000731D0000}">
          <x14:formula1>
            <xm:f>項目!A4:$PGO$393218</xm:f>
          </x14:formula1>
          <xm:sqref>PGX393221:PGX393244</xm:sqref>
        </x14:dataValidation>
        <x14:dataValidation type="list" allowBlank="1" showInputMessage="1" showErrorMessage="1" xr:uid="{00000000-0002-0000-0300-0000741D0000}">
          <x14:formula1>
            <xm:f>項目!A4:$PQK$393218</xm:f>
          </x14:formula1>
          <xm:sqref>PQT393221:PQT393244</xm:sqref>
        </x14:dataValidation>
        <x14:dataValidation type="list" allowBlank="1" showInputMessage="1" showErrorMessage="1" xr:uid="{00000000-0002-0000-0300-0000751D0000}">
          <x14:formula1>
            <xm:f>項目!A4:$QAG$393218</xm:f>
          </x14:formula1>
          <xm:sqref>QAP393221:QAP393244</xm:sqref>
        </x14:dataValidation>
        <x14:dataValidation type="list" allowBlank="1" showInputMessage="1" showErrorMessage="1" xr:uid="{00000000-0002-0000-0300-0000761D0000}">
          <x14:formula1>
            <xm:f>項目!A4:$QKC$393218</xm:f>
          </x14:formula1>
          <xm:sqref>QKL393221:QKL393244</xm:sqref>
        </x14:dataValidation>
        <x14:dataValidation type="list" allowBlank="1" showInputMessage="1" showErrorMessage="1" xr:uid="{00000000-0002-0000-0300-0000771D0000}">
          <x14:formula1>
            <xm:f>項目!A4:$QTY$393218</xm:f>
          </x14:formula1>
          <xm:sqref>QUH393221:QUH393244</xm:sqref>
        </x14:dataValidation>
        <x14:dataValidation type="list" allowBlank="1" showInputMessage="1" showErrorMessage="1" xr:uid="{00000000-0002-0000-0300-0000781D0000}">
          <x14:formula1>
            <xm:f>項目!A4:$RDU$393218</xm:f>
          </x14:formula1>
          <xm:sqref>RED393221:RED393244</xm:sqref>
        </x14:dataValidation>
        <x14:dataValidation type="list" allowBlank="1" showInputMessage="1" showErrorMessage="1" xr:uid="{00000000-0002-0000-0300-0000791D0000}">
          <x14:formula1>
            <xm:f>項目!A4:$RNQ$393218</xm:f>
          </x14:formula1>
          <xm:sqref>RNZ393221:RNZ393244</xm:sqref>
        </x14:dataValidation>
        <x14:dataValidation type="list" allowBlank="1" showInputMessage="1" showErrorMessage="1" xr:uid="{00000000-0002-0000-0300-00007A1D0000}">
          <x14:formula1>
            <xm:f>項目!A4:$RXM$393218</xm:f>
          </x14:formula1>
          <xm:sqref>RXV393221:RXV393244</xm:sqref>
        </x14:dataValidation>
        <x14:dataValidation type="list" allowBlank="1" showInputMessage="1" showErrorMessage="1" xr:uid="{00000000-0002-0000-0300-00007B1D0000}">
          <x14:formula1>
            <xm:f>項目!A4:$SHI$393218</xm:f>
          </x14:formula1>
          <xm:sqref>SHR393221:SHR393244</xm:sqref>
        </x14:dataValidation>
        <x14:dataValidation type="list" allowBlank="1" showInputMessage="1" showErrorMessage="1" xr:uid="{00000000-0002-0000-0300-00007C1D0000}">
          <x14:formula1>
            <xm:f>項目!A4:$SRE$393218</xm:f>
          </x14:formula1>
          <xm:sqref>SRN393221:SRN393244</xm:sqref>
        </x14:dataValidation>
        <x14:dataValidation type="list" allowBlank="1" showInputMessage="1" showErrorMessage="1" xr:uid="{00000000-0002-0000-0300-00007D1D0000}">
          <x14:formula1>
            <xm:f>項目!A4:$TBA$393218</xm:f>
          </x14:formula1>
          <xm:sqref>TBJ393221:TBJ393244</xm:sqref>
        </x14:dataValidation>
        <x14:dataValidation type="list" allowBlank="1" showInputMessage="1" showErrorMessage="1" xr:uid="{00000000-0002-0000-0300-00007E1D0000}">
          <x14:formula1>
            <xm:f>項目!A4:$TKW$393218</xm:f>
          </x14:formula1>
          <xm:sqref>TLF393221:TLF393244</xm:sqref>
        </x14:dataValidation>
        <x14:dataValidation type="list" allowBlank="1" showInputMessage="1" showErrorMessage="1" xr:uid="{00000000-0002-0000-0300-00007F1D0000}">
          <x14:formula1>
            <xm:f>項目!A4:$TUS$393218</xm:f>
          </x14:formula1>
          <xm:sqref>TVB393221:TVB393244</xm:sqref>
        </x14:dataValidation>
        <x14:dataValidation type="list" allowBlank="1" showInputMessage="1" showErrorMessage="1" xr:uid="{00000000-0002-0000-0300-0000801D0000}">
          <x14:formula1>
            <xm:f>項目!A4:$UEO$393218</xm:f>
          </x14:formula1>
          <xm:sqref>UEX393221:UEX393244</xm:sqref>
        </x14:dataValidation>
        <x14:dataValidation type="list" allowBlank="1" showInputMessage="1" showErrorMessage="1" xr:uid="{00000000-0002-0000-0300-0000811D0000}">
          <x14:formula1>
            <xm:f>項目!A4:$UOK$393218</xm:f>
          </x14:formula1>
          <xm:sqref>UOT393221:UOT393244</xm:sqref>
        </x14:dataValidation>
        <x14:dataValidation type="list" allowBlank="1" showInputMessage="1" showErrorMessage="1" xr:uid="{00000000-0002-0000-0300-0000821D0000}">
          <x14:formula1>
            <xm:f>項目!A4:$UYG$393218</xm:f>
          </x14:formula1>
          <xm:sqref>UYP393221:UYP393244</xm:sqref>
        </x14:dataValidation>
        <x14:dataValidation type="list" allowBlank="1" showInputMessage="1" showErrorMessage="1" xr:uid="{00000000-0002-0000-0300-0000831D0000}">
          <x14:formula1>
            <xm:f>項目!A4:$VIC$393218</xm:f>
          </x14:formula1>
          <xm:sqref>VIL393221:VIL393244</xm:sqref>
        </x14:dataValidation>
        <x14:dataValidation type="list" allowBlank="1" showInputMessage="1" showErrorMessage="1" xr:uid="{00000000-0002-0000-0300-0000841D0000}">
          <x14:formula1>
            <xm:f>項目!A4:$VRY$393218</xm:f>
          </x14:formula1>
          <xm:sqref>VSH393221:VSH393244</xm:sqref>
        </x14:dataValidation>
        <x14:dataValidation type="list" allowBlank="1" showInputMessage="1" showErrorMessage="1" xr:uid="{00000000-0002-0000-0300-0000851D0000}">
          <x14:formula1>
            <xm:f>項目!A4:$WBU$393218</xm:f>
          </x14:formula1>
          <xm:sqref>WCD393221:WCD393244</xm:sqref>
        </x14:dataValidation>
        <x14:dataValidation type="list" allowBlank="1" showInputMessage="1" showErrorMessage="1" xr:uid="{00000000-0002-0000-0300-0000861D0000}">
          <x14:formula1>
            <xm:f>項目!A4:$WLQ$393218</xm:f>
          </x14:formula1>
          <xm:sqref>WLZ393221:WLZ393244</xm:sqref>
        </x14:dataValidation>
        <x14:dataValidation type="list" allowBlank="1" showInputMessage="1" showErrorMessage="1" xr:uid="{00000000-0002-0000-0300-0000871D0000}">
          <x14:formula1>
            <xm:f>項目!A4:$WVM$393218</xm:f>
          </x14:formula1>
          <xm:sqref>WVV393221:WVV393244</xm:sqref>
        </x14:dataValidation>
        <x14:dataValidation type="list" allowBlank="1" showInputMessage="1" showErrorMessage="1" xr:uid="{00000000-0002-0000-0300-0000881D0000}">
          <x14:formula1>
            <xm:f>項目!A4:$JA$458754</xm:f>
          </x14:formula1>
          <xm:sqref>JJ458757:JJ458780</xm:sqref>
        </x14:dataValidation>
        <x14:dataValidation type="list" allowBlank="1" showInputMessage="1" showErrorMessage="1" xr:uid="{00000000-0002-0000-0300-0000891D0000}">
          <x14:formula1>
            <xm:f>項目!A4:$SW$458754</xm:f>
          </x14:formula1>
          <xm:sqref>TF458757:TF458780</xm:sqref>
        </x14:dataValidation>
        <x14:dataValidation type="list" allowBlank="1" showInputMessage="1" showErrorMessage="1" xr:uid="{00000000-0002-0000-0300-00008A1D0000}">
          <x14:formula1>
            <xm:f>項目!A4:$ACS$458754</xm:f>
          </x14:formula1>
          <xm:sqref>ADB458757:ADB458780</xm:sqref>
        </x14:dataValidation>
        <x14:dataValidation type="list" allowBlank="1" showInputMessage="1" showErrorMessage="1" xr:uid="{00000000-0002-0000-0300-00008B1D0000}">
          <x14:formula1>
            <xm:f>項目!A4:$AMO$458754</xm:f>
          </x14:formula1>
          <xm:sqref>AMX458757:AMX458780</xm:sqref>
        </x14:dataValidation>
        <x14:dataValidation type="list" allowBlank="1" showInputMessage="1" showErrorMessage="1" xr:uid="{00000000-0002-0000-0300-00008C1D0000}">
          <x14:formula1>
            <xm:f>項目!A4:$AWK$458754</xm:f>
          </x14:formula1>
          <xm:sqref>AWT458757:AWT458780</xm:sqref>
        </x14:dataValidation>
        <x14:dataValidation type="list" allowBlank="1" showInputMessage="1" showErrorMessage="1" xr:uid="{00000000-0002-0000-0300-00008D1D0000}">
          <x14:formula1>
            <xm:f>項目!A4:$BGG$458754</xm:f>
          </x14:formula1>
          <xm:sqref>BGP458757:BGP458780</xm:sqref>
        </x14:dataValidation>
        <x14:dataValidation type="list" allowBlank="1" showInputMessage="1" showErrorMessage="1" xr:uid="{00000000-0002-0000-0300-00008E1D0000}">
          <x14:formula1>
            <xm:f>項目!A4:$BQC$458754</xm:f>
          </x14:formula1>
          <xm:sqref>BQL458757:BQL458780</xm:sqref>
        </x14:dataValidation>
        <x14:dataValidation type="list" allowBlank="1" showInputMessage="1" showErrorMessage="1" xr:uid="{00000000-0002-0000-0300-00008F1D0000}">
          <x14:formula1>
            <xm:f>項目!A4:$BZY$458754</xm:f>
          </x14:formula1>
          <xm:sqref>CAH458757:CAH458780</xm:sqref>
        </x14:dataValidation>
        <x14:dataValidation type="list" allowBlank="1" showInputMessage="1" showErrorMessage="1" xr:uid="{00000000-0002-0000-0300-0000901D0000}">
          <x14:formula1>
            <xm:f>項目!A4:$CJU$458754</xm:f>
          </x14:formula1>
          <xm:sqref>CKD458757:CKD458780</xm:sqref>
        </x14:dataValidation>
        <x14:dataValidation type="list" allowBlank="1" showInputMessage="1" showErrorMessage="1" xr:uid="{00000000-0002-0000-0300-0000911D0000}">
          <x14:formula1>
            <xm:f>項目!A4:$CTQ$458754</xm:f>
          </x14:formula1>
          <xm:sqref>CTZ458757:CTZ458780</xm:sqref>
        </x14:dataValidation>
        <x14:dataValidation type="list" allowBlank="1" showInputMessage="1" showErrorMessage="1" xr:uid="{00000000-0002-0000-0300-0000921D0000}">
          <x14:formula1>
            <xm:f>項目!A4:$DDM$458754</xm:f>
          </x14:formula1>
          <xm:sqref>DDV458757:DDV458780</xm:sqref>
        </x14:dataValidation>
        <x14:dataValidation type="list" allowBlank="1" showInputMessage="1" showErrorMessage="1" xr:uid="{00000000-0002-0000-0300-0000931D0000}">
          <x14:formula1>
            <xm:f>項目!A4:$DNI$458754</xm:f>
          </x14:formula1>
          <xm:sqref>DNR458757:DNR458780</xm:sqref>
        </x14:dataValidation>
        <x14:dataValidation type="list" allowBlank="1" showInputMessage="1" showErrorMessage="1" xr:uid="{00000000-0002-0000-0300-0000941D0000}">
          <x14:formula1>
            <xm:f>項目!A4:$DXE$458754</xm:f>
          </x14:formula1>
          <xm:sqref>DXN458757:DXN458780</xm:sqref>
        </x14:dataValidation>
        <x14:dataValidation type="list" allowBlank="1" showInputMessage="1" showErrorMessage="1" xr:uid="{00000000-0002-0000-0300-0000951D0000}">
          <x14:formula1>
            <xm:f>項目!A4:$EHA$458754</xm:f>
          </x14:formula1>
          <xm:sqref>EHJ458757:EHJ458780</xm:sqref>
        </x14:dataValidation>
        <x14:dataValidation type="list" allowBlank="1" showInputMessage="1" showErrorMessage="1" xr:uid="{00000000-0002-0000-0300-0000961D0000}">
          <x14:formula1>
            <xm:f>項目!A4:$EQW$458754</xm:f>
          </x14:formula1>
          <xm:sqref>ERF458757:ERF458780</xm:sqref>
        </x14:dataValidation>
        <x14:dataValidation type="list" allowBlank="1" showInputMessage="1" showErrorMessage="1" xr:uid="{00000000-0002-0000-0300-0000971D0000}">
          <x14:formula1>
            <xm:f>項目!A4:$FAS$458754</xm:f>
          </x14:formula1>
          <xm:sqref>FBB458757:FBB458780</xm:sqref>
        </x14:dataValidation>
        <x14:dataValidation type="list" allowBlank="1" showInputMessage="1" showErrorMessage="1" xr:uid="{00000000-0002-0000-0300-0000981D0000}">
          <x14:formula1>
            <xm:f>項目!A4:$FKO$458754</xm:f>
          </x14:formula1>
          <xm:sqref>FKX458757:FKX458780</xm:sqref>
        </x14:dataValidation>
        <x14:dataValidation type="list" allowBlank="1" showInputMessage="1" showErrorMessage="1" xr:uid="{00000000-0002-0000-0300-0000991D0000}">
          <x14:formula1>
            <xm:f>項目!A4:$FUK$458754</xm:f>
          </x14:formula1>
          <xm:sqref>FUT458757:FUT458780</xm:sqref>
        </x14:dataValidation>
        <x14:dataValidation type="list" allowBlank="1" showInputMessage="1" showErrorMessage="1" xr:uid="{00000000-0002-0000-0300-00009A1D0000}">
          <x14:formula1>
            <xm:f>項目!A4:$GEG$458754</xm:f>
          </x14:formula1>
          <xm:sqref>GEP458757:GEP458780</xm:sqref>
        </x14:dataValidation>
        <x14:dataValidation type="list" allowBlank="1" showInputMessage="1" showErrorMessage="1" xr:uid="{00000000-0002-0000-0300-00009B1D0000}">
          <x14:formula1>
            <xm:f>項目!A4:$GOC$458754</xm:f>
          </x14:formula1>
          <xm:sqref>GOL458757:GOL458780</xm:sqref>
        </x14:dataValidation>
        <x14:dataValidation type="list" allowBlank="1" showInputMessage="1" showErrorMessage="1" xr:uid="{00000000-0002-0000-0300-00009C1D0000}">
          <x14:formula1>
            <xm:f>項目!A4:$GXY$458754</xm:f>
          </x14:formula1>
          <xm:sqref>GYH458757:GYH458780</xm:sqref>
        </x14:dataValidation>
        <x14:dataValidation type="list" allowBlank="1" showInputMessage="1" showErrorMessage="1" xr:uid="{00000000-0002-0000-0300-00009D1D0000}">
          <x14:formula1>
            <xm:f>項目!A4:$HHU$458754</xm:f>
          </x14:formula1>
          <xm:sqref>HID458757:HID458780</xm:sqref>
        </x14:dataValidation>
        <x14:dataValidation type="list" allowBlank="1" showInputMessage="1" showErrorMessage="1" xr:uid="{00000000-0002-0000-0300-00009E1D0000}">
          <x14:formula1>
            <xm:f>項目!A4:$HRQ$458754</xm:f>
          </x14:formula1>
          <xm:sqref>HRZ458757:HRZ458780</xm:sqref>
        </x14:dataValidation>
        <x14:dataValidation type="list" allowBlank="1" showInputMessage="1" showErrorMessage="1" xr:uid="{00000000-0002-0000-0300-00009F1D0000}">
          <x14:formula1>
            <xm:f>項目!A4:$IBM$458754</xm:f>
          </x14:formula1>
          <xm:sqref>IBV458757:IBV458780</xm:sqref>
        </x14:dataValidation>
        <x14:dataValidation type="list" allowBlank="1" showInputMessage="1" showErrorMessage="1" xr:uid="{00000000-0002-0000-0300-0000A01D0000}">
          <x14:formula1>
            <xm:f>項目!A4:$ILI$458754</xm:f>
          </x14:formula1>
          <xm:sqref>ILR458757:ILR458780</xm:sqref>
        </x14:dataValidation>
        <x14:dataValidation type="list" allowBlank="1" showInputMessage="1" showErrorMessage="1" xr:uid="{00000000-0002-0000-0300-0000A11D0000}">
          <x14:formula1>
            <xm:f>項目!A4:$IVE$458754</xm:f>
          </x14:formula1>
          <xm:sqref>IVN458757:IVN458780</xm:sqref>
        </x14:dataValidation>
        <x14:dataValidation type="list" allowBlank="1" showInputMessage="1" showErrorMessage="1" xr:uid="{00000000-0002-0000-0300-0000A21D0000}">
          <x14:formula1>
            <xm:f>項目!A4:$JFA$458754</xm:f>
          </x14:formula1>
          <xm:sqref>JFJ458757:JFJ458780</xm:sqref>
        </x14:dataValidation>
        <x14:dataValidation type="list" allowBlank="1" showInputMessage="1" showErrorMessage="1" xr:uid="{00000000-0002-0000-0300-0000A31D0000}">
          <x14:formula1>
            <xm:f>項目!A4:$JOW$458754</xm:f>
          </x14:formula1>
          <xm:sqref>JPF458757:JPF458780</xm:sqref>
        </x14:dataValidation>
        <x14:dataValidation type="list" allowBlank="1" showInputMessage="1" showErrorMessage="1" xr:uid="{00000000-0002-0000-0300-0000A41D0000}">
          <x14:formula1>
            <xm:f>項目!A4:$JYS$458754</xm:f>
          </x14:formula1>
          <xm:sqref>JZB458757:JZB458780</xm:sqref>
        </x14:dataValidation>
        <x14:dataValidation type="list" allowBlank="1" showInputMessage="1" showErrorMessage="1" xr:uid="{00000000-0002-0000-0300-0000A51D0000}">
          <x14:formula1>
            <xm:f>項目!A4:$KIO$458754</xm:f>
          </x14:formula1>
          <xm:sqref>KIX458757:KIX458780</xm:sqref>
        </x14:dataValidation>
        <x14:dataValidation type="list" allowBlank="1" showInputMessage="1" showErrorMessage="1" xr:uid="{00000000-0002-0000-0300-0000A61D0000}">
          <x14:formula1>
            <xm:f>項目!A4:$KSK$458754</xm:f>
          </x14:formula1>
          <xm:sqref>KST458757:KST458780</xm:sqref>
        </x14:dataValidation>
        <x14:dataValidation type="list" allowBlank="1" showInputMessage="1" showErrorMessage="1" xr:uid="{00000000-0002-0000-0300-0000A71D0000}">
          <x14:formula1>
            <xm:f>項目!A4:$LCG$458754</xm:f>
          </x14:formula1>
          <xm:sqref>LCP458757:LCP458780</xm:sqref>
        </x14:dataValidation>
        <x14:dataValidation type="list" allowBlank="1" showInputMessage="1" showErrorMessage="1" xr:uid="{00000000-0002-0000-0300-0000A81D0000}">
          <x14:formula1>
            <xm:f>項目!A4:$LMC$458754</xm:f>
          </x14:formula1>
          <xm:sqref>LML458757:LML458780</xm:sqref>
        </x14:dataValidation>
        <x14:dataValidation type="list" allowBlank="1" showInputMessage="1" showErrorMessage="1" xr:uid="{00000000-0002-0000-0300-0000A91D0000}">
          <x14:formula1>
            <xm:f>項目!A4:$LVY$458754</xm:f>
          </x14:formula1>
          <xm:sqref>LWH458757:LWH458780</xm:sqref>
        </x14:dataValidation>
        <x14:dataValidation type="list" allowBlank="1" showInputMessage="1" showErrorMessage="1" xr:uid="{00000000-0002-0000-0300-0000AA1D0000}">
          <x14:formula1>
            <xm:f>項目!A4:$MFU$458754</xm:f>
          </x14:formula1>
          <xm:sqref>MGD458757:MGD458780</xm:sqref>
        </x14:dataValidation>
        <x14:dataValidation type="list" allowBlank="1" showInputMessage="1" showErrorMessage="1" xr:uid="{00000000-0002-0000-0300-0000AB1D0000}">
          <x14:formula1>
            <xm:f>項目!A4:$MPQ$458754</xm:f>
          </x14:formula1>
          <xm:sqref>MPZ458757:MPZ458780</xm:sqref>
        </x14:dataValidation>
        <x14:dataValidation type="list" allowBlank="1" showInputMessage="1" showErrorMessage="1" xr:uid="{00000000-0002-0000-0300-0000AC1D0000}">
          <x14:formula1>
            <xm:f>項目!A4:$MZM$458754</xm:f>
          </x14:formula1>
          <xm:sqref>MZV458757:MZV458780</xm:sqref>
        </x14:dataValidation>
        <x14:dataValidation type="list" allowBlank="1" showInputMessage="1" showErrorMessage="1" xr:uid="{00000000-0002-0000-0300-0000AD1D0000}">
          <x14:formula1>
            <xm:f>項目!A4:$NJI$458754</xm:f>
          </x14:formula1>
          <xm:sqref>NJR458757:NJR458780</xm:sqref>
        </x14:dataValidation>
        <x14:dataValidation type="list" allowBlank="1" showInputMessage="1" showErrorMessage="1" xr:uid="{00000000-0002-0000-0300-0000AE1D0000}">
          <x14:formula1>
            <xm:f>項目!A4:$NTE$458754</xm:f>
          </x14:formula1>
          <xm:sqref>NTN458757:NTN458780</xm:sqref>
        </x14:dataValidation>
        <x14:dataValidation type="list" allowBlank="1" showInputMessage="1" showErrorMessage="1" xr:uid="{00000000-0002-0000-0300-0000AF1D0000}">
          <x14:formula1>
            <xm:f>項目!A4:$ODA$458754</xm:f>
          </x14:formula1>
          <xm:sqref>ODJ458757:ODJ458780</xm:sqref>
        </x14:dataValidation>
        <x14:dataValidation type="list" allowBlank="1" showInputMessage="1" showErrorMessage="1" xr:uid="{00000000-0002-0000-0300-0000B01D0000}">
          <x14:formula1>
            <xm:f>項目!A4:$OMW$458754</xm:f>
          </x14:formula1>
          <xm:sqref>ONF458757:ONF458780</xm:sqref>
        </x14:dataValidation>
        <x14:dataValidation type="list" allowBlank="1" showInputMessage="1" showErrorMessage="1" xr:uid="{00000000-0002-0000-0300-0000B11D0000}">
          <x14:formula1>
            <xm:f>項目!A4:$OWS$458754</xm:f>
          </x14:formula1>
          <xm:sqref>OXB458757:OXB458780</xm:sqref>
        </x14:dataValidation>
        <x14:dataValidation type="list" allowBlank="1" showInputMessage="1" showErrorMessage="1" xr:uid="{00000000-0002-0000-0300-0000B21D0000}">
          <x14:formula1>
            <xm:f>項目!A4:$PGO$458754</xm:f>
          </x14:formula1>
          <xm:sqref>PGX458757:PGX458780</xm:sqref>
        </x14:dataValidation>
        <x14:dataValidation type="list" allowBlank="1" showInputMessage="1" showErrorMessage="1" xr:uid="{00000000-0002-0000-0300-0000B31D0000}">
          <x14:formula1>
            <xm:f>項目!A4:$PQK$458754</xm:f>
          </x14:formula1>
          <xm:sqref>PQT458757:PQT458780</xm:sqref>
        </x14:dataValidation>
        <x14:dataValidation type="list" allowBlank="1" showInputMessage="1" showErrorMessage="1" xr:uid="{00000000-0002-0000-0300-0000B41D0000}">
          <x14:formula1>
            <xm:f>項目!A4:$QAG$458754</xm:f>
          </x14:formula1>
          <xm:sqref>QAP458757:QAP458780</xm:sqref>
        </x14:dataValidation>
        <x14:dataValidation type="list" allowBlank="1" showInputMessage="1" showErrorMessage="1" xr:uid="{00000000-0002-0000-0300-0000B51D0000}">
          <x14:formula1>
            <xm:f>項目!A4:$QKC$458754</xm:f>
          </x14:formula1>
          <xm:sqref>QKL458757:QKL458780</xm:sqref>
        </x14:dataValidation>
        <x14:dataValidation type="list" allowBlank="1" showInputMessage="1" showErrorMessage="1" xr:uid="{00000000-0002-0000-0300-0000B61D0000}">
          <x14:formula1>
            <xm:f>項目!A4:$QTY$458754</xm:f>
          </x14:formula1>
          <xm:sqref>QUH458757:QUH458780</xm:sqref>
        </x14:dataValidation>
        <x14:dataValidation type="list" allowBlank="1" showInputMessage="1" showErrorMessage="1" xr:uid="{00000000-0002-0000-0300-0000B71D0000}">
          <x14:formula1>
            <xm:f>項目!A4:$RDU$458754</xm:f>
          </x14:formula1>
          <xm:sqref>RED458757:RED458780</xm:sqref>
        </x14:dataValidation>
        <x14:dataValidation type="list" allowBlank="1" showInputMessage="1" showErrorMessage="1" xr:uid="{00000000-0002-0000-0300-0000B81D0000}">
          <x14:formula1>
            <xm:f>項目!A4:$RNQ$458754</xm:f>
          </x14:formula1>
          <xm:sqref>RNZ458757:RNZ458780</xm:sqref>
        </x14:dataValidation>
        <x14:dataValidation type="list" allowBlank="1" showInputMessage="1" showErrorMessage="1" xr:uid="{00000000-0002-0000-0300-0000B91D0000}">
          <x14:formula1>
            <xm:f>項目!A4:$RXM$458754</xm:f>
          </x14:formula1>
          <xm:sqref>RXV458757:RXV458780</xm:sqref>
        </x14:dataValidation>
        <x14:dataValidation type="list" allowBlank="1" showInputMessage="1" showErrorMessage="1" xr:uid="{00000000-0002-0000-0300-0000BA1D0000}">
          <x14:formula1>
            <xm:f>項目!A4:$SHI$458754</xm:f>
          </x14:formula1>
          <xm:sqref>SHR458757:SHR458780</xm:sqref>
        </x14:dataValidation>
        <x14:dataValidation type="list" allowBlank="1" showInputMessage="1" showErrorMessage="1" xr:uid="{00000000-0002-0000-0300-0000BB1D0000}">
          <x14:formula1>
            <xm:f>項目!A4:$SRE$458754</xm:f>
          </x14:formula1>
          <xm:sqref>SRN458757:SRN458780</xm:sqref>
        </x14:dataValidation>
        <x14:dataValidation type="list" allowBlank="1" showInputMessage="1" showErrorMessage="1" xr:uid="{00000000-0002-0000-0300-0000BC1D0000}">
          <x14:formula1>
            <xm:f>項目!A4:$TBA$458754</xm:f>
          </x14:formula1>
          <xm:sqref>TBJ458757:TBJ458780</xm:sqref>
        </x14:dataValidation>
        <x14:dataValidation type="list" allowBlank="1" showInputMessage="1" showErrorMessage="1" xr:uid="{00000000-0002-0000-0300-0000BD1D0000}">
          <x14:formula1>
            <xm:f>項目!A4:$TKW$458754</xm:f>
          </x14:formula1>
          <xm:sqref>TLF458757:TLF458780</xm:sqref>
        </x14:dataValidation>
        <x14:dataValidation type="list" allowBlank="1" showInputMessage="1" showErrorMessage="1" xr:uid="{00000000-0002-0000-0300-0000BE1D0000}">
          <x14:formula1>
            <xm:f>項目!A4:$TUS$458754</xm:f>
          </x14:formula1>
          <xm:sqref>TVB458757:TVB458780</xm:sqref>
        </x14:dataValidation>
        <x14:dataValidation type="list" allowBlank="1" showInputMessage="1" showErrorMessage="1" xr:uid="{00000000-0002-0000-0300-0000BF1D0000}">
          <x14:formula1>
            <xm:f>項目!A4:$UEO$458754</xm:f>
          </x14:formula1>
          <xm:sqref>UEX458757:UEX458780</xm:sqref>
        </x14:dataValidation>
        <x14:dataValidation type="list" allowBlank="1" showInputMessage="1" showErrorMessage="1" xr:uid="{00000000-0002-0000-0300-0000C01D0000}">
          <x14:formula1>
            <xm:f>項目!A4:$UOK$458754</xm:f>
          </x14:formula1>
          <xm:sqref>UOT458757:UOT458780</xm:sqref>
        </x14:dataValidation>
        <x14:dataValidation type="list" allowBlank="1" showInputMessage="1" showErrorMessage="1" xr:uid="{00000000-0002-0000-0300-0000C11D0000}">
          <x14:formula1>
            <xm:f>項目!A4:$UYG$458754</xm:f>
          </x14:formula1>
          <xm:sqref>UYP458757:UYP458780</xm:sqref>
        </x14:dataValidation>
        <x14:dataValidation type="list" allowBlank="1" showInputMessage="1" showErrorMessage="1" xr:uid="{00000000-0002-0000-0300-0000C21D0000}">
          <x14:formula1>
            <xm:f>項目!A4:$VIC$458754</xm:f>
          </x14:formula1>
          <xm:sqref>VIL458757:VIL458780</xm:sqref>
        </x14:dataValidation>
        <x14:dataValidation type="list" allowBlank="1" showInputMessage="1" showErrorMessage="1" xr:uid="{00000000-0002-0000-0300-0000C31D0000}">
          <x14:formula1>
            <xm:f>項目!A4:$VRY$458754</xm:f>
          </x14:formula1>
          <xm:sqref>VSH458757:VSH458780</xm:sqref>
        </x14:dataValidation>
        <x14:dataValidation type="list" allowBlank="1" showInputMessage="1" showErrorMessage="1" xr:uid="{00000000-0002-0000-0300-0000C41D0000}">
          <x14:formula1>
            <xm:f>項目!A4:$WBU$458754</xm:f>
          </x14:formula1>
          <xm:sqref>WCD458757:WCD458780</xm:sqref>
        </x14:dataValidation>
        <x14:dataValidation type="list" allowBlank="1" showInputMessage="1" showErrorMessage="1" xr:uid="{00000000-0002-0000-0300-0000C51D0000}">
          <x14:formula1>
            <xm:f>項目!A4:$WLQ$458754</xm:f>
          </x14:formula1>
          <xm:sqref>WLZ458757:WLZ458780</xm:sqref>
        </x14:dataValidation>
        <x14:dataValidation type="list" allowBlank="1" showInputMessage="1" showErrorMessage="1" xr:uid="{00000000-0002-0000-0300-0000C61D0000}">
          <x14:formula1>
            <xm:f>項目!A4:$WVM$458754</xm:f>
          </x14:formula1>
          <xm:sqref>WVV458757:WVV458780</xm:sqref>
        </x14:dataValidation>
        <x14:dataValidation type="list" allowBlank="1" showInputMessage="1" showErrorMessage="1" xr:uid="{00000000-0002-0000-0300-0000C71D0000}">
          <x14:formula1>
            <xm:f>項目!A4:$JA$524290</xm:f>
          </x14:formula1>
          <xm:sqref>JJ524293:JJ524316</xm:sqref>
        </x14:dataValidation>
        <x14:dataValidation type="list" allowBlank="1" showInputMessage="1" showErrorMessage="1" xr:uid="{00000000-0002-0000-0300-0000C81D0000}">
          <x14:formula1>
            <xm:f>項目!A4:$SW$524290</xm:f>
          </x14:formula1>
          <xm:sqref>TF524293:TF524316</xm:sqref>
        </x14:dataValidation>
        <x14:dataValidation type="list" allowBlank="1" showInputMessage="1" showErrorMessage="1" xr:uid="{00000000-0002-0000-0300-0000C91D0000}">
          <x14:formula1>
            <xm:f>項目!A4:$ACS$524290</xm:f>
          </x14:formula1>
          <xm:sqref>ADB524293:ADB524316</xm:sqref>
        </x14:dataValidation>
        <x14:dataValidation type="list" allowBlank="1" showInputMessage="1" showErrorMessage="1" xr:uid="{00000000-0002-0000-0300-0000CA1D0000}">
          <x14:formula1>
            <xm:f>項目!A4:$AMO$524290</xm:f>
          </x14:formula1>
          <xm:sqref>AMX524293:AMX524316</xm:sqref>
        </x14:dataValidation>
        <x14:dataValidation type="list" allowBlank="1" showInputMessage="1" showErrorMessage="1" xr:uid="{00000000-0002-0000-0300-0000CB1D0000}">
          <x14:formula1>
            <xm:f>項目!A4:$AWK$524290</xm:f>
          </x14:formula1>
          <xm:sqref>AWT524293:AWT524316</xm:sqref>
        </x14:dataValidation>
        <x14:dataValidation type="list" allowBlank="1" showInputMessage="1" showErrorMessage="1" xr:uid="{00000000-0002-0000-0300-0000CC1D0000}">
          <x14:formula1>
            <xm:f>項目!A4:$BGG$524290</xm:f>
          </x14:formula1>
          <xm:sqref>BGP524293:BGP524316</xm:sqref>
        </x14:dataValidation>
        <x14:dataValidation type="list" allowBlank="1" showInputMessage="1" showErrorMessage="1" xr:uid="{00000000-0002-0000-0300-0000CD1D0000}">
          <x14:formula1>
            <xm:f>項目!A4:$BQC$524290</xm:f>
          </x14:formula1>
          <xm:sqref>BQL524293:BQL524316</xm:sqref>
        </x14:dataValidation>
        <x14:dataValidation type="list" allowBlank="1" showInputMessage="1" showErrorMessage="1" xr:uid="{00000000-0002-0000-0300-0000CE1D0000}">
          <x14:formula1>
            <xm:f>項目!A4:$BZY$524290</xm:f>
          </x14:formula1>
          <xm:sqref>CAH524293:CAH524316</xm:sqref>
        </x14:dataValidation>
        <x14:dataValidation type="list" allowBlank="1" showInputMessage="1" showErrorMessage="1" xr:uid="{00000000-0002-0000-0300-0000CF1D0000}">
          <x14:formula1>
            <xm:f>項目!A4:$CJU$524290</xm:f>
          </x14:formula1>
          <xm:sqref>CKD524293:CKD524316</xm:sqref>
        </x14:dataValidation>
        <x14:dataValidation type="list" allowBlank="1" showInputMessage="1" showErrorMessage="1" xr:uid="{00000000-0002-0000-0300-0000D01D0000}">
          <x14:formula1>
            <xm:f>項目!A4:$CTQ$524290</xm:f>
          </x14:formula1>
          <xm:sqref>CTZ524293:CTZ524316</xm:sqref>
        </x14:dataValidation>
        <x14:dataValidation type="list" allowBlank="1" showInputMessage="1" showErrorMessage="1" xr:uid="{00000000-0002-0000-0300-0000D11D0000}">
          <x14:formula1>
            <xm:f>項目!A4:$DDM$524290</xm:f>
          </x14:formula1>
          <xm:sqref>DDV524293:DDV524316</xm:sqref>
        </x14:dataValidation>
        <x14:dataValidation type="list" allowBlank="1" showInputMessage="1" showErrorMessage="1" xr:uid="{00000000-0002-0000-0300-0000D21D0000}">
          <x14:formula1>
            <xm:f>項目!A4:$DNI$524290</xm:f>
          </x14:formula1>
          <xm:sqref>DNR524293:DNR524316</xm:sqref>
        </x14:dataValidation>
        <x14:dataValidation type="list" allowBlank="1" showInputMessage="1" showErrorMessage="1" xr:uid="{00000000-0002-0000-0300-0000D31D0000}">
          <x14:formula1>
            <xm:f>項目!A4:$DXE$524290</xm:f>
          </x14:formula1>
          <xm:sqref>DXN524293:DXN524316</xm:sqref>
        </x14:dataValidation>
        <x14:dataValidation type="list" allowBlank="1" showInputMessage="1" showErrorMessage="1" xr:uid="{00000000-0002-0000-0300-0000D41D0000}">
          <x14:formula1>
            <xm:f>項目!A4:$EHA$524290</xm:f>
          </x14:formula1>
          <xm:sqref>EHJ524293:EHJ524316</xm:sqref>
        </x14:dataValidation>
        <x14:dataValidation type="list" allowBlank="1" showInputMessage="1" showErrorMessage="1" xr:uid="{00000000-0002-0000-0300-0000D51D0000}">
          <x14:formula1>
            <xm:f>項目!A4:$EQW$524290</xm:f>
          </x14:formula1>
          <xm:sqref>ERF524293:ERF524316</xm:sqref>
        </x14:dataValidation>
        <x14:dataValidation type="list" allowBlank="1" showInputMessage="1" showErrorMessage="1" xr:uid="{00000000-0002-0000-0300-0000D61D0000}">
          <x14:formula1>
            <xm:f>項目!A4:$FAS$524290</xm:f>
          </x14:formula1>
          <xm:sqref>FBB524293:FBB524316</xm:sqref>
        </x14:dataValidation>
        <x14:dataValidation type="list" allowBlank="1" showInputMessage="1" showErrorMessage="1" xr:uid="{00000000-0002-0000-0300-0000D71D0000}">
          <x14:formula1>
            <xm:f>項目!A4:$FKO$524290</xm:f>
          </x14:formula1>
          <xm:sqref>FKX524293:FKX524316</xm:sqref>
        </x14:dataValidation>
        <x14:dataValidation type="list" allowBlank="1" showInputMessage="1" showErrorMessage="1" xr:uid="{00000000-0002-0000-0300-0000D81D0000}">
          <x14:formula1>
            <xm:f>項目!A4:$FUK$524290</xm:f>
          </x14:formula1>
          <xm:sqref>FUT524293:FUT524316</xm:sqref>
        </x14:dataValidation>
        <x14:dataValidation type="list" allowBlank="1" showInputMessage="1" showErrorMessage="1" xr:uid="{00000000-0002-0000-0300-0000D91D0000}">
          <x14:formula1>
            <xm:f>項目!A4:$GEG$524290</xm:f>
          </x14:formula1>
          <xm:sqref>GEP524293:GEP524316</xm:sqref>
        </x14:dataValidation>
        <x14:dataValidation type="list" allowBlank="1" showInputMessage="1" showErrorMessage="1" xr:uid="{00000000-0002-0000-0300-0000DA1D0000}">
          <x14:formula1>
            <xm:f>項目!A4:$GOC$524290</xm:f>
          </x14:formula1>
          <xm:sqref>GOL524293:GOL524316</xm:sqref>
        </x14:dataValidation>
        <x14:dataValidation type="list" allowBlank="1" showInputMessage="1" showErrorMessage="1" xr:uid="{00000000-0002-0000-0300-0000DB1D0000}">
          <x14:formula1>
            <xm:f>項目!A4:$GXY$524290</xm:f>
          </x14:formula1>
          <xm:sqref>GYH524293:GYH524316</xm:sqref>
        </x14:dataValidation>
        <x14:dataValidation type="list" allowBlank="1" showInputMessage="1" showErrorMessage="1" xr:uid="{00000000-0002-0000-0300-0000DC1D0000}">
          <x14:formula1>
            <xm:f>項目!A4:$HHU$524290</xm:f>
          </x14:formula1>
          <xm:sqref>HID524293:HID524316</xm:sqref>
        </x14:dataValidation>
        <x14:dataValidation type="list" allowBlank="1" showInputMessage="1" showErrorMessage="1" xr:uid="{00000000-0002-0000-0300-0000DD1D0000}">
          <x14:formula1>
            <xm:f>項目!A4:$HRQ$524290</xm:f>
          </x14:formula1>
          <xm:sqref>HRZ524293:HRZ524316</xm:sqref>
        </x14:dataValidation>
        <x14:dataValidation type="list" allowBlank="1" showInputMessage="1" showErrorMessage="1" xr:uid="{00000000-0002-0000-0300-0000DE1D0000}">
          <x14:formula1>
            <xm:f>項目!A4:$IBM$524290</xm:f>
          </x14:formula1>
          <xm:sqref>IBV524293:IBV524316</xm:sqref>
        </x14:dataValidation>
        <x14:dataValidation type="list" allowBlank="1" showInputMessage="1" showErrorMessage="1" xr:uid="{00000000-0002-0000-0300-0000DF1D0000}">
          <x14:formula1>
            <xm:f>項目!A4:$ILI$524290</xm:f>
          </x14:formula1>
          <xm:sqref>ILR524293:ILR524316</xm:sqref>
        </x14:dataValidation>
        <x14:dataValidation type="list" allowBlank="1" showInputMessage="1" showErrorMessage="1" xr:uid="{00000000-0002-0000-0300-0000E01D0000}">
          <x14:formula1>
            <xm:f>項目!A4:$IVE$524290</xm:f>
          </x14:formula1>
          <xm:sqref>IVN524293:IVN524316</xm:sqref>
        </x14:dataValidation>
        <x14:dataValidation type="list" allowBlank="1" showInputMessage="1" showErrorMessage="1" xr:uid="{00000000-0002-0000-0300-0000E11D0000}">
          <x14:formula1>
            <xm:f>項目!A4:$JFA$524290</xm:f>
          </x14:formula1>
          <xm:sqref>JFJ524293:JFJ524316</xm:sqref>
        </x14:dataValidation>
        <x14:dataValidation type="list" allowBlank="1" showInputMessage="1" showErrorMessage="1" xr:uid="{00000000-0002-0000-0300-0000E21D0000}">
          <x14:formula1>
            <xm:f>項目!A4:$JOW$524290</xm:f>
          </x14:formula1>
          <xm:sqref>JPF524293:JPF524316</xm:sqref>
        </x14:dataValidation>
        <x14:dataValidation type="list" allowBlank="1" showInputMessage="1" showErrorMessage="1" xr:uid="{00000000-0002-0000-0300-0000E31D0000}">
          <x14:formula1>
            <xm:f>項目!A4:$JYS$524290</xm:f>
          </x14:formula1>
          <xm:sqref>JZB524293:JZB524316</xm:sqref>
        </x14:dataValidation>
        <x14:dataValidation type="list" allowBlank="1" showInputMessage="1" showErrorMessage="1" xr:uid="{00000000-0002-0000-0300-0000E41D0000}">
          <x14:formula1>
            <xm:f>項目!A4:$KIO$524290</xm:f>
          </x14:formula1>
          <xm:sqref>KIX524293:KIX524316</xm:sqref>
        </x14:dataValidation>
        <x14:dataValidation type="list" allowBlank="1" showInputMessage="1" showErrorMessage="1" xr:uid="{00000000-0002-0000-0300-0000E51D0000}">
          <x14:formula1>
            <xm:f>項目!A4:$KSK$524290</xm:f>
          </x14:formula1>
          <xm:sqref>KST524293:KST524316</xm:sqref>
        </x14:dataValidation>
        <x14:dataValidation type="list" allowBlank="1" showInputMessage="1" showErrorMessage="1" xr:uid="{00000000-0002-0000-0300-0000E61D0000}">
          <x14:formula1>
            <xm:f>項目!A4:$LCG$524290</xm:f>
          </x14:formula1>
          <xm:sqref>LCP524293:LCP524316</xm:sqref>
        </x14:dataValidation>
        <x14:dataValidation type="list" allowBlank="1" showInputMessage="1" showErrorMessage="1" xr:uid="{00000000-0002-0000-0300-0000E71D0000}">
          <x14:formula1>
            <xm:f>項目!A4:$LMC$524290</xm:f>
          </x14:formula1>
          <xm:sqref>LML524293:LML524316</xm:sqref>
        </x14:dataValidation>
        <x14:dataValidation type="list" allowBlank="1" showInputMessage="1" showErrorMessage="1" xr:uid="{00000000-0002-0000-0300-0000E81D0000}">
          <x14:formula1>
            <xm:f>項目!A4:$LVY$524290</xm:f>
          </x14:formula1>
          <xm:sqref>LWH524293:LWH524316</xm:sqref>
        </x14:dataValidation>
        <x14:dataValidation type="list" allowBlank="1" showInputMessage="1" showErrorMessage="1" xr:uid="{00000000-0002-0000-0300-0000E91D0000}">
          <x14:formula1>
            <xm:f>項目!A4:$MFU$524290</xm:f>
          </x14:formula1>
          <xm:sqref>MGD524293:MGD524316</xm:sqref>
        </x14:dataValidation>
        <x14:dataValidation type="list" allowBlank="1" showInputMessage="1" showErrorMessage="1" xr:uid="{00000000-0002-0000-0300-0000EA1D0000}">
          <x14:formula1>
            <xm:f>項目!A4:$MPQ$524290</xm:f>
          </x14:formula1>
          <xm:sqref>MPZ524293:MPZ524316</xm:sqref>
        </x14:dataValidation>
        <x14:dataValidation type="list" allowBlank="1" showInputMessage="1" showErrorMessage="1" xr:uid="{00000000-0002-0000-0300-0000EB1D0000}">
          <x14:formula1>
            <xm:f>項目!A4:$MZM$524290</xm:f>
          </x14:formula1>
          <xm:sqref>MZV524293:MZV524316</xm:sqref>
        </x14:dataValidation>
        <x14:dataValidation type="list" allowBlank="1" showInputMessage="1" showErrorMessage="1" xr:uid="{00000000-0002-0000-0300-0000EC1D0000}">
          <x14:formula1>
            <xm:f>項目!A4:$NJI$524290</xm:f>
          </x14:formula1>
          <xm:sqref>NJR524293:NJR524316</xm:sqref>
        </x14:dataValidation>
        <x14:dataValidation type="list" allowBlank="1" showInputMessage="1" showErrorMessage="1" xr:uid="{00000000-0002-0000-0300-0000ED1D0000}">
          <x14:formula1>
            <xm:f>項目!A4:$NTE$524290</xm:f>
          </x14:formula1>
          <xm:sqref>NTN524293:NTN524316</xm:sqref>
        </x14:dataValidation>
        <x14:dataValidation type="list" allowBlank="1" showInputMessage="1" showErrorMessage="1" xr:uid="{00000000-0002-0000-0300-0000EE1D0000}">
          <x14:formula1>
            <xm:f>項目!A4:$ODA$524290</xm:f>
          </x14:formula1>
          <xm:sqref>ODJ524293:ODJ524316</xm:sqref>
        </x14:dataValidation>
        <x14:dataValidation type="list" allowBlank="1" showInputMessage="1" showErrorMessage="1" xr:uid="{00000000-0002-0000-0300-0000EF1D0000}">
          <x14:formula1>
            <xm:f>項目!A4:$OMW$524290</xm:f>
          </x14:formula1>
          <xm:sqref>ONF524293:ONF524316</xm:sqref>
        </x14:dataValidation>
        <x14:dataValidation type="list" allowBlank="1" showInputMessage="1" showErrorMessage="1" xr:uid="{00000000-0002-0000-0300-0000F01D0000}">
          <x14:formula1>
            <xm:f>項目!A4:$OWS$524290</xm:f>
          </x14:formula1>
          <xm:sqref>OXB524293:OXB524316</xm:sqref>
        </x14:dataValidation>
        <x14:dataValidation type="list" allowBlank="1" showInputMessage="1" showErrorMessage="1" xr:uid="{00000000-0002-0000-0300-0000F11D0000}">
          <x14:formula1>
            <xm:f>項目!A4:$PGO$524290</xm:f>
          </x14:formula1>
          <xm:sqref>PGX524293:PGX524316</xm:sqref>
        </x14:dataValidation>
        <x14:dataValidation type="list" allowBlank="1" showInputMessage="1" showErrorMessage="1" xr:uid="{00000000-0002-0000-0300-0000F21D0000}">
          <x14:formula1>
            <xm:f>項目!A4:$PQK$524290</xm:f>
          </x14:formula1>
          <xm:sqref>PQT524293:PQT524316</xm:sqref>
        </x14:dataValidation>
        <x14:dataValidation type="list" allowBlank="1" showInputMessage="1" showErrorMessage="1" xr:uid="{00000000-0002-0000-0300-0000F31D0000}">
          <x14:formula1>
            <xm:f>項目!A4:$QAG$524290</xm:f>
          </x14:formula1>
          <xm:sqref>QAP524293:QAP524316</xm:sqref>
        </x14:dataValidation>
        <x14:dataValidation type="list" allowBlank="1" showInputMessage="1" showErrorMessage="1" xr:uid="{00000000-0002-0000-0300-0000F41D0000}">
          <x14:formula1>
            <xm:f>項目!A4:$QKC$524290</xm:f>
          </x14:formula1>
          <xm:sqref>QKL524293:QKL524316</xm:sqref>
        </x14:dataValidation>
        <x14:dataValidation type="list" allowBlank="1" showInputMessage="1" showErrorMessage="1" xr:uid="{00000000-0002-0000-0300-0000F51D0000}">
          <x14:formula1>
            <xm:f>項目!A4:$QTY$524290</xm:f>
          </x14:formula1>
          <xm:sqref>QUH524293:QUH524316</xm:sqref>
        </x14:dataValidation>
        <x14:dataValidation type="list" allowBlank="1" showInputMessage="1" showErrorMessage="1" xr:uid="{00000000-0002-0000-0300-0000F61D0000}">
          <x14:formula1>
            <xm:f>項目!A4:$RDU$524290</xm:f>
          </x14:formula1>
          <xm:sqref>RED524293:RED524316</xm:sqref>
        </x14:dataValidation>
        <x14:dataValidation type="list" allowBlank="1" showInputMessage="1" showErrorMessage="1" xr:uid="{00000000-0002-0000-0300-0000F71D0000}">
          <x14:formula1>
            <xm:f>項目!A4:$RNQ$524290</xm:f>
          </x14:formula1>
          <xm:sqref>RNZ524293:RNZ524316</xm:sqref>
        </x14:dataValidation>
        <x14:dataValidation type="list" allowBlank="1" showInputMessage="1" showErrorMessage="1" xr:uid="{00000000-0002-0000-0300-0000F81D0000}">
          <x14:formula1>
            <xm:f>項目!A4:$RXM$524290</xm:f>
          </x14:formula1>
          <xm:sqref>RXV524293:RXV524316</xm:sqref>
        </x14:dataValidation>
        <x14:dataValidation type="list" allowBlank="1" showInputMessage="1" showErrorMessage="1" xr:uid="{00000000-0002-0000-0300-0000F91D0000}">
          <x14:formula1>
            <xm:f>項目!A4:$SHI$524290</xm:f>
          </x14:formula1>
          <xm:sqref>SHR524293:SHR524316</xm:sqref>
        </x14:dataValidation>
        <x14:dataValidation type="list" allowBlank="1" showInputMessage="1" showErrorMessage="1" xr:uid="{00000000-0002-0000-0300-0000FA1D0000}">
          <x14:formula1>
            <xm:f>項目!A4:$SRE$524290</xm:f>
          </x14:formula1>
          <xm:sqref>SRN524293:SRN524316</xm:sqref>
        </x14:dataValidation>
        <x14:dataValidation type="list" allowBlank="1" showInputMessage="1" showErrorMessage="1" xr:uid="{00000000-0002-0000-0300-0000FB1D0000}">
          <x14:formula1>
            <xm:f>項目!A4:$TBA$524290</xm:f>
          </x14:formula1>
          <xm:sqref>TBJ524293:TBJ524316</xm:sqref>
        </x14:dataValidation>
        <x14:dataValidation type="list" allowBlank="1" showInputMessage="1" showErrorMessage="1" xr:uid="{00000000-0002-0000-0300-0000FC1D0000}">
          <x14:formula1>
            <xm:f>項目!A4:$TKW$524290</xm:f>
          </x14:formula1>
          <xm:sqref>TLF524293:TLF524316</xm:sqref>
        </x14:dataValidation>
        <x14:dataValidation type="list" allowBlank="1" showInputMessage="1" showErrorMessage="1" xr:uid="{00000000-0002-0000-0300-0000FD1D0000}">
          <x14:formula1>
            <xm:f>項目!A4:$TUS$524290</xm:f>
          </x14:formula1>
          <xm:sqref>TVB524293:TVB524316</xm:sqref>
        </x14:dataValidation>
        <x14:dataValidation type="list" allowBlank="1" showInputMessage="1" showErrorMessage="1" xr:uid="{00000000-0002-0000-0300-0000FE1D0000}">
          <x14:formula1>
            <xm:f>項目!A4:$UEO$524290</xm:f>
          </x14:formula1>
          <xm:sqref>UEX524293:UEX524316</xm:sqref>
        </x14:dataValidation>
        <x14:dataValidation type="list" allowBlank="1" showInputMessage="1" showErrorMessage="1" xr:uid="{00000000-0002-0000-0300-0000FF1D0000}">
          <x14:formula1>
            <xm:f>項目!A4:$UOK$524290</xm:f>
          </x14:formula1>
          <xm:sqref>UOT524293:UOT524316</xm:sqref>
        </x14:dataValidation>
        <x14:dataValidation type="list" allowBlank="1" showInputMessage="1" showErrorMessage="1" xr:uid="{00000000-0002-0000-0300-0000001E0000}">
          <x14:formula1>
            <xm:f>項目!A4:$UYG$524290</xm:f>
          </x14:formula1>
          <xm:sqref>UYP524293:UYP524316</xm:sqref>
        </x14:dataValidation>
        <x14:dataValidation type="list" allowBlank="1" showInputMessage="1" showErrorMessage="1" xr:uid="{00000000-0002-0000-0300-0000011E0000}">
          <x14:formula1>
            <xm:f>項目!A4:$VIC$524290</xm:f>
          </x14:formula1>
          <xm:sqref>VIL524293:VIL524316</xm:sqref>
        </x14:dataValidation>
        <x14:dataValidation type="list" allowBlank="1" showInputMessage="1" showErrorMessage="1" xr:uid="{00000000-0002-0000-0300-0000021E0000}">
          <x14:formula1>
            <xm:f>項目!A4:$VRY$524290</xm:f>
          </x14:formula1>
          <xm:sqref>VSH524293:VSH524316</xm:sqref>
        </x14:dataValidation>
        <x14:dataValidation type="list" allowBlank="1" showInputMessage="1" showErrorMessage="1" xr:uid="{00000000-0002-0000-0300-0000031E0000}">
          <x14:formula1>
            <xm:f>項目!A4:$WBU$524290</xm:f>
          </x14:formula1>
          <xm:sqref>WCD524293:WCD524316</xm:sqref>
        </x14:dataValidation>
        <x14:dataValidation type="list" allowBlank="1" showInputMessage="1" showErrorMessage="1" xr:uid="{00000000-0002-0000-0300-0000041E0000}">
          <x14:formula1>
            <xm:f>項目!A4:$WLQ$524290</xm:f>
          </x14:formula1>
          <xm:sqref>WLZ524293:WLZ524316</xm:sqref>
        </x14:dataValidation>
        <x14:dataValidation type="list" allowBlank="1" showInputMessage="1" showErrorMessage="1" xr:uid="{00000000-0002-0000-0300-0000051E0000}">
          <x14:formula1>
            <xm:f>項目!A4:$WVM$524290</xm:f>
          </x14:formula1>
          <xm:sqref>WVV524293:WVV524316</xm:sqref>
        </x14:dataValidation>
        <x14:dataValidation type="list" allowBlank="1" showInputMessage="1" showErrorMessage="1" xr:uid="{00000000-0002-0000-0300-0000061E0000}">
          <x14:formula1>
            <xm:f>項目!A4:$JA$589826</xm:f>
          </x14:formula1>
          <xm:sqref>JJ589829:JJ589852</xm:sqref>
        </x14:dataValidation>
        <x14:dataValidation type="list" allowBlank="1" showInputMessage="1" showErrorMessage="1" xr:uid="{00000000-0002-0000-0300-0000071E0000}">
          <x14:formula1>
            <xm:f>項目!A4:$SW$589826</xm:f>
          </x14:formula1>
          <xm:sqref>TF589829:TF589852</xm:sqref>
        </x14:dataValidation>
        <x14:dataValidation type="list" allowBlank="1" showInputMessage="1" showErrorMessage="1" xr:uid="{00000000-0002-0000-0300-0000081E0000}">
          <x14:formula1>
            <xm:f>項目!A4:$ACS$589826</xm:f>
          </x14:formula1>
          <xm:sqref>ADB589829:ADB589852</xm:sqref>
        </x14:dataValidation>
        <x14:dataValidation type="list" allowBlank="1" showInputMessage="1" showErrorMessage="1" xr:uid="{00000000-0002-0000-0300-0000091E0000}">
          <x14:formula1>
            <xm:f>項目!A4:$AMO$589826</xm:f>
          </x14:formula1>
          <xm:sqref>AMX589829:AMX589852</xm:sqref>
        </x14:dataValidation>
        <x14:dataValidation type="list" allowBlank="1" showInputMessage="1" showErrorMessage="1" xr:uid="{00000000-0002-0000-0300-00000A1E0000}">
          <x14:formula1>
            <xm:f>項目!A4:$AWK$589826</xm:f>
          </x14:formula1>
          <xm:sqref>AWT589829:AWT589852</xm:sqref>
        </x14:dataValidation>
        <x14:dataValidation type="list" allowBlank="1" showInputMessage="1" showErrorMessage="1" xr:uid="{00000000-0002-0000-0300-00000B1E0000}">
          <x14:formula1>
            <xm:f>項目!A4:$BGG$589826</xm:f>
          </x14:formula1>
          <xm:sqref>BGP589829:BGP589852</xm:sqref>
        </x14:dataValidation>
        <x14:dataValidation type="list" allowBlank="1" showInputMessage="1" showErrorMessage="1" xr:uid="{00000000-0002-0000-0300-00000C1E0000}">
          <x14:formula1>
            <xm:f>項目!A4:$BQC$589826</xm:f>
          </x14:formula1>
          <xm:sqref>BQL589829:BQL589852</xm:sqref>
        </x14:dataValidation>
        <x14:dataValidation type="list" allowBlank="1" showInputMessage="1" showErrorMessage="1" xr:uid="{00000000-0002-0000-0300-00000D1E0000}">
          <x14:formula1>
            <xm:f>項目!A4:$BZY$589826</xm:f>
          </x14:formula1>
          <xm:sqref>CAH589829:CAH589852</xm:sqref>
        </x14:dataValidation>
        <x14:dataValidation type="list" allowBlank="1" showInputMessage="1" showErrorMessage="1" xr:uid="{00000000-0002-0000-0300-00000E1E0000}">
          <x14:formula1>
            <xm:f>項目!A4:$CJU$589826</xm:f>
          </x14:formula1>
          <xm:sqref>CKD589829:CKD589852</xm:sqref>
        </x14:dataValidation>
        <x14:dataValidation type="list" allowBlank="1" showInputMessage="1" showErrorMessage="1" xr:uid="{00000000-0002-0000-0300-00000F1E0000}">
          <x14:formula1>
            <xm:f>項目!A4:$CTQ$589826</xm:f>
          </x14:formula1>
          <xm:sqref>CTZ589829:CTZ589852</xm:sqref>
        </x14:dataValidation>
        <x14:dataValidation type="list" allowBlank="1" showInputMessage="1" showErrorMessage="1" xr:uid="{00000000-0002-0000-0300-0000101E0000}">
          <x14:formula1>
            <xm:f>項目!A4:$DDM$589826</xm:f>
          </x14:formula1>
          <xm:sqref>DDV589829:DDV589852</xm:sqref>
        </x14:dataValidation>
        <x14:dataValidation type="list" allowBlank="1" showInputMessage="1" showErrorMessage="1" xr:uid="{00000000-0002-0000-0300-0000111E0000}">
          <x14:formula1>
            <xm:f>項目!A4:$DNI$589826</xm:f>
          </x14:formula1>
          <xm:sqref>DNR589829:DNR589852</xm:sqref>
        </x14:dataValidation>
        <x14:dataValidation type="list" allowBlank="1" showInputMessage="1" showErrorMessage="1" xr:uid="{00000000-0002-0000-0300-0000121E0000}">
          <x14:formula1>
            <xm:f>項目!A4:$DXE$589826</xm:f>
          </x14:formula1>
          <xm:sqref>DXN589829:DXN589852</xm:sqref>
        </x14:dataValidation>
        <x14:dataValidation type="list" allowBlank="1" showInputMessage="1" showErrorMessage="1" xr:uid="{00000000-0002-0000-0300-0000131E0000}">
          <x14:formula1>
            <xm:f>項目!A4:$EHA$589826</xm:f>
          </x14:formula1>
          <xm:sqref>EHJ589829:EHJ589852</xm:sqref>
        </x14:dataValidation>
        <x14:dataValidation type="list" allowBlank="1" showInputMessage="1" showErrorMessage="1" xr:uid="{00000000-0002-0000-0300-0000141E0000}">
          <x14:formula1>
            <xm:f>項目!A4:$EQW$589826</xm:f>
          </x14:formula1>
          <xm:sqref>ERF589829:ERF589852</xm:sqref>
        </x14:dataValidation>
        <x14:dataValidation type="list" allowBlank="1" showInputMessage="1" showErrorMessage="1" xr:uid="{00000000-0002-0000-0300-0000151E0000}">
          <x14:formula1>
            <xm:f>項目!A4:$FAS$589826</xm:f>
          </x14:formula1>
          <xm:sqref>FBB589829:FBB589852</xm:sqref>
        </x14:dataValidation>
        <x14:dataValidation type="list" allowBlank="1" showInputMessage="1" showErrorMessage="1" xr:uid="{00000000-0002-0000-0300-0000161E0000}">
          <x14:formula1>
            <xm:f>項目!A4:$FKO$589826</xm:f>
          </x14:formula1>
          <xm:sqref>FKX589829:FKX589852</xm:sqref>
        </x14:dataValidation>
        <x14:dataValidation type="list" allowBlank="1" showInputMessage="1" showErrorMessage="1" xr:uid="{00000000-0002-0000-0300-0000171E0000}">
          <x14:formula1>
            <xm:f>項目!A4:$FUK$589826</xm:f>
          </x14:formula1>
          <xm:sqref>FUT589829:FUT589852</xm:sqref>
        </x14:dataValidation>
        <x14:dataValidation type="list" allowBlank="1" showInputMessage="1" showErrorMessage="1" xr:uid="{00000000-0002-0000-0300-0000181E0000}">
          <x14:formula1>
            <xm:f>項目!A4:$GEG$589826</xm:f>
          </x14:formula1>
          <xm:sqref>GEP589829:GEP589852</xm:sqref>
        </x14:dataValidation>
        <x14:dataValidation type="list" allowBlank="1" showInputMessage="1" showErrorMessage="1" xr:uid="{00000000-0002-0000-0300-0000191E0000}">
          <x14:formula1>
            <xm:f>項目!A4:$GOC$589826</xm:f>
          </x14:formula1>
          <xm:sqref>GOL589829:GOL589852</xm:sqref>
        </x14:dataValidation>
        <x14:dataValidation type="list" allowBlank="1" showInputMessage="1" showErrorMessage="1" xr:uid="{00000000-0002-0000-0300-00001A1E0000}">
          <x14:formula1>
            <xm:f>項目!A4:$GXY$589826</xm:f>
          </x14:formula1>
          <xm:sqref>GYH589829:GYH589852</xm:sqref>
        </x14:dataValidation>
        <x14:dataValidation type="list" allowBlank="1" showInputMessage="1" showErrorMessage="1" xr:uid="{00000000-0002-0000-0300-00001B1E0000}">
          <x14:formula1>
            <xm:f>項目!A4:$HHU$589826</xm:f>
          </x14:formula1>
          <xm:sqref>HID589829:HID589852</xm:sqref>
        </x14:dataValidation>
        <x14:dataValidation type="list" allowBlank="1" showInputMessage="1" showErrorMessage="1" xr:uid="{00000000-0002-0000-0300-00001C1E0000}">
          <x14:formula1>
            <xm:f>項目!A4:$HRQ$589826</xm:f>
          </x14:formula1>
          <xm:sqref>HRZ589829:HRZ589852</xm:sqref>
        </x14:dataValidation>
        <x14:dataValidation type="list" allowBlank="1" showInputMessage="1" showErrorMessage="1" xr:uid="{00000000-0002-0000-0300-00001D1E0000}">
          <x14:formula1>
            <xm:f>項目!A4:$IBM$589826</xm:f>
          </x14:formula1>
          <xm:sqref>IBV589829:IBV589852</xm:sqref>
        </x14:dataValidation>
        <x14:dataValidation type="list" allowBlank="1" showInputMessage="1" showErrorMessage="1" xr:uid="{00000000-0002-0000-0300-00001E1E0000}">
          <x14:formula1>
            <xm:f>項目!A4:$ILI$589826</xm:f>
          </x14:formula1>
          <xm:sqref>ILR589829:ILR589852</xm:sqref>
        </x14:dataValidation>
        <x14:dataValidation type="list" allowBlank="1" showInputMessage="1" showErrorMessage="1" xr:uid="{00000000-0002-0000-0300-00001F1E0000}">
          <x14:formula1>
            <xm:f>項目!A4:$IVE$589826</xm:f>
          </x14:formula1>
          <xm:sqref>IVN589829:IVN589852</xm:sqref>
        </x14:dataValidation>
        <x14:dataValidation type="list" allowBlank="1" showInputMessage="1" showErrorMessage="1" xr:uid="{00000000-0002-0000-0300-0000201E0000}">
          <x14:formula1>
            <xm:f>項目!A4:$JFA$589826</xm:f>
          </x14:formula1>
          <xm:sqref>JFJ589829:JFJ589852</xm:sqref>
        </x14:dataValidation>
        <x14:dataValidation type="list" allowBlank="1" showInputMessage="1" showErrorMessage="1" xr:uid="{00000000-0002-0000-0300-0000211E0000}">
          <x14:formula1>
            <xm:f>項目!A4:$JOW$589826</xm:f>
          </x14:formula1>
          <xm:sqref>JPF589829:JPF589852</xm:sqref>
        </x14:dataValidation>
        <x14:dataValidation type="list" allowBlank="1" showInputMessage="1" showErrorMessage="1" xr:uid="{00000000-0002-0000-0300-0000221E0000}">
          <x14:formula1>
            <xm:f>項目!A4:$JYS$589826</xm:f>
          </x14:formula1>
          <xm:sqref>JZB589829:JZB589852</xm:sqref>
        </x14:dataValidation>
        <x14:dataValidation type="list" allowBlank="1" showInputMessage="1" showErrorMessage="1" xr:uid="{00000000-0002-0000-0300-0000231E0000}">
          <x14:formula1>
            <xm:f>項目!A4:$KIO$589826</xm:f>
          </x14:formula1>
          <xm:sqref>KIX589829:KIX589852</xm:sqref>
        </x14:dataValidation>
        <x14:dataValidation type="list" allowBlank="1" showInputMessage="1" showErrorMessage="1" xr:uid="{00000000-0002-0000-0300-0000241E0000}">
          <x14:formula1>
            <xm:f>項目!A4:$KSK$589826</xm:f>
          </x14:formula1>
          <xm:sqref>KST589829:KST589852</xm:sqref>
        </x14:dataValidation>
        <x14:dataValidation type="list" allowBlank="1" showInputMessage="1" showErrorMessage="1" xr:uid="{00000000-0002-0000-0300-0000251E0000}">
          <x14:formula1>
            <xm:f>項目!A4:$LCG$589826</xm:f>
          </x14:formula1>
          <xm:sqref>LCP589829:LCP589852</xm:sqref>
        </x14:dataValidation>
        <x14:dataValidation type="list" allowBlank="1" showInputMessage="1" showErrorMessage="1" xr:uid="{00000000-0002-0000-0300-0000261E0000}">
          <x14:formula1>
            <xm:f>項目!A4:$LMC$589826</xm:f>
          </x14:formula1>
          <xm:sqref>LML589829:LML589852</xm:sqref>
        </x14:dataValidation>
        <x14:dataValidation type="list" allowBlank="1" showInputMessage="1" showErrorMessage="1" xr:uid="{00000000-0002-0000-0300-0000271E0000}">
          <x14:formula1>
            <xm:f>項目!A4:$LVY$589826</xm:f>
          </x14:formula1>
          <xm:sqref>LWH589829:LWH589852</xm:sqref>
        </x14:dataValidation>
        <x14:dataValidation type="list" allowBlank="1" showInputMessage="1" showErrorMessage="1" xr:uid="{00000000-0002-0000-0300-0000281E0000}">
          <x14:formula1>
            <xm:f>項目!A4:$MFU$589826</xm:f>
          </x14:formula1>
          <xm:sqref>MGD589829:MGD589852</xm:sqref>
        </x14:dataValidation>
        <x14:dataValidation type="list" allowBlank="1" showInputMessage="1" showErrorMessage="1" xr:uid="{00000000-0002-0000-0300-0000291E0000}">
          <x14:formula1>
            <xm:f>項目!A4:$MPQ$589826</xm:f>
          </x14:formula1>
          <xm:sqref>MPZ589829:MPZ589852</xm:sqref>
        </x14:dataValidation>
        <x14:dataValidation type="list" allowBlank="1" showInputMessage="1" showErrorMessage="1" xr:uid="{00000000-0002-0000-0300-00002A1E0000}">
          <x14:formula1>
            <xm:f>項目!A4:$MZM$589826</xm:f>
          </x14:formula1>
          <xm:sqref>MZV589829:MZV589852</xm:sqref>
        </x14:dataValidation>
        <x14:dataValidation type="list" allowBlank="1" showInputMessage="1" showErrorMessage="1" xr:uid="{00000000-0002-0000-0300-00002B1E0000}">
          <x14:formula1>
            <xm:f>項目!A4:$NJI$589826</xm:f>
          </x14:formula1>
          <xm:sqref>NJR589829:NJR589852</xm:sqref>
        </x14:dataValidation>
        <x14:dataValidation type="list" allowBlank="1" showInputMessage="1" showErrorMessage="1" xr:uid="{00000000-0002-0000-0300-00002C1E0000}">
          <x14:formula1>
            <xm:f>項目!A4:$NTE$589826</xm:f>
          </x14:formula1>
          <xm:sqref>NTN589829:NTN589852</xm:sqref>
        </x14:dataValidation>
        <x14:dataValidation type="list" allowBlank="1" showInputMessage="1" showErrorMessage="1" xr:uid="{00000000-0002-0000-0300-00002D1E0000}">
          <x14:formula1>
            <xm:f>項目!A4:$ODA$589826</xm:f>
          </x14:formula1>
          <xm:sqref>ODJ589829:ODJ589852</xm:sqref>
        </x14:dataValidation>
        <x14:dataValidation type="list" allowBlank="1" showInputMessage="1" showErrorMessage="1" xr:uid="{00000000-0002-0000-0300-00002E1E0000}">
          <x14:formula1>
            <xm:f>項目!A4:$OMW$589826</xm:f>
          </x14:formula1>
          <xm:sqref>ONF589829:ONF589852</xm:sqref>
        </x14:dataValidation>
        <x14:dataValidation type="list" allowBlank="1" showInputMessage="1" showErrorMessage="1" xr:uid="{00000000-0002-0000-0300-00002F1E0000}">
          <x14:formula1>
            <xm:f>項目!A4:$OWS$589826</xm:f>
          </x14:formula1>
          <xm:sqref>OXB589829:OXB589852</xm:sqref>
        </x14:dataValidation>
        <x14:dataValidation type="list" allowBlank="1" showInputMessage="1" showErrorMessage="1" xr:uid="{00000000-0002-0000-0300-0000301E0000}">
          <x14:formula1>
            <xm:f>項目!A4:$PGO$589826</xm:f>
          </x14:formula1>
          <xm:sqref>PGX589829:PGX589852</xm:sqref>
        </x14:dataValidation>
        <x14:dataValidation type="list" allowBlank="1" showInputMessage="1" showErrorMessage="1" xr:uid="{00000000-0002-0000-0300-0000311E0000}">
          <x14:formula1>
            <xm:f>項目!A4:$PQK$589826</xm:f>
          </x14:formula1>
          <xm:sqref>PQT589829:PQT589852</xm:sqref>
        </x14:dataValidation>
        <x14:dataValidation type="list" allowBlank="1" showInputMessage="1" showErrorMessage="1" xr:uid="{00000000-0002-0000-0300-0000321E0000}">
          <x14:formula1>
            <xm:f>項目!A4:$QAG$589826</xm:f>
          </x14:formula1>
          <xm:sqref>QAP589829:QAP589852</xm:sqref>
        </x14:dataValidation>
        <x14:dataValidation type="list" allowBlank="1" showInputMessage="1" showErrorMessage="1" xr:uid="{00000000-0002-0000-0300-0000331E0000}">
          <x14:formula1>
            <xm:f>項目!A4:$QKC$589826</xm:f>
          </x14:formula1>
          <xm:sqref>QKL589829:QKL589852</xm:sqref>
        </x14:dataValidation>
        <x14:dataValidation type="list" allowBlank="1" showInputMessage="1" showErrorMessage="1" xr:uid="{00000000-0002-0000-0300-0000341E0000}">
          <x14:formula1>
            <xm:f>項目!A4:$QTY$589826</xm:f>
          </x14:formula1>
          <xm:sqref>QUH589829:QUH589852</xm:sqref>
        </x14:dataValidation>
        <x14:dataValidation type="list" allowBlank="1" showInputMessage="1" showErrorMessage="1" xr:uid="{00000000-0002-0000-0300-0000351E0000}">
          <x14:formula1>
            <xm:f>項目!A4:$RDU$589826</xm:f>
          </x14:formula1>
          <xm:sqref>RED589829:RED589852</xm:sqref>
        </x14:dataValidation>
        <x14:dataValidation type="list" allowBlank="1" showInputMessage="1" showErrorMessage="1" xr:uid="{00000000-0002-0000-0300-0000361E0000}">
          <x14:formula1>
            <xm:f>項目!A4:$RNQ$589826</xm:f>
          </x14:formula1>
          <xm:sqref>RNZ589829:RNZ589852</xm:sqref>
        </x14:dataValidation>
        <x14:dataValidation type="list" allowBlank="1" showInputMessage="1" showErrorMessage="1" xr:uid="{00000000-0002-0000-0300-0000371E0000}">
          <x14:formula1>
            <xm:f>項目!A4:$RXM$589826</xm:f>
          </x14:formula1>
          <xm:sqref>RXV589829:RXV589852</xm:sqref>
        </x14:dataValidation>
        <x14:dataValidation type="list" allowBlank="1" showInputMessage="1" showErrorMessage="1" xr:uid="{00000000-0002-0000-0300-0000381E0000}">
          <x14:formula1>
            <xm:f>項目!A4:$SHI$589826</xm:f>
          </x14:formula1>
          <xm:sqref>SHR589829:SHR589852</xm:sqref>
        </x14:dataValidation>
        <x14:dataValidation type="list" allowBlank="1" showInputMessage="1" showErrorMessage="1" xr:uid="{00000000-0002-0000-0300-0000391E0000}">
          <x14:formula1>
            <xm:f>項目!A4:$SRE$589826</xm:f>
          </x14:formula1>
          <xm:sqref>SRN589829:SRN589852</xm:sqref>
        </x14:dataValidation>
        <x14:dataValidation type="list" allowBlank="1" showInputMessage="1" showErrorMessage="1" xr:uid="{00000000-0002-0000-0300-00003A1E0000}">
          <x14:formula1>
            <xm:f>項目!A4:$TBA$589826</xm:f>
          </x14:formula1>
          <xm:sqref>TBJ589829:TBJ589852</xm:sqref>
        </x14:dataValidation>
        <x14:dataValidation type="list" allowBlank="1" showInputMessage="1" showErrorMessage="1" xr:uid="{00000000-0002-0000-0300-00003B1E0000}">
          <x14:formula1>
            <xm:f>項目!A4:$TKW$589826</xm:f>
          </x14:formula1>
          <xm:sqref>TLF589829:TLF589852</xm:sqref>
        </x14:dataValidation>
        <x14:dataValidation type="list" allowBlank="1" showInputMessage="1" showErrorMessage="1" xr:uid="{00000000-0002-0000-0300-00003C1E0000}">
          <x14:formula1>
            <xm:f>項目!A4:$TUS$589826</xm:f>
          </x14:formula1>
          <xm:sqref>TVB589829:TVB589852</xm:sqref>
        </x14:dataValidation>
        <x14:dataValidation type="list" allowBlank="1" showInputMessage="1" showErrorMessage="1" xr:uid="{00000000-0002-0000-0300-00003D1E0000}">
          <x14:formula1>
            <xm:f>項目!A4:$UEO$589826</xm:f>
          </x14:formula1>
          <xm:sqref>UEX589829:UEX589852</xm:sqref>
        </x14:dataValidation>
        <x14:dataValidation type="list" allowBlank="1" showInputMessage="1" showErrorMessage="1" xr:uid="{00000000-0002-0000-0300-00003E1E0000}">
          <x14:formula1>
            <xm:f>項目!A4:$UOK$589826</xm:f>
          </x14:formula1>
          <xm:sqref>UOT589829:UOT589852</xm:sqref>
        </x14:dataValidation>
        <x14:dataValidation type="list" allowBlank="1" showInputMessage="1" showErrorMessage="1" xr:uid="{00000000-0002-0000-0300-00003F1E0000}">
          <x14:formula1>
            <xm:f>項目!A4:$UYG$589826</xm:f>
          </x14:formula1>
          <xm:sqref>UYP589829:UYP589852</xm:sqref>
        </x14:dataValidation>
        <x14:dataValidation type="list" allowBlank="1" showInputMessage="1" showErrorMessage="1" xr:uid="{00000000-0002-0000-0300-0000401E0000}">
          <x14:formula1>
            <xm:f>項目!A4:$VIC$589826</xm:f>
          </x14:formula1>
          <xm:sqref>VIL589829:VIL589852</xm:sqref>
        </x14:dataValidation>
        <x14:dataValidation type="list" allowBlank="1" showInputMessage="1" showErrorMessage="1" xr:uid="{00000000-0002-0000-0300-0000411E0000}">
          <x14:formula1>
            <xm:f>項目!A4:$VRY$589826</xm:f>
          </x14:formula1>
          <xm:sqref>VSH589829:VSH589852</xm:sqref>
        </x14:dataValidation>
        <x14:dataValidation type="list" allowBlank="1" showInputMessage="1" showErrorMessage="1" xr:uid="{00000000-0002-0000-0300-0000421E0000}">
          <x14:formula1>
            <xm:f>項目!A4:$WBU$589826</xm:f>
          </x14:formula1>
          <xm:sqref>WCD589829:WCD589852</xm:sqref>
        </x14:dataValidation>
        <x14:dataValidation type="list" allowBlank="1" showInputMessage="1" showErrorMessage="1" xr:uid="{00000000-0002-0000-0300-0000431E0000}">
          <x14:formula1>
            <xm:f>項目!A4:$WLQ$589826</xm:f>
          </x14:formula1>
          <xm:sqref>WLZ589829:WLZ589852</xm:sqref>
        </x14:dataValidation>
        <x14:dataValidation type="list" allowBlank="1" showInputMessage="1" showErrorMessage="1" xr:uid="{00000000-0002-0000-0300-0000441E0000}">
          <x14:formula1>
            <xm:f>項目!A4:$WVM$589826</xm:f>
          </x14:formula1>
          <xm:sqref>WVV589829:WVV589852</xm:sqref>
        </x14:dataValidation>
        <x14:dataValidation type="list" allowBlank="1" showInputMessage="1" showErrorMessage="1" xr:uid="{00000000-0002-0000-0300-0000451E0000}">
          <x14:formula1>
            <xm:f>項目!A4:$JA$655362</xm:f>
          </x14:formula1>
          <xm:sqref>JJ655365:JJ655388</xm:sqref>
        </x14:dataValidation>
        <x14:dataValidation type="list" allowBlank="1" showInputMessage="1" showErrorMessage="1" xr:uid="{00000000-0002-0000-0300-0000461E0000}">
          <x14:formula1>
            <xm:f>項目!A4:$SW$655362</xm:f>
          </x14:formula1>
          <xm:sqref>TF655365:TF655388</xm:sqref>
        </x14:dataValidation>
        <x14:dataValidation type="list" allowBlank="1" showInputMessage="1" showErrorMessage="1" xr:uid="{00000000-0002-0000-0300-0000471E0000}">
          <x14:formula1>
            <xm:f>項目!A4:$ACS$655362</xm:f>
          </x14:formula1>
          <xm:sqref>ADB655365:ADB655388</xm:sqref>
        </x14:dataValidation>
        <x14:dataValidation type="list" allowBlank="1" showInputMessage="1" showErrorMessage="1" xr:uid="{00000000-0002-0000-0300-0000481E0000}">
          <x14:formula1>
            <xm:f>項目!A4:$AMO$655362</xm:f>
          </x14:formula1>
          <xm:sqref>AMX655365:AMX655388</xm:sqref>
        </x14:dataValidation>
        <x14:dataValidation type="list" allowBlank="1" showInputMessage="1" showErrorMessage="1" xr:uid="{00000000-0002-0000-0300-0000491E0000}">
          <x14:formula1>
            <xm:f>項目!A4:$AWK$655362</xm:f>
          </x14:formula1>
          <xm:sqref>AWT655365:AWT655388</xm:sqref>
        </x14:dataValidation>
        <x14:dataValidation type="list" allowBlank="1" showInputMessage="1" showErrorMessage="1" xr:uid="{00000000-0002-0000-0300-00004A1E0000}">
          <x14:formula1>
            <xm:f>項目!A4:$BGG$655362</xm:f>
          </x14:formula1>
          <xm:sqref>BGP655365:BGP655388</xm:sqref>
        </x14:dataValidation>
        <x14:dataValidation type="list" allowBlank="1" showInputMessage="1" showErrorMessage="1" xr:uid="{00000000-0002-0000-0300-00004B1E0000}">
          <x14:formula1>
            <xm:f>項目!A4:$BQC$655362</xm:f>
          </x14:formula1>
          <xm:sqref>BQL655365:BQL655388</xm:sqref>
        </x14:dataValidation>
        <x14:dataValidation type="list" allowBlank="1" showInputMessage="1" showErrorMessage="1" xr:uid="{00000000-0002-0000-0300-00004C1E0000}">
          <x14:formula1>
            <xm:f>項目!A4:$BZY$655362</xm:f>
          </x14:formula1>
          <xm:sqref>CAH655365:CAH655388</xm:sqref>
        </x14:dataValidation>
        <x14:dataValidation type="list" allowBlank="1" showInputMessage="1" showErrorMessage="1" xr:uid="{00000000-0002-0000-0300-00004D1E0000}">
          <x14:formula1>
            <xm:f>項目!A4:$CJU$655362</xm:f>
          </x14:formula1>
          <xm:sqref>CKD655365:CKD655388</xm:sqref>
        </x14:dataValidation>
        <x14:dataValidation type="list" allowBlank="1" showInputMessage="1" showErrorMessage="1" xr:uid="{00000000-0002-0000-0300-00004E1E0000}">
          <x14:formula1>
            <xm:f>項目!A4:$CTQ$655362</xm:f>
          </x14:formula1>
          <xm:sqref>CTZ655365:CTZ655388</xm:sqref>
        </x14:dataValidation>
        <x14:dataValidation type="list" allowBlank="1" showInputMessage="1" showErrorMessage="1" xr:uid="{00000000-0002-0000-0300-00004F1E0000}">
          <x14:formula1>
            <xm:f>項目!A4:$DDM$655362</xm:f>
          </x14:formula1>
          <xm:sqref>DDV655365:DDV655388</xm:sqref>
        </x14:dataValidation>
        <x14:dataValidation type="list" allowBlank="1" showInputMessage="1" showErrorMessage="1" xr:uid="{00000000-0002-0000-0300-0000501E0000}">
          <x14:formula1>
            <xm:f>項目!A4:$DNI$655362</xm:f>
          </x14:formula1>
          <xm:sqref>DNR655365:DNR655388</xm:sqref>
        </x14:dataValidation>
        <x14:dataValidation type="list" allowBlank="1" showInputMessage="1" showErrorMessage="1" xr:uid="{00000000-0002-0000-0300-0000511E0000}">
          <x14:formula1>
            <xm:f>項目!A4:$DXE$655362</xm:f>
          </x14:formula1>
          <xm:sqref>DXN655365:DXN655388</xm:sqref>
        </x14:dataValidation>
        <x14:dataValidation type="list" allowBlank="1" showInputMessage="1" showErrorMessage="1" xr:uid="{00000000-0002-0000-0300-0000521E0000}">
          <x14:formula1>
            <xm:f>項目!A4:$EHA$655362</xm:f>
          </x14:formula1>
          <xm:sqref>EHJ655365:EHJ655388</xm:sqref>
        </x14:dataValidation>
        <x14:dataValidation type="list" allowBlank="1" showInputMessage="1" showErrorMessage="1" xr:uid="{00000000-0002-0000-0300-0000531E0000}">
          <x14:formula1>
            <xm:f>項目!A4:$EQW$655362</xm:f>
          </x14:formula1>
          <xm:sqref>ERF655365:ERF655388</xm:sqref>
        </x14:dataValidation>
        <x14:dataValidation type="list" allowBlank="1" showInputMessage="1" showErrorMessage="1" xr:uid="{00000000-0002-0000-0300-0000541E0000}">
          <x14:formula1>
            <xm:f>項目!A4:$FAS$655362</xm:f>
          </x14:formula1>
          <xm:sqref>FBB655365:FBB655388</xm:sqref>
        </x14:dataValidation>
        <x14:dataValidation type="list" allowBlank="1" showInputMessage="1" showErrorMessage="1" xr:uid="{00000000-0002-0000-0300-0000551E0000}">
          <x14:formula1>
            <xm:f>項目!A4:$FKO$655362</xm:f>
          </x14:formula1>
          <xm:sqref>FKX655365:FKX655388</xm:sqref>
        </x14:dataValidation>
        <x14:dataValidation type="list" allowBlank="1" showInputMessage="1" showErrorMessage="1" xr:uid="{00000000-0002-0000-0300-0000561E0000}">
          <x14:formula1>
            <xm:f>項目!A4:$FUK$655362</xm:f>
          </x14:formula1>
          <xm:sqref>FUT655365:FUT655388</xm:sqref>
        </x14:dataValidation>
        <x14:dataValidation type="list" allowBlank="1" showInputMessage="1" showErrorMessage="1" xr:uid="{00000000-0002-0000-0300-0000571E0000}">
          <x14:formula1>
            <xm:f>項目!A4:$GEG$655362</xm:f>
          </x14:formula1>
          <xm:sqref>GEP655365:GEP655388</xm:sqref>
        </x14:dataValidation>
        <x14:dataValidation type="list" allowBlank="1" showInputMessage="1" showErrorMessage="1" xr:uid="{00000000-0002-0000-0300-0000581E0000}">
          <x14:formula1>
            <xm:f>項目!A4:$GOC$655362</xm:f>
          </x14:formula1>
          <xm:sqref>GOL655365:GOL655388</xm:sqref>
        </x14:dataValidation>
        <x14:dataValidation type="list" allowBlank="1" showInputMessage="1" showErrorMessage="1" xr:uid="{00000000-0002-0000-0300-0000591E0000}">
          <x14:formula1>
            <xm:f>項目!A4:$GXY$655362</xm:f>
          </x14:formula1>
          <xm:sqref>GYH655365:GYH655388</xm:sqref>
        </x14:dataValidation>
        <x14:dataValidation type="list" allowBlank="1" showInputMessage="1" showErrorMessage="1" xr:uid="{00000000-0002-0000-0300-00005A1E0000}">
          <x14:formula1>
            <xm:f>項目!A4:$HHU$655362</xm:f>
          </x14:formula1>
          <xm:sqref>HID655365:HID655388</xm:sqref>
        </x14:dataValidation>
        <x14:dataValidation type="list" allowBlank="1" showInputMessage="1" showErrorMessage="1" xr:uid="{00000000-0002-0000-0300-00005B1E0000}">
          <x14:formula1>
            <xm:f>項目!A4:$HRQ$655362</xm:f>
          </x14:formula1>
          <xm:sqref>HRZ655365:HRZ655388</xm:sqref>
        </x14:dataValidation>
        <x14:dataValidation type="list" allowBlank="1" showInputMessage="1" showErrorMessage="1" xr:uid="{00000000-0002-0000-0300-00005C1E0000}">
          <x14:formula1>
            <xm:f>項目!A4:$IBM$655362</xm:f>
          </x14:formula1>
          <xm:sqref>IBV655365:IBV655388</xm:sqref>
        </x14:dataValidation>
        <x14:dataValidation type="list" allowBlank="1" showInputMessage="1" showErrorMessage="1" xr:uid="{00000000-0002-0000-0300-00005D1E0000}">
          <x14:formula1>
            <xm:f>項目!A4:$ILI$655362</xm:f>
          </x14:formula1>
          <xm:sqref>ILR655365:ILR655388</xm:sqref>
        </x14:dataValidation>
        <x14:dataValidation type="list" allowBlank="1" showInputMessage="1" showErrorMessage="1" xr:uid="{00000000-0002-0000-0300-00005E1E0000}">
          <x14:formula1>
            <xm:f>項目!A4:$IVE$655362</xm:f>
          </x14:formula1>
          <xm:sqref>IVN655365:IVN655388</xm:sqref>
        </x14:dataValidation>
        <x14:dataValidation type="list" allowBlank="1" showInputMessage="1" showErrorMessage="1" xr:uid="{00000000-0002-0000-0300-00005F1E0000}">
          <x14:formula1>
            <xm:f>項目!A4:$JFA$655362</xm:f>
          </x14:formula1>
          <xm:sqref>JFJ655365:JFJ655388</xm:sqref>
        </x14:dataValidation>
        <x14:dataValidation type="list" allowBlank="1" showInputMessage="1" showErrorMessage="1" xr:uid="{00000000-0002-0000-0300-0000601E0000}">
          <x14:formula1>
            <xm:f>項目!A4:$JOW$655362</xm:f>
          </x14:formula1>
          <xm:sqref>JPF655365:JPF655388</xm:sqref>
        </x14:dataValidation>
        <x14:dataValidation type="list" allowBlank="1" showInputMessage="1" showErrorMessage="1" xr:uid="{00000000-0002-0000-0300-0000611E0000}">
          <x14:formula1>
            <xm:f>項目!A4:$JYS$655362</xm:f>
          </x14:formula1>
          <xm:sqref>JZB655365:JZB655388</xm:sqref>
        </x14:dataValidation>
        <x14:dataValidation type="list" allowBlank="1" showInputMessage="1" showErrorMessage="1" xr:uid="{00000000-0002-0000-0300-0000621E0000}">
          <x14:formula1>
            <xm:f>項目!A4:$KIO$655362</xm:f>
          </x14:formula1>
          <xm:sqref>KIX655365:KIX655388</xm:sqref>
        </x14:dataValidation>
        <x14:dataValidation type="list" allowBlank="1" showInputMessage="1" showErrorMessage="1" xr:uid="{00000000-0002-0000-0300-0000631E0000}">
          <x14:formula1>
            <xm:f>項目!A4:$KSK$655362</xm:f>
          </x14:formula1>
          <xm:sqref>KST655365:KST655388</xm:sqref>
        </x14:dataValidation>
        <x14:dataValidation type="list" allowBlank="1" showInputMessage="1" showErrorMessage="1" xr:uid="{00000000-0002-0000-0300-0000641E0000}">
          <x14:formula1>
            <xm:f>項目!A4:$LCG$655362</xm:f>
          </x14:formula1>
          <xm:sqref>LCP655365:LCP655388</xm:sqref>
        </x14:dataValidation>
        <x14:dataValidation type="list" allowBlank="1" showInputMessage="1" showErrorMessage="1" xr:uid="{00000000-0002-0000-0300-0000651E0000}">
          <x14:formula1>
            <xm:f>項目!A4:$LMC$655362</xm:f>
          </x14:formula1>
          <xm:sqref>LML655365:LML655388</xm:sqref>
        </x14:dataValidation>
        <x14:dataValidation type="list" allowBlank="1" showInputMessage="1" showErrorMessage="1" xr:uid="{00000000-0002-0000-0300-0000661E0000}">
          <x14:formula1>
            <xm:f>項目!A4:$LVY$655362</xm:f>
          </x14:formula1>
          <xm:sqref>LWH655365:LWH655388</xm:sqref>
        </x14:dataValidation>
        <x14:dataValidation type="list" allowBlank="1" showInputMessage="1" showErrorMessage="1" xr:uid="{00000000-0002-0000-0300-0000671E0000}">
          <x14:formula1>
            <xm:f>項目!A4:$MFU$655362</xm:f>
          </x14:formula1>
          <xm:sqref>MGD655365:MGD655388</xm:sqref>
        </x14:dataValidation>
        <x14:dataValidation type="list" allowBlank="1" showInputMessage="1" showErrorMessage="1" xr:uid="{00000000-0002-0000-0300-0000681E0000}">
          <x14:formula1>
            <xm:f>項目!A4:$MPQ$655362</xm:f>
          </x14:formula1>
          <xm:sqref>MPZ655365:MPZ655388</xm:sqref>
        </x14:dataValidation>
        <x14:dataValidation type="list" allowBlank="1" showInputMessage="1" showErrorMessage="1" xr:uid="{00000000-0002-0000-0300-0000691E0000}">
          <x14:formula1>
            <xm:f>項目!A4:$MZM$655362</xm:f>
          </x14:formula1>
          <xm:sqref>MZV655365:MZV655388</xm:sqref>
        </x14:dataValidation>
        <x14:dataValidation type="list" allowBlank="1" showInputMessage="1" showErrorMessage="1" xr:uid="{00000000-0002-0000-0300-00006A1E0000}">
          <x14:formula1>
            <xm:f>項目!A4:$NJI$655362</xm:f>
          </x14:formula1>
          <xm:sqref>NJR655365:NJR655388</xm:sqref>
        </x14:dataValidation>
        <x14:dataValidation type="list" allowBlank="1" showInputMessage="1" showErrorMessage="1" xr:uid="{00000000-0002-0000-0300-00006B1E0000}">
          <x14:formula1>
            <xm:f>項目!A4:$NTE$655362</xm:f>
          </x14:formula1>
          <xm:sqref>NTN655365:NTN655388</xm:sqref>
        </x14:dataValidation>
        <x14:dataValidation type="list" allowBlank="1" showInputMessage="1" showErrorMessage="1" xr:uid="{00000000-0002-0000-0300-00006C1E0000}">
          <x14:formula1>
            <xm:f>項目!A4:$ODA$655362</xm:f>
          </x14:formula1>
          <xm:sqref>ODJ655365:ODJ655388</xm:sqref>
        </x14:dataValidation>
        <x14:dataValidation type="list" allowBlank="1" showInputMessage="1" showErrorMessage="1" xr:uid="{00000000-0002-0000-0300-00006D1E0000}">
          <x14:formula1>
            <xm:f>項目!A4:$OMW$655362</xm:f>
          </x14:formula1>
          <xm:sqref>ONF655365:ONF655388</xm:sqref>
        </x14:dataValidation>
        <x14:dataValidation type="list" allowBlank="1" showInputMessage="1" showErrorMessage="1" xr:uid="{00000000-0002-0000-0300-00006E1E0000}">
          <x14:formula1>
            <xm:f>項目!A4:$OWS$655362</xm:f>
          </x14:formula1>
          <xm:sqref>OXB655365:OXB655388</xm:sqref>
        </x14:dataValidation>
        <x14:dataValidation type="list" allowBlank="1" showInputMessage="1" showErrorMessage="1" xr:uid="{00000000-0002-0000-0300-00006F1E0000}">
          <x14:formula1>
            <xm:f>項目!A4:$PGO$655362</xm:f>
          </x14:formula1>
          <xm:sqref>PGX655365:PGX655388</xm:sqref>
        </x14:dataValidation>
        <x14:dataValidation type="list" allowBlank="1" showInputMessage="1" showErrorMessage="1" xr:uid="{00000000-0002-0000-0300-0000701E0000}">
          <x14:formula1>
            <xm:f>項目!A4:$PQK$655362</xm:f>
          </x14:formula1>
          <xm:sqref>PQT655365:PQT655388</xm:sqref>
        </x14:dataValidation>
        <x14:dataValidation type="list" allowBlank="1" showInputMessage="1" showErrorMessage="1" xr:uid="{00000000-0002-0000-0300-0000711E0000}">
          <x14:formula1>
            <xm:f>項目!A4:$QAG$655362</xm:f>
          </x14:formula1>
          <xm:sqref>QAP655365:QAP655388</xm:sqref>
        </x14:dataValidation>
        <x14:dataValidation type="list" allowBlank="1" showInputMessage="1" showErrorMessage="1" xr:uid="{00000000-0002-0000-0300-0000721E0000}">
          <x14:formula1>
            <xm:f>項目!A4:$QKC$655362</xm:f>
          </x14:formula1>
          <xm:sqref>QKL655365:QKL655388</xm:sqref>
        </x14:dataValidation>
        <x14:dataValidation type="list" allowBlank="1" showInputMessage="1" showErrorMessage="1" xr:uid="{00000000-0002-0000-0300-0000731E0000}">
          <x14:formula1>
            <xm:f>項目!A4:$QTY$655362</xm:f>
          </x14:formula1>
          <xm:sqref>QUH655365:QUH655388</xm:sqref>
        </x14:dataValidation>
        <x14:dataValidation type="list" allowBlank="1" showInputMessage="1" showErrorMessage="1" xr:uid="{00000000-0002-0000-0300-0000741E0000}">
          <x14:formula1>
            <xm:f>項目!A4:$RDU$655362</xm:f>
          </x14:formula1>
          <xm:sqref>RED655365:RED655388</xm:sqref>
        </x14:dataValidation>
        <x14:dataValidation type="list" allowBlank="1" showInputMessage="1" showErrorMessage="1" xr:uid="{00000000-0002-0000-0300-0000751E0000}">
          <x14:formula1>
            <xm:f>項目!A4:$RNQ$655362</xm:f>
          </x14:formula1>
          <xm:sqref>RNZ655365:RNZ655388</xm:sqref>
        </x14:dataValidation>
        <x14:dataValidation type="list" allowBlank="1" showInputMessage="1" showErrorMessage="1" xr:uid="{00000000-0002-0000-0300-0000761E0000}">
          <x14:formula1>
            <xm:f>項目!A4:$RXM$655362</xm:f>
          </x14:formula1>
          <xm:sqref>RXV655365:RXV655388</xm:sqref>
        </x14:dataValidation>
        <x14:dataValidation type="list" allowBlank="1" showInputMessage="1" showErrorMessage="1" xr:uid="{00000000-0002-0000-0300-0000771E0000}">
          <x14:formula1>
            <xm:f>項目!A4:$SHI$655362</xm:f>
          </x14:formula1>
          <xm:sqref>SHR655365:SHR655388</xm:sqref>
        </x14:dataValidation>
        <x14:dataValidation type="list" allowBlank="1" showInputMessage="1" showErrorMessage="1" xr:uid="{00000000-0002-0000-0300-0000781E0000}">
          <x14:formula1>
            <xm:f>項目!A4:$SRE$655362</xm:f>
          </x14:formula1>
          <xm:sqref>SRN655365:SRN655388</xm:sqref>
        </x14:dataValidation>
        <x14:dataValidation type="list" allowBlank="1" showInputMessage="1" showErrorMessage="1" xr:uid="{00000000-0002-0000-0300-0000791E0000}">
          <x14:formula1>
            <xm:f>項目!A4:$TBA$655362</xm:f>
          </x14:formula1>
          <xm:sqref>TBJ655365:TBJ655388</xm:sqref>
        </x14:dataValidation>
        <x14:dataValidation type="list" allowBlank="1" showInputMessage="1" showErrorMessage="1" xr:uid="{00000000-0002-0000-0300-00007A1E0000}">
          <x14:formula1>
            <xm:f>項目!A4:$TKW$655362</xm:f>
          </x14:formula1>
          <xm:sqref>TLF655365:TLF655388</xm:sqref>
        </x14:dataValidation>
        <x14:dataValidation type="list" allowBlank="1" showInputMessage="1" showErrorMessage="1" xr:uid="{00000000-0002-0000-0300-00007B1E0000}">
          <x14:formula1>
            <xm:f>項目!A4:$TUS$655362</xm:f>
          </x14:formula1>
          <xm:sqref>TVB655365:TVB655388</xm:sqref>
        </x14:dataValidation>
        <x14:dataValidation type="list" allowBlank="1" showInputMessage="1" showErrorMessage="1" xr:uid="{00000000-0002-0000-0300-00007C1E0000}">
          <x14:formula1>
            <xm:f>項目!A4:$UEO$655362</xm:f>
          </x14:formula1>
          <xm:sqref>UEX655365:UEX655388</xm:sqref>
        </x14:dataValidation>
        <x14:dataValidation type="list" allowBlank="1" showInputMessage="1" showErrorMessage="1" xr:uid="{00000000-0002-0000-0300-00007D1E0000}">
          <x14:formula1>
            <xm:f>項目!A4:$UOK$655362</xm:f>
          </x14:formula1>
          <xm:sqref>UOT655365:UOT655388</xm:sqref>
        </x14:dataValidation>
        <x14:dataValidation type="list" allowBlank="1" showInputMessage="1" showErrorMessage="1" xr:uid="{00000000-0002-0000-0300-00007E1E0000}">
          <x14:formula1>
            <xm:f>項目!A4:$UYG$655362</xm:f>
          </x14:formula1>
          <xm:sqref>UYP655365:UYP655388</xm:sqref>
        </x14:dataValidation>
        <x14:dataValidation type="list" allowBlank="1" showInputMessage="1" showErrorMessage="1" xr:uid="{00000000-0002-0000-0300-00007F1E0000}">
          <x14:formula1>
            <xm:f>項目!A4:$VIC$655362</xm:f>
          </x14:formula1>
          <xm:sqref>VIL655365:VIL655388</xm:sqref>
        </x14:dataValidation>
        <x14:dataValidation type="list" allowBlank="1" showInputMessage="1" showErrorMessage="1" xr:uid="{00000000-0002-0000-0300-0000801E0000}">
          <x14:formula1>
            <xm:f>項目!A4:$VRY$655362</xm:f>
          </x14:formula1>
          <xm:sqref>VSH655365:VSH655388</xm:sqref>
        </x14:dataValidation>
        <x14:dataValidation type="list" allowBlank="1" showInputMessage="1" showErrorMessage="1" xr:uid="{00000000-0002-0000-0300-0000811E0000}">
          <x14:formula1>
            <xm:f>項目!A4:$WBU$655362</xm:f>
          </x14:formula1>
          <xm:sqref>WCD655365:WCD655388</xm:sqref>
        </x14:dataValidation>
        <x14:dataValidation type="list" allowBlank="1" showInputMessage="1" showErrorMessage="1" xr:uid="{00000000-0002-0000-0300-0000821E0000}">
          <x14:formula1>
            <xm:f>項目!A4:$WLQ$655362</xm:f>
          </x14:formula1>
          <xm:sqref>WLZ655365:WLZ655388</xm:sqref>
        </x14:dataValidation>
        <x14:dataValidation type="list" allowBlank="1" showInputMessage="1" showErrorMessage="1" xr:uid="{00000000-0002-0000-0300-0000831E0000}">
          <x14:formula1>
            <xm:f>項目!A4:$WVM$655362</xm:f>
          </x14:formula1>
          <xm:sqref>WVV655365:WVV655388</xm:sqref>
        </x14:dataValidation>
        <x14:dataValidation type="list" allowBlank="1" showInputMessage="1" showErrorMessage="1" xr:uid="{00000000-0002-0000-0300-0000841E0000}">
          <x14:formula1>
            <xm:f>項目!A4:$JA$720898</xm:f>
          </x14:formula1>
          <xm:sqref>JJ720901:JJ720924</xm:sqref>
        </x14:dataValidation>
        <x14:dataValidation type="list" allowBlank="1" showInputMessage="1" showErrorMessage="1" xr:uid="{00000000-0002-0000-0300-0000851E0000}">
          <x14:formula1>
            <xm:f>項目!A4:$SW$720898</xm:f>
          </x14:formula1>
          <xm:sqref>TF720901:TF720924</xm:sqref>
        </x14:dataValidation>
        <x14:dataValidation type="list" allowBlank="1" showInputMessage="1" showErrorMessage="1" xr:uid="{00000000-0002-0000-0300-0000861E0000}">
          <x14:formula1>
            <xm:f>項目!A4:$ACS$720898</xm:f>
          </x14:formula1>
          <xm:sqref>ADB720901:ADB720924</xm:sqref>
        </x14:dataValidation>
        <x14:dataValidation type="list" allowBlank="1" showInputMessage="1" showErrorMessage="1" xr:uid="{00000000-0002-0000-0300-0000871E0000}">
          <x14:formula1>
            <xm:f>項目!A4:$AMO$720898</xm:f>
          </x14:formula1>
          <xm:sqref>AMX720901:AMX720924</xm:sqref>
        </x14:dataValidation>
        <x14:dataValidation type="list" allowBlank="1" showInputMessage="1" showErrorMessage="1" xr:uid="{00000000-0002-0000-0300-0000881E0000}">
          <x14:formula1>
            <xm:f>項目!A4:$AWK$720898</xm:f>
          </x14:formula1>
          <xm:sqref>AWT720901:AWT720924</xm:sqref>
        </x14:dataValidation>
        <x14:dataValidation type="list" allowBlank="1" showInputMessage="1" showErrorMessage="1" xr:uid="{00000000-0002-0000-0300-0000891E0000}">
          <x14:formula1>
            <xm:f>項目!A4:$BGG$720898</xm:f>
          </x14:formula1>
          <xm:sqref>BGP720901:BGP720924</xm:sqref>
        </x14:dataValidation>
        <x14:dataValidation type="list" allowBlank="1" showInputMessage="1" showErrorMessage="1" xr:uid="{00000000-0002-0000-0300-00008A1E0000}">
          <x14:formula1>
            <xm:f>項目!A4:$BQC$720898</xm:f>
          </x14:formula1>
          <xm:sqref>BQL720901:BQL720924</xm:sqref>
        </x14:dataValidation>
        <x14:dataValidation type="list" allowBlank="1" showInputMessage="1" showErrorMessage="1" xr:uid="{00000000-0002-0000-0300-00008B1E0000}">
          <x14:formula1>
            <xm:f>項目!A4:$BZY$720898</xm:f>
          </x14:formula1>
          <xm:sqref>CAH720901:CAH720924</xm:sqref>
        </x14:dataValidation>
        <x14:dataValidation type="list" allowBlank="1" showInputMessage="1" showErrorMessage="1" xr:uid="{00000000-0002-0000-0300-00008C1E0000}">
          <x14:formula1>
            <xm:f>項目!A4:$CJU$720898</xm:f>
          </x14:formula1>
          <xm:sqref>CKD720901:CKD720924</xm:sqref>
        </x14:dataValidation>
        <x14:dataValidation type="list" allowBlank="1" showInputMessage="1" showErrorMessage="1" xr:uid="{00000000-0002-0000-0300-00008D1E0000}">
          <x14:formula1>
            <xm:f>項目!A4:$CTQ$720898</xm:f>
          </x14:formula1>
          <xm:sqref>CTZ720901:CTZ720924</xm:sqref>
        </x14:dataValidation>
        <x14:dataValidation type="list" allowBlank="1" showInputMessage="1" showErrorMessage="1" xr:uid="{00000000-0002-0000-0300-00008E1E0000}">
          <x14:formula1>
            <xm:f>項目!A4:$DDM$720898</xm:f>
          </x14:formula1>
          <xm:sqref>DDV720901:DDV720924</xm:sqref>
        </x14:dataValidation>
        <x14:dataValidation type="list" allowBlank="1" showInputMessage="1" showErrorMessage="1" xr:uid="{00000000-0002-0000-0300-00008F1E0000}">
          <x14:formula1>
            <xm:f>項目!A4:$DNI$720898</xm:f>
          </x14:formula1>
          <xm:sqref>DNR720901:DNR720924</xm:sqref>
        </x14:dataValidation>
        <x14:dataValidation type="list" allowBlank="1" showInputMessage="1" showErrorMessage="1" xr:uid="{00000000-0002-0000-0300-0000901E0000}">
          <x14:formula1>
            <xm:f>項目!A4:$DXE$720898</xm:f>
          </x14:formula1>
          <xm:sqref>DXN720901:DXN720924</xm:sqref>
        </x14:dataValidation>
        <x14:dataValidation type="list" allowBlank="1" showInputMessage="1" showErrorMessage="1" xr:uid="{00000000-0002-0000-0300-0000911E0000}">
          <x14:formula1>
            <xm:f>項目!A4:$EHA$720898</xm:f>
          </x14:formula1>
          <xm:sqref>EHJ720901:EHJ720924</xm:sqref>
        </x14:dataValidation>
        <x14:dataValidation type="list" allowBlank="1" showInputMessage="1" showErrorMessage="1" xr:uid="{00000000-0002-0000-0300-0000921E0000}">
          <x14:formula1>
            <xm:f>項目!A4:$EQW$720898</xm:f>
          </x14:formula1>
          <xm:sqref>ERF720901:ERF720924</xm:sqref>
        </x14:dataValidation>
        <x14:dataValidation type="list" allowBlank="1" showInputMessage="1" showErrorMessage="1" xr:uid="{00000000-0002-0000-0300-0000931E0000}">
          <x14:formula1>
            <xm:f>項目!A4:$FAS$720898</xm:f>
          </x14:formula1>
          <xm:sqref>FBB720901:FBB720924</xm:sqref>
        </x14:dataValidation>
        <x14:dataValidation type="list" allowBlank="1" showInputMessage="1" showErrorMessage="1" xr:uid="{00000000-0002-0000-0300-0000941E0000}">
          <x14:formula1>
            <xm:f>項目!A4:$FKO$720898</xm:f>
          </x14:formula1>
          <xm:sqref>FKX720901:FKX720924</xm:sqref>
        </x14:dataValidation>
        <x14:dataValidation type="list" allowBlank="1" showInputMessage="1" showErrorMessage="1" xr:uid="{00000000-0002-0000-0300-0000951E0000}">
          <x14:formula1>
            <xm:f>項目!A4:$FUK$720898</xm:f>
          </x14:formula1>
          <xm:sqref>FUT720901:FUT720924</xm:sqref>
        </x14:dataValidation>
        <x14:dataValidation type="list" allowBlank="1" showInputMessage="1" showErrorMessage="1" xr:uid="{00000000-0002-0000-0300-0000961E0000}">
          <x14:formula1>
            <xm:f>項目!A4:$GEG$720898</xm:f>
          </x14:formula1>
          <xm:sqref>GEP720901:GEP720924</xm:sqref>
        </x14:dataValidation>
        <x14:dataValidation type="list" allowBlank="1" showInputMessage="1" showErrorMessage="1" xr:uid="{00000000-0002-0000-0300-0000971E0000}">
          <x14:formula1>
            <xm:f>項目!A4:$GOC$720898</xm:f>
          </x14:formula1>
          <xm:sqref>GOL720901:GOL720924</xm:sqref>
        </x14:dataValidation>
        <x14:dataValidation type="list" allowBlank="1" showInputMessage="1" showErrorMessage="1" xr:uid="{00000000-0002-0000-0300-0000981E0000}">
          <x14:formula1>
            <xm:f>項目!A4:$GXY$720898</xm:f>
          </x14:formula1>
          <xm:sqref>GYH720901:GYH720924</xm:sqref>
        </x14:dataValidation>
        <x14:dataValidation type="list" allowBlank="1" showInputMessage="1" showErrorMessage="1" xr:uid="{00000000-0002-0000-0300-0000991E0000}">
          <x14:formula1>
            <xm:f>項目!A4:$HHU$720898</xm:f>
          </x14:formula1>
          <xm:sqref>HID720901:HID720924</xm:sqref>
        </x14:dataValidation>
        <x14:dataValidation type="list" allowBlank="1" showInputMessage="1" showErrorMessage="1" xr:uid="{00000000-0002-0000-0300-00009A1E0000}">
          <x14:formula1>
            <xm:f>項目!A4:$HRQ$720898</xm:f>
          </x14:formula1>
          <xm:sqref>HRZ720901:HRZ720924</xm:sqref>
        </x14:dataValidation>
        <x14:dataValidation type="list" allowBlank="1" showInputMessage="1" showErrorMessage="1" xr:uid="{00000000-0002-0000-0300-00009B1E0000}">
          <x14:formula1>
            <xm:f>項目!A4:$IBM$720898</xm:f>
          </x14:formula1>
          <xm:sqref>IBV720901:IBV720924</xm:sqref>
        </x14:dataValidation>
        <x14:dataValidation type="list" allowBlank="1" showInputMessage="1" showErrorMessage="1" xr:uid="{00000000-0002-0000-0300-00009C1E0000}">
          <x14:formula1>
            <xm:f>項目!A4:$ILI$720898</xm:f>
          </x14:formula1>
          <xm:sqref>ILR720901:ILR720924</xm:sqref>
        </x14:dataValidation>
        <x14:dataValidation type="list" allowBlank="1" showInputMessage="1" showErrorMessage="1" xr:uid="{00000000-0002-0000-0300-00009D1E0000}">
          <x14:formula1>
            <xm:f>項目!A4:$IVE$720898</xm:f>
          </x14:formula1>
          <xm:sqref>IVN720901:IVN720924</xm:sqref>
        </x14:dataValidation>
        <x14:dataValidation type="list" allowBlank="1" showInputMessage="1" showErrorMessage="1" xr:uid="{00000000-0002-0000-0300-00009E1E0000}">
          <x14:formula1>
            <xm:f>項目!A4:$JFA$720898</xm:f>
          </x14:formula1>
          <xm:sqref>JFJ720901:JFJ720924</xm:sqref>
        </x14:dataValidation>
        <x14:dataValidation type="list" allowBlank="1" showInputMessage="1" showErrorMessage="1" xr:uid="{00000000-0002-0000-0300-00009F1E0000}">
          <x14:formula1>
            <xm:f>項目!A4:$JOW$720898</xm:f>
          </x14:formula1>
          <xm:sqref>JPF720901:JPF720924</xm:sqref>
        </x14:dataValidation>
        <x14:dataValidation type="list" allowBlank="1" showInputMessage="1" showErrorMessage="1" xr:uid="{00000000-0002-0000-0300-0000A01E0000}">
          <x14:formula1>
            <xm:f>項目!A4:$JYS$720898</xm:f>
          </x14:formula1>
          <xm:sqref>JZB720901:JZB720924</xm:sqref>
        </x14:dataValidation>
        <x14:dataValidation type="list" allowBlank="1" showInputMessage="1" showErrorMessage="1" xr:uid="{00000000-0002-0000-0300-0000A11E0000}">
          <x14:formula1>
            <xm:f>項目!A4:$KIO$720898</xm:f>
          </x14:formula1>
          <xm:sqref>KIX720901:KIX720924</xm:sqref>
        </x14:dataValidation>
        <x14:dataValidation type="list" allowBlank="1" showInputMessage="1" showErrorMessage="1" xr:uid="{00000000-0002-0000-0300-0000A21E0000}">
          <x14:formula1>
            <xm:f>項目!A4:$KSK$720898</xm:f>
          </x14:formula1>
          <xm:sqref>KST720901:KST720924</xm:sqref>
        </x14:dataValidation>
        <x14:dataValidation type="list" allowBlank="1" showInputMessage="1" showErrorMessage="1" xr:uid="{00000000-0002-0000-0300-0000A31E0000}">
          <x14:formula1>
            <xm:f>項目!A4:$LCG$720898</xm:f>
          </x14:formula1>
          <xm:sqref>LCP720901:LCP720924</xm:sqref>
        </x14:dataValidation>
        <x14:dataValidation type="list" allowBlank="1" showInputMessage="1" showErrorMessage="1" xr:uid="{00000000-0002-0000-0300-0000A41E0000}">
          <x14:formula1>
            <xm:f>項目!A4:$LMC$720898</xm:f>
          </x14:formula1>
          <xm:sqref>LML720901:LML720924</xm:sqref>
        </x14:dataValidation>
        <x14:dataValidation type="list" allowBlank="1" showInputMessage="1" showErrorMessage="1" xr:uid="{00000000-0002-0000-0300-0000A51E0000}">
          <x14:formula1>
            <xm:f>項目!A4:$LVY$720898</xm:f>
          </x14:formula1>
          <xm:sqref>LWH720901:LWH720924</xm:sqref>
        </x14:dataValidation>
        <x14:dataValidation type="list" allowBlank="1" showInputMessage="1" showErrorMessage="1" xr:uid="{00000000-0002-0000-0300-0000A61E0000}">
          <x14:formula1>
            <xm:f>項目!A4:$MFU$720898</xm:f>
          </x14:formula1>
          <xm:sqref>MGD720901:MGD720924</xm:sqref>
        </x14:dataValidation>
        <x14:dataValidation type="list" allowBlank="1" showInputMessage="1" showErrorMessage="1" xr:uid="{00000000-0002-0000-0300-0000A71E0000}">
          <x14:formula1>
            <xm:f>項目!A4:$MPQ$720898</xm:f>
          </x14:formula1>
          <xm:sqref>MPZ720901:MPZ720924</xm:sqref>
        </x14:dataValidation>
        <x14:dataValidation type="list" allowBlank="1" showInputMessage="1" showErrorMessage="1" xr:uid="{00000000-0002-0000-0300-0000A81E0000}">
          <x14:formula1>
            <xm:f>項目!A4:$MZM$720898</xm:f>
          </x14:formula1>
          <xm:sqref>MZV720901:MZV720924</xm:sqref>
        </x14:dataValidation>
        <x14:dataValidation type="list" allowBlank="1" showInputMessage="1" showErrorMessage="1" xr:uid="{00000000-0002-0000-0300-0000A91E0000}">
          <x14:formula1>
            <xm:f>項目!A4:$NJI$720898</xm:f>
          </x14:formula1>
          <xm:sqref>NJR720901:NJR720924</xm:sqref>
        </x14:dataValidation>
        <x14:dataValidation type="list" allowBlank="1" showInputMessage="1" showErrorMessage="1" xr:uid="{00000000-0002-0000-0300-0000AA1E0000}">
          <x14:formula1>
            <xm:f>項目!A4:$NTE$720898</xm:f>
          </x14:formula1>
          <xm:sqref>NTN720901:NTN720924</xm:sqref>
        </x14:dataValidation>
        <x14:dataValidation type="list" allowBlank="1" showInputMessage="1" showErrorMessage="1" xr:uid="{00000000-0002-0000-0300-0000AB1E0000}">
          <x14:formula1>
            <xm:f>項目!A4:$ODA$720898</xm:f>
          </x14:formula1>
          <xm:sqref>ODJ720901:ODJ720924</xm:sqref>
        </x14:dataValidation>
        <x14:dataValidation type="list" allowBlank="1" showInputMessage="1" showErrorMessage="1" xr:uid="{00000000-0002-0000-0300-0000AC1E0000}">
          <x14:formula1>
            <xm:f>項目!A4:$OMW$720898</xm:f>
          </x14:formula1>
          <xm:sqref>ONF720901:ONF720924</xm:sqref>
        </x14:dataValidation>
        <x14:dataValidation type="list" allowBlank="1" showInputMessage="1" showErrorMessage="1" xr:uid="{00000000-0002-0000-0300-0000AD1E0000}">
          <x14:formula1>
            <xm:f>項目!A4:$OWS$720898</xm:f>
          </x14:formula1>
          <xm:sqref>OXB720901:OXB720924</xm:sqref>
        </x14:dataValidation>
        <x14:dataValidation type="list" allowBlank="1" showInputMessage="1" showErrorMessage="1" xr:uid="{00000000-0002-0000-0300-0000AE1E0000}">
          <x14:formula1>
            <xm:f>項目!A4:$PGO$720898</xm:f>
          </x14:formula1>
          <xm:sqref>PGX720901:PGX720924</xm:sqref>
        </x14:dataValidation>
        <x14:dataValidation type="list" allowBlank="1" showInputMessage="1" showErrorMessage="1" xr:uid="{00000000-0002-0000-0300-0000AF1E0000}">
          <x14:formula1>
            <xm:f>項目!A4:$PQK$720898</xm:f>
          </x14:formula1>
          <xm:sqref>PQT720901:PQT720924</xm:sqref>
        </x14:dataValidation>
        <x14:dataValidation type="list" allowBlank="1" showInputMessage="1" showErrorMessage="1" xr:uid="{00000000-0002-0000-0300-0000B01E0000}">
          <x14:formula1>
            <xm:f>項目!A4:$QAG$720898</xm:f>
          </x14:formula1>
          <xm:sqref>QAP720901:QAP720924</xm:sqref>
        </x14:dataValidation>
        <x14:dataValidation type="list" allowBlank="1" showInputMessage="1" showErrorMessage="1" xr:uid="{00000000-0002-0000-0300-0000B11E0000}">
          <x14:formula1>
            <xm:f>項目!A4:$QKC$720898</xm:f>
          </x14:formula1>
          <xm:sqref>QKL720901:QKL720924</xm:sqref>
        </x14:dataValidation>
        <x14:dataValidation type="list" allowBlank="1" showInputMessage="1" showErrorMessage="1" xr:uid="{00000000-0002-0000-0300-0000B21E0000}">
          <x14:formula1>
            <xm:f>項目!A4:$QTY$720898</xm:f>
          </x14:formula1>
          <xm:sqref>QUH720901:QUH720924</xm:sqref>
        </x14:dataValidation>
        <x14:dataValidation type="list" allowBlank="1" showInputMessage="1" showErrorMessage="1" xr:uid="{00000000-0002-0000-0300-0000B31E0000}">
          <x14:formula1>
            <xm:f>項目!A4:$RDU$720898</xm:f>
          </x14:formula1>
          <xm:sqref>RED720901:RED720924</xm:sqref>
        </x14:dataValidation>
        <x14:dataValidation type="list" allowBlank="1" showInputMessage="1" showErrorMessage="1" xr:uid="{00000000-0002-0000-0300-0000B41E0000}">
          <x14:formula1>
            <xm:f>項目!A4:$RNQ$720898</xm:f>
          </x14:formula1>
          <xm:sqref>RNZ720901:RNZ720924</xm:sqref>
        </x14:dataValidation>
        <x14:dataValidation type="list" allowBlank="1" showInputMessage="1" showErrorMessage="1" xr:uid="{00000000-0002-0000-0300-0000B51E0000}">
          <x14:formula1>
            <xm:f>項目!A4:$RXM$720898</xm:f>
          </x14:formula1>
          <xm:sqref>RXV720901:RXV720924</xm:sqref>
        </x14:dataValidation>
        <x14:dataValidation type="list" allowBlank="1" showInputMessage="1" showErrorMessage="1" xr:uid="{00000000-0002-0000-0300-0000B61E0000}">
          <x14:formula1>
            <xm:f>項目!A4:$SHI$720898</xm:f>
          </x14:formula1>
          <xm:sqref>SHR720901:SHR720924</xm:sqref>
        </x14:dataValidation>
        <x14:dataValidation type="list" allowBlank="1" showInputMessage="1" showErrorMessage="1" xr:uid="{00000000-0002-0000-0300-0000B71E0000}">
          <x14:formula1>
            <xm:f>項目!A4:$SRE$720898</xm:f>
          </x14:formula1>
          <xm:sqref>SRN720901:SRN720924</xm:sqref>
        </x14:dataValidation>
        <x14:dataValidation type="list" allowBlank="1" showInputMessage="1" showErrorMessage="1" xr:uid="{00000000-0002-0000-0300-0000B81E0000}">
          <x14:formula1>
            <xm:f>項目!A4:$TBA$720898</xm:f>
          </x14:formula1>
          <xm:sqref>TBJ720901:TBJ720924</xm:sqref>
        </x14:dataValidation>
        <x14:dataValidation type="list" allowBlank="1" showInputMessage="1" showErrorMessage="1" xr:uid="{00000000-0002-0000-0300-0000B91E0000}">
          <x14:formula1>
            <xm:f>項目!A4:$TKW$720898</xm:f>
          </x14:formula1>
          <xm:sqref>TLF720901:TLF720924</xm:sqref>
        </x14:dataValidation>
        <x14:dataValidation type="list" allowBlank="1" showInputMessage="1" showErrorMessage="1" xr:uid="{00000000-0002-0000-0300-0000BA1E0000}">
          <x14:formula1>
            <xm:f>項目!A4:$TUS$720898</xm:f>
          </x14:formula1>
          <xm:sqref>TVB720901:TVB720924</xm:sqref>
        </x14:dataValidation>
        <x14:dataValidation type="list" allowBlank="1" showInputMessage="1" showErrorMessage="1" xr:uid="{00000000-0002-0000-0300-0000BB1E0000}">
          <x14:formula1>
            <xm:f>項目!A4:$UEO$720898</xm:f>
          </x14:formula1>
          <xm:sqref>UEX720901:UEX720924</xm:sqref>
        </x14:dataValidation>
        <x14:dataValidation type="list" allowBlank="1" showInputMessage="1" showErrorMessage="1" xr:uid="{00000000-0002-0000-0300-0000BC1E0000}">
          <x14:formula1>
            <xm:f>項目!A4:$UOK$720898</xm:f>
          </x14:formula1>
          <xm:sqref>UOT720901:UOT720924</xm:sqref>
        </x14:dataValidation>
        <x14:dataValidation type="list" allowBlank="1" showInputMessage="1" showErrorMessage="1" xr:uid="{00000000-0002-0000-0300-0000BD1E0000}">
          <x14:formula1>
            <xm:f>項目!A4:$UYG$720898</xm:f>
          </x14:formula1>
          <xm:sqref>UYP720901:UYP720924</xm:sqref>
        </x14:dataValidation>
        <x14:dataValidation type="list" allowBlank="1" showInputMessage="1" showErrorMessage="1" xr:uid="{00000000-0002-0000-0300-0000BE1E0000}">
          <x14:formula1>
            <xm:f>項目!A4:$VIC$720898</xm:f>
          </x14:formula1>
          <xm:sqref>VIL720901:VIL720924</xm:sqref>
        </x14:dataValidation>
        <x14:dataValidation type="list" allowBlank="1" showInputMessage="1" showErrorMessage="1" xr:uid="{00000000-0002-0000-0300-0000BF1E0000}">
          <x14:formula1>
            <xm:f>項目!A4:$VRY$720898</xm:f>
          </x14:formula1>
          <xm:sqref>VSH720901:VSH720924</xm:sqref>
        </x14:dataValidation>
        <x14:dataValidation type="list" allowBlank="1" showInputMessage="1" showErrorMessage="1" xr:uid="{00000000-0002-0000-0300-0000C01E0000}">
          <x14:formula1>
            <xm:f>項目!A4:$WBU$720898</xm:f>
          </x14:formula1>
          <xm:sqref>WCD720901:WCD720924</xm:sqref>
        </x14:dataValidation>
        <x14:dataValidation type="list" allowBlank="1" showInputMessage="1" showErrorMessage="1" xr:uid="{00000000-0002-0000-0300-0000C11E0000}">
          <x14:formula1>
            <xm:f>項目!A4:$WLQ$720898</xm:f>
          </x14:formula1>
          <xm:sqref>WLZ720901:WLZ720924</xm:sqref>
        </x14:dataValidation>
        <x14:dataValidation type="list" allowBlank="1" showInputMessage="1" showErrorMessage="1" xr:uid="{00000000-0002-0000-0300-0000C21E0000}">
          <x14:formula1>
            <xm:f>項目!A4:$WVM$720898</xm:f>
          </x14:formula1>
          <xm:sqref>WVV720901:WVV720924</xm:sqref>
        </x14:dataValidation>
        <x14:dataValidation type="list" allowBlank="1" showInputMessage="1" showErrorMessage="1" xr:uid="{00000000-0002-0000-0300-0000C31E0000}">
          <x14:formula1>
            <xm:f>項目!A4:$JA$786434</xm:f>
          </x14:formula1>
          <xm:sqref>JJ786437:JJ786460</xm:sqref>
        </x14:dataValidation>
        <x14:dataValidation type="list" allowBlank="1" showInputMessage="1" showErrorMessage="1" xr:uid="{00000000-0002-0000-0300-0000C41E0000}">
          <x14:formula1>
            <xm:f>項目!A4:$SW$786434</xm:f>
          </x14:formula1>
          <xm:sqref>TF786437:TF786460</xm:sqref>
        </x14:dataValidation>
        <x14:dataValidation type="list" allowBlank="1" showInputMessage="1" showErrorMessage="1" xr:uid="{00000000-0002-0000-0300-0000C51E0000}">
          <x14:formula1>
            <xm:f>項目!A4:$ACS$786434</xm:f>
          </x14:formula1>
          <xm:sqref>ADB786437:ADB786460</xm:sqref>
        </x14:dataValidation>
        <x14:dataValidation type="list" allowBlank="1" showInputMessage="1" showErrorMessage="1" xr:uid="{00000000-0002-0000-0300-0000C61E0000}">
          <x14:formula1>
            <xm:f>項目!A4:$AMO$786434</xm:f>
          </x14:formula1>
          <xm:sqref>AMX786437:AMX786460</xm:sqref>
        </x14:dataValidation>
        <x14:dataValidation type="list" allowBlank="1" showInputMessage="1" showErrorMessage="1" xr:uid="{00000000-0002-0000-0300-0000C71E0000}">
          <x14:formula1>
            <xm:f>項目!A4:$AWK$786434</xm:f>
          </x14:formula1>
          <xm:sqref>AWT786437:AWT786460</xm:sqref>
        </x14:dataValidation>
        <x14:dataValidation type="list" allowBlank="1" showInputMessage="1" showErrorMessage="1" xr:uid="{00000000-0002-0000-0300-0000C81E0000}">
          <x14:formula1>
            <xm:f>項目!A4:$BGG$786434</xm:f>
          </x14:formula1>
          <xm:sqref>BGP786437:BGP786460</xm:sqref>
        </x14:dataValidation>
        <x14:dataValidation type="list" allowBlank="1" showInputMessage="1" showErrorMessage="1" xr:uid="{00000000-0002-0000-0300-0000C91E0000}">
          <x14:formula1>
            <xm:f>項目!A4:$BQC$786434</xm:f>
          </x14:formula1>
          <xm:sqref>BQL786437:BQL786460</xm:sqref>
        </x14:dataValidation>
        <x14:dataValidation type="list" allowBlank="1" showInputMessage="1" showErrorMessage="1" xr:uid="{00000000-0002-0000-0300-0000CA1E0000}">
          <x14:formula1>
            <xm:f>項目!A4:$BZY$786434</xm:f>
          </x14:formula1>
          <xm:sqref>CAH786437:CAH786460</xm:sqref>
        </x14:dataValidation>
        <x14:dataValidation type="list" allowBlank="1" showInputMessage="1" showErrorMessage="1" xr:uid="{00000000-0002-0000-0300-0000CB1E0000}">
          <x14:formula1>
            <xm:f>項目!A4:$CJU$786434</xm:f>
          </x14:formula1>
          <xm:sqref>CKD786437:CKD786460</xm:sqref>
        </x14:dataValidation>
        <x14:dataValidation type="list" allowBlank="1" showInputMessage="1" showErrorMessage="1" xr:uid="{00000000-0002-0000-0300-0000CC1E0000}">
          <x14:formula1>
            <xm:f>項目!A4:$CTQ$786434</xm:f>
          </x14:formula1>
          <xm:sqref>CTZ786437:CTZ786460</xm:sqref>
        </x14:dataValidation>
        <x14:dataValidation type="list" allowBlank="1" showInputMessage="1" showErrorMessage="1" xr:uid="{00000000-0002-0000-0300-0000CD1E0000}">
          <x14:formula1>
            <xm:f>項目!A4:$DDM$786434</xm:f>
          </x14:formula1>
          <xm:sqref>DDV786437:DDV786460</xm:sqref>
        </x14:dataValidation>
        <x14:dataValidation type="list" allowBlank="1" showInputMessage="1" showErrorMessage="1" xr:uid="{00000000-0002-0000-0300-0000CE1E0000}">
          <x14:formula1>
            <xm:f>項目!A4:$DNI$786434</xm:f>
          </x14:formula1>
          <xm:sqref>DNR786437:DNR786460</xm:sqref>
        </x14:dataValidation>
        <x14:dataValidation type="list" allowBlank="1" showInputMessage="1" showErrorMessage="1" xr:uid="{00000000-0002-0000-0300-0000CF1E0000}">
          <x14:formula1>
            <xm:f>項目!A4:$DXE$786434</xm:f>
          </x14:formula1>
          <xm:sqref>DXN786437:DXN786460</xm:sqref>
        </x14:dataValidation>
        <x14:dataValidation type="list" allowBlank="1" showInputMessage="1" showErrorMessage="1" xr:uid="{00000000-0002-0000-0300-0000D01E0000}">
          <x14:formula1>
            <xm:f>項目!A4:$EHA$786434</xm:f>
          </x14:formula1>
          <xm:sqref>EHJ786437:EHJ786460</xm:sqref>
        </x14:dataValidation>
        <x14:dataValidation type="list" allowBlank="1" showInputMessage="1" showErrorMessage="1" xr:uid="{00000000-0002-0000-0300-0000D11E0000}">
          <x14:formula1>
            <xm:f>項目!A4:$EQW$786434</xm:f>
          </x14:formula1>
          <xm:sqref>ERF786437:ERF786460</xm:sqref>
        </x14:dataValidation>
        <x14:dataValidation type="list" allowBlank="1" showInputMessage="1" showErrorMessage="1" xr:uid="{00000000-0002-0000-0300-0000D21E0000}">
          <x14:formula1>
            <xm:f>項目!A4:$FAS$786434</xm:f>
          </x14:formula1>
          <xm:sqref>FBB786437:FBB786460</xm:sqref>
        </x14:dataValidation>
        <x14:dataValidation type="list" allowBlank="1" showInputMessage="1" showErrorMessage="1" xr:uid="{00000000-0002-0000-0300-0000D31E0000}">
          <x14:formula1>
            <xm:f>項目!A4:$FKO$786434</xm:f>
          </x14:formula1>
          <xm:sqref>FKX786437:FKX786460</xm:sqref>
        </x14:dataValidation>
        <x14:dataValidation type="list" allowBlank="1" showInputMessage="1" showErrorMessage="1" xr:uid="{00000000-0002-0000-0300-0000D41E0000}">
          <x14:formula1>
            <xm:f>項目!A4:$FUK$786434</xm:f>
          </x14:formula1>
          <xm:sqref>FUT786437:FUT786460</xm:sqref>
        </x14:dataValidation>
        <x14:dataValidation type="list" allowBlank="1" showInputMessage="1" showErrorMessage="1" xr:uid="{00000000-0002-0000-0300-0000D51E0000}">
          <x14:formula1>
            <xm:f>項目!A4:$GEG$786434</xm:f>
          </x14:formula1>
          <xm:sqref>GEP786437:GEP786460</xm:sqref>
        </x14:dataValidation>
        <x14:dataValidation type="list" allowBlank="1" showInputMessage="1" showErrorMessage="1" xr:uid="{00000000-0002-0000-0300-0000D61E0000}">
          <x14:formula1>
            <xm:f>項目!A4:$GOC$786434</xm:f>
          </x14:formula1>
          <xm:sqref>GOL786437:GOL786460</xm:sqref>
        </x14:dataValidation>
        <x14:dataValidation type="list" allowBlank="1" showInputMessage="1" showErrorMessage="1" xr:uid="{00000000-0002-0000-0300-0000D71E0000}">
          <x14:formula1>
            <xm:f>項目!A4:$GXY$786434</xm:f>
          </x14:formula1>
          <xm:sqref>GYH786437:GYH786460</xm:sqref>
        </x14:dataValidation>
        <x14:dataValidation type="list" allowBlank="1" showInputMessage="1" showErrorMessage="1" xr:uid="{00000000-0002-0000-0300-0000D81E0000}">
          <x14:formula1>
            <xm:f>項目!A4:$HHU$786434</xm:f>
          </x14:formula1>
          <xm:sqref>HID786437:HID786460</xm:sqref>
        </x14:dataValidation>
        <x14:dataValidation type="list" allowBlank="1" showInputMessage="1" showErrorMessage="1" xr:uid="{00000000-0002-0000-0300-0000D91E0000}">
          <x14:formula1>
            <xm:f>項目!A4:$HRQ$786434</xm:f>
          </x14:formula1>
          <xm:sqref>HRZ786437:HRZ786460</xm:sqref>
        </x14:dataValidation>
        <x14:dataValidation type="list" allowBlank="1" showInputMessage="1" showErrorMessage="1" xr:uid="{00000000-0002-0000-0300-0000DA1E0000}">
          <x14:formula1>
            <xm:f>項目!A4:$IBM$786434</xm:f>
          </x14:formula1>
          <xm:sqref>IBV786437:IBV786460</xm:sqref>
        </x14:dataValidation>
        <x14:dataValidation type="list" allowBlank="1" showInputMessage="1" showErrorMessage="1" xr:uid="{00000000-0002-0000-0300-0000DB1E0000}">
          <x14:formula1>
            <xm:f>項目!A4:$ILI$786434</xm:f>
          </x14:formula1>
          <xm:sqref>ILR786437:ILR786460</xm:sqref>
        </x14:dataValidation>
        <x14:dataValidation type="list" allowBlank="1" showInputMessage="1" showErrorMessage="1" xr:uid="{00000000-0002-0000-0300-0000DC1E0000}">
          <x14:formula1>
            <xm:f>項目!A4:$IVE$786434</xm:f>
          </x14:formula1>
          <xm:sqref>IVN786437:IVN786460</xm:sqref>
        </x14:dataValidation>
        <x14:dataValidation type="list" allowBlank="1" showInputMessage="1" showErrorMessage="1" xr:uid="{00000000-0002-0000-0300-0000DD1E0000}">
          <x14:formula1>
            <xm:f>項目!A4:$JFA$786434</xm:f>
          </x14:formula1>
          <xm:sqref>JFJ786437:JFJ786460</xm:sqref>
        </x14:dataValidation>
        <x14:dataValidation type="list" allowBlank="1" showInputMessage="1" showErrorMessage="1" xr:uid="{00000000-0002-0000-0300-0000DE1E0000}">
          <x14:formula1>
            <xm:f>項目!A4:$JOW$786434</xm:f>
          </x14:formula1>
          <xm:sqref>JPF786437:JPF786460</xm:sqref>
        </x14:dataValidation>
        <x14:dataValidation type="list" allowBlank="1" showInputMessage="1" showErrorMessage="1" xr:uid="{00000000-0002-0000-0300-0000DF1E0000}">
          <x14:formula1>
            <xm:f>項目!A4:$JYS$786434</xm:f>
          </x14:formula1>
          <xm:sqref>JZB786437:JZB786460</xm:sqref>
        </x14:dataValidation>
        <x14:dataValidation type="list" allowBlank="1" showInputMessage="1" showErrorMessage="1" xr:uid="{00000000-0002-0000-0300-0000E01E0000}">
          <x14:formula1>
            <xm:f>項目!A4:$KIO$786434</xm:f>
          </x14:formula1>
          <xm:sqref>KIX786437:KIX786460</xm:sqref>
        </x14:dataValidation>
        <x14:dataValidation type="list" allowBlank="1" showInputMessage="1" showErrorMessage="1" xr:uid="{00000000-0002-0000-0300-0000E11E0000}">
          <x14:formula1>
            <xm:f>項目!A4:$KSK$786434</xm:f>
          </x14:formula1>
          <xm:sqref>KST786437:KST786460</xm:sqref>
        </x14:dataValidation>
        <x14:dataValidation type="list" allowBlank="1" showInputMessage="1" showErrorMessage="1" xr:uid="{00000000-0002-0000-0300-0000E21E0000}">
          <x14:formula1>
            <xm:f>項目!A4:$LCG$786434</xm:f>
          </x14:formula1>
          <xm:sqref>LCP786437:LCP786460</xm:sqref>
        </x14:dataValidation>
        <x14:dataValidation type="list" allowBlank="1" showInputMessage="1" showErrorMessage="1" xr:uid="{00000000-0002-0000-0300-0000E31E0000}">
          <x14:formula1>
            <xm:f>項目!A4:$LMC$786434</xm:f>
          </x14:formula1>
          <xm:sqref>LML786437:LML786460</xm:sqref>
        </x14:dataValidation>
        <x14:dataValidation type="list" allowBlank="1" showInputMessage="1" showErrorMessage="1" xr:uid="{00000000-0002-0000-0300-0000E41E0000}">
          <x14:formula1>
            <xm:f>項目!A4:$LVY$786434</xm:f>
          </x14:formula1>
          <xm:sqref>LWH786437:LWH786460</xm:sqref>
        </x14:dataValidation>
        <x14:dataValidation type="list" allowBlank="1" showInputMessage="1" showErrorMessage="1" xr:uid="{00000000-0002-0000-0300-0000E51E0000}">
          <x14:formula1>
            <xm:f>項目!A4:$MFU$786434</xm:f>
          </x14:formula1>
          <xm:sqref>MGD786437:MGD786460</xm:sqref>
        </x14:dataValidation>
        <x14:dataValidation type="list" allowBlank="1" showInputMessage="1" showErrorMessage="1" xr:uid="{00000000-0002-0000-0300-0000E61E0000}">
          <x14:formula1>
            <xm:f>項目!A4:$MPQ$786434</xm:f>
          </x14:formula1>
          <xm:sqref>MPZ786437:MPZ786460</xm:sqref>
        </x14:dataValidation>
        <x14:dataValidation type="list" allowBlank="1" showInputMessage="1" showErrorMessage="1" xr:uid="{00000000-0002-0000-0300-0000E71E0000}">
          <x14:formula1>
            <xm:f>項目!A4:$MZM$786434</xm:f>
          </x14:formula1>
          <xm:sqref>MZV786437:MZV786460</xm:sqref>
        </x14:dataValidation>
        <x14:dataValidation type="list" allowBlank="1" showInputMessage="1" showErrorMessage="1" xr:uid="{00000000-0002-0000-0300-0000E81E0000}">
          <x14:formula1>
            <xm:f>項目!A4:$NJI$786434</xm:f>
          </x14:formula1>
          <xm:sqref>NJR786437:NJR786460</xm:sqref>
        </x14:dataValidation>
        <x14:dataValidation type="list" allowBlank="1" showInputMessage="1" showErrorMessage="1" xr:uid="{00000000-0002-0000-0300-0000E91E0000}">
          <x14:formula1>
            <xm:f>項目!A4:$NTE$786434</xm:f>
          </x14:formula1>
          <xm:sqref>NTN786437:NTN786460</xm:sqref>
        </x14:dataValidation>
        <x14:dataValidation type="list" allowBlank="1" showInputMessage="1" showErrorMessage="1" xr:uid="{00000000-0002-0000-0300-0000EA1E0000}">
          <x14:formula1>
            <xm:f>項目!A4:$ODA$786434</xm:f>
          </x14:formula1>
          <xm:sqref>ODJ786437:ODJ786460</xm:sqref>
        </x14:dataValidation>
        <x14:dataValidation type="list" allowBlank="1" showInputMessage="1" showErrorMessage="1" xr:uid="{00000000-0002-0000-0300-0000EB1E0000}">
          <x14:formula1>
            <xm:f>項目!A4:$OMW$786434</xm:f>
          </x14:formula1>
          <xm:sqref>ONF786437:ONF786460</xm:sqref>
        </x14:dataValidation>
        <x14:dataValidation type="list" allowBlank="1" showInputMessage="1" showErrorMessage="1" xr:uid="{00000000-0002-0000-0300-0000EC1E0000}">
          <x14:formula1>
            <xm:f>項目!A4:$OWS$786434</xm:f>
          </x14:formula1>
          <xm:sqref>OXB786437:OXB786460</xm:sqref>
        </x14:dataValidation>
        <x14:dataValidation type="list" allowBlank="1" showInputMessage="1" showErrorMessage="1" xr:uid="{00000000-0002-0000-0300-0000ED1E0000}">
          <x14:formula1>
            <xm:f>項目!A4:$PGO$786434</xm:f>
          </x14:formula1>
          <xm:sqref>PGX786437:PGX786460</xm:sqref>
        </x14:dataValidation>
        <x14:dataValidation type="list" allowBlank="1" showInputMessage="1" showErrorMessage="1" xr:uid="{00000000-0002-0000-0300-0000EE1E0000}">
          <x14:formula1>
            <xm:f>項目!A4:$PQK$786434</xm:f>
          </x14:formula1>
          <xm:sqref>PQT786437:PQT786460</xm:sqref>
        </x14:dataValidation>
        <x14:dataValidation type="list" allowBlank="1" showInputMessage="1" showErrorMessage="1" xr:uid="{00000000-0002-0000-0300-0000EF1E0000}">
          <x14:formula1>
            <xm:f>項目!A4:$QAG$786434</xm:f>
          </x14:formula1>
          <xm:sqref>QAP786437:QAP786460</xm:sqref>
        </x14:dataValidation>
        <x14:dataValidation type="list" allowBlank="1" showInputMessage="1" showErrorMessage="1" xr:uid="{00000000-0002-0000-0300-0000F01E0000}">
          <x14:formula1>
            <xm:f>項目!A4:$QKC$786434</xm:f>
          </x14:formula1>
          <xm:sqref>QKL786437:QKL786460</xm:sqref>
        </x14:dataValidation>
        <x14:dataValidation type="list" allowBlank="1" showInputMessage="1" showErrorMessage="1" xr:uid="{00000000-0002-0000-0300-0000F11E0000}">
          <x14:formula1>
            <xm:f>項目!A4:$QTY$786434</xm:f>
          </x14:formula1>
          <xm:sqref>QUH786437:QUH786460</xm:sqref>
        </x14:dataValidation>
        <x14:dataValidation type="list" allowBlank="1" showInputMessage="1" showErrorMessage="1" xr:uid="{00000000-0002-0000-0300-0000F21E0000}">
          <x14:formula1>
            <xm:f>項目!A4:$RDU$786434</xm:f>
          </x14:formula1>
          <xm:sqref>RED786437:RED786460</xm:sqref>
        </x14:dataValidation>
        <x14:dataValidation type="list" allowBlank="1" showInputMessage="1" showErrorMessage="1" xr:uid="{00000000-0002-0000-0300-0000F31E0000}">
          <x14:formula1>
            <xm:f>項目!A4:$RNQ$786434</xm:f>
          </x14:formula1>
          <xm:sqref>RNZ786437:RNZ786460</xm:sqref>
        </x14:dataValidation>
        <x14:dataValidation type="list" allowBlank="1" showInputMessage="1" showErrorMessage="1" xr:uid="{00000000-0002-0000-0300-0000F41E0000}">
          <x14:formula1>
            <xm:f>項目!A4:$RXM$786434</xm:f>
          </x14:formula1>
          <xm:sqref>RXV786437:RXV786460</xm:sqref>
        </x14:dataValidation>
        <x14:dataValidation type="list" allowBlank="1" showInputMessage="1" showErrorMessage="1" xr:uid="{00000000-0002-0000-0300-0000F51E0000}">
          <x14:formula1>
            <xm:f>項目!A4:$SHI$786434</xm:f>
          </x14:formula1>
          <xm:sqref>SHR786437:SHR786460</xm:sqref>
        </x14:dataValidation>
        <x14:dataValidation type="list" allowBlank="1" showInputMessage="1" showErrorMessage="1" xr:uid="{00000000-0002-0000-0300-0000F61E0000}">
          <x14:formula1>
            <xm:f>項目!A4:$SRE$786434</xm:f>
          </x14:formula1>
          <xm:sqref>SRN786437:SRN786460</xm:sqref>
        </x14:dataValidation>
        <x14:dataValidation type="list" allowBlank="1" showInputMessage="1" showErrorMessage="1" xr:uid="{00000000-0002-0000-0300-0000F71E0000}">
          <x14:formula1>
            <xm:f>項目!A4:$TBA$786434</xm:f>
          </x14:formula1>
          <xm:sqref>TBJ786437:TBJ786460</xm:sqref>
        </x14:dataValidation>
        <x14:dataValidation type="list" allowBlank="1" showInputMessage="1" showErrorMessage="1" xr:uid="{00000000-0002-0000-0300-0000F81E0000}">
          <x14:formula1>
            <xm:f>項目!A4:$TKW$786434</xm:f>
          </x14:formula1>
          <xm:sqref>TLF786437:TLF786460</xm:sqref>
        </x14:dataValidation>
        <x14:dataValidation type="list" allowBlank="1" showInputMessage="1" showErrorMessage="1" xr:uid="{00000000-0002-0000-0300-0000F91E0000}">
          <x14:formula1>
            <xm:f>項目!A4:$TUS$786434</xm:f>
          </x14:formula1>
          <xm:sqref>TVB786437:TVB786460</xm:sqref>
        </x14:dataValidation>
        <x14:dataValidation type="list" allowBlank="1" showInputMessage="1" showErrorMessage="1" xr:uid="{00000000-0002-0000-0300-0000FA1E0000}">
          <x14:formula1>
            <xm:f>項目!A4:$UEO$786434</xm:f>
          </x14:formula1>
          <xm:sqref>UEX786437:UEX786460</xm:sqref>
        </x14:dataValidation>
        <x14:dataValidation type="list" allowBlank="1" showInputMessage="1" showErrorMessage="1" xr:uid="{00000000-0002-0000-0300-0000FB1E0000}">
          <x14:formula1>
            <xm:f>項目!A4:$UOK$786434</xm:f>
          </x14:formula1>
          <xm:sqref>UOT786437:UOT786460</xm:sqref>
        </x14:dataValidation>
        <x14:dataValidation type="list" allowBlank="1" showInputMessage="1" showErrorMessage="1" xr:uid="{00000000-0002-0000-0300-0000FC1E0000}">
          <x14:formula1>
            <xm:f>項目!A4:$UYG$786434</xm:f>
          </x14:formula1>
          <xm:sqref>UYP786437:UYP786460</xm:sqref>
        </x14:dataValidation>
        <x14:dataValidation type="list" allowBlank="1" showInputMessage="1" showErrorMessage="1" xr:uid="{00000000-0002-0000-0300-0000FD1E0000}">
          <x14:formula1>
            <xm:f>項目!A4:$VIC$786434</xm:f>
          </x14:formula1>
          <xm:sqref>VIL786437:VIL786460</xm:sqref>
        </x14:dataValidation>
        <x14:dataValidation type="list" allowBlank="1" showInputMessage="1" showErrorMessage="1" xr:uid="{00000000-0002-0000-0300-0000FE1E0000}">
          <x14:formula1>
            <xm:f>項目!A4:$VRY$786434</xm:f>
          </x14:formula1>
          <xm:sqref>VSH786437:VSH786460</xm:sqref>
        </x14:dataValidation>
        <x14:dataValidation type="list" allowBlank="1" showInputMessage="1" showErrorMessage="1" xr:uid="{00000000-0002-0000-0300-0000FF1E0000}">
          <x14:formula1>
            <xm:f>項目!A4:$WBU$786434</xm:f>
          </x14:formula1>
          <xm:sqref>WCD786437:WCD786460</xm:sqref>
        </x14:dataValidation>
        <x14:dataValidation type="list" allowBlank="1" showInputMessage="1" showErrorMessage="1" xr:uid="{00000000-0002-0000-0300-0000001F0000}">
          <x14:formula1>
            <xm:f>項目!A4:$WLQ$786434</xm:f>
          </x14:formula1>
          <xm:sqref>WLZ786437:WLZ786460</xm:sqref>
        </x14:dataValidation>
        <x14:dataValidation type="list" allowBlank="1" showInputMessage="1" showErrorMessage="1" xr:uid="{00000000-0002-0000-0300-0000011F0000}">
          <x14:formula1>
            <xm:f>項目!A4:$WVM$786434</xm:f>
          </x14:formula1>
          <xm:sqref>WVV786437:WVV786460</xm:sqref>
        </x14:dataValidation>
        <x14:dataValidation type="list" allowBlank="1" showInputMessage="1" showErrorMessage="1" xr:uid="{00000000-0002-0000-0300-0000021F0000}">
          <x14:formula1>
            <xm:f>項目!A4:$JA$851970</xm:f>
          </x14:formula1>
          <xm:sqref>JJ851973:JJ851996</xm:sqref>
        </x14:dataValidation>
        <x14:dataValidation type="list" allowBlank="1" showInputMessage="1" showErrorMessage="1" xr:uid="{00000000-0002-0000-0300-0000031F0000}">
          <x14:formula1>
            <xm:f>項目!A4:$SW$851970</xm:f>
          </x14:formula1>
          <xm:sqref>TF851973:TF851996</xm:sqref>
        </x14:dataValidation>
        <x14:dataValidation type="list" allowBlank="1" showInputMessage="1" showErrorMessage="1" xr:uid="{00000000-0002-0000-0300-0000041F0000}">
          <x14:formula1>
            <xm:f>項目!A4:$ACS$851970</xm:f>
          </x14:formula1>
          <xm:sqref>ADB851973:ADB851996</xm:sqref>
        </x14:dataValidation>
        <x14:dataValidation type="list" allowBlank="1" showInputMessage="1" showErrorMessage="1" xr:uid="{00000000-0002-0000-0300-0000051F0000}">
          <x14:formula1>
            <xm:f>項目!A4:$AMO$851970</xm:f>
          </x14:formula1>
          <xm:sqref>AMX851973:AMX851996</xm:sqref>
        </x14:dataValidation>
        <x14:dataValidation type="list" allowBlank="1" showInputMessage="1" showErrorMessage="1" xr:uid="{00000000-0002-0000-0300-0000061F0000}">
          <x14:formula1>
            <xm:f>項目!A4:$AWK$851970</xm:f>
          </x14:formula1>
          <xm:sqref>AWT851973:AWT851996</xm:sqref>
        </x14:dataValidation>
        <x14:dataValidation type="list" allowBlank="1" showInputMessage="1" showErrorMessage="1" xr:uid="{00000000-0002-0000-0300-0000071F0000}">
          <x14:formula1>
            <xm:f>項目!A4:$BGG$851970</xm:f>
          </x14:formula1>
          <xm:sqref>BGP851973:BGP851996</xm:sqref>
        </x14:dataValidation>
        <x14:dataValidation type="list" allowBlank="1" showInputMessage="1" showErrorMessage="1" xr:uid="{00000000-0002-0000-0300-0000081F0000}">
          <x14:formula1>
            <xm:f>項目!A4:$BQC$851970</xm:f>
          </x14:formula1>
          <xm:sqref>BQL851973:BQL851996</xm:sqref>
        </x14:dataValidation>
        <x14:dataValidation type="list" allowBlank="1" showInputMessage="1" showErrorMessage="1" xr:uid="{00000000-0002-0000-0300-0000091F0000}">
          <x14:formula1>
            <xm:f>項目!A4:$BZY$851970</xm:f>
          </x14:formula1>
          <xm:sqref>CAH851973:CAH851996</xm:sqref>
        </x14:dataValidation>
        <x14:dataValidation type="list" allowBlank="1" showInputMessage="1" showErrorMessage="1" xr:uid="{00000000-0002-0000-0300-00000A1F0000}">
          <x14:formula1>
            <xm:f>項目!A4:$CJU$851970</xm:f>
          </x14:formula1>
          <xm:sqref>CKD851973:CKD851996</xm:sqref>
        </x14:dataValidation>
        <x14:dataValidation type="list" allowBlank="1" showInputMessage="1" showErrorMessage="1" xr:uid="{00000000-0002-0000-0300-00000B1F0000}">
          <x14:formula1>
            <xm:f>項目!A4:$CTQ$851970</xm:f>
          </x14:formula1>
          <xm:sqref>CTZ851973:CTZ851996</xm:sqref>
        </x14:dataValidation>
        <x14:dataValidation type="list" allowBlank="1" showInputMessage="1" showErrorMessage="1" xr:uid="{00000000-0002-0000-0300-00000C1F0000}">
          <x14:formula1>
            <xm:f>項目!A4:$DDM$851970</xm:f>
          </x14:formula1>
          <xm:sqref>DDV851973:DDV851996</xm:sqref>
        </x14:dataValidation>
        <x14:dataValidation type="list" allowBlank="1" showInputMessage="1" showErrorMessage="1" xr:uid="{00000000-0002-0000-0300-00000D1F0000}">
          <x14:formula1>
            <xm:f>項目!A4:$DNI$851970</xm:f>
          </x14:formula1>
          <xm:sqref>DNR851973:DNR851996</xm:sqref>
        </x14:dataValidation>
        <x14:dataValidation type="list" allowBlank="1" showInputMessage="1" showErrorMessage="1" xr:uid="{00000000-0002-0000-0300-00000E1F0000}">
          <x14:formula1>
            <xm:f>項目!A4:$DXE$851970</xm:f>
          </x14:formula1>
          <xm:sqref>DXN851973:DXN851996</xm:sqref>
        </x14:dataValidation>
        <x14:dataValidation type="list" allowBlank="1" showInputMessage="1" showErrorMessage="1" xr:uid="{00000000-0002-0000-0300-00000F1F0000}">
          <x14:formula1>
            <xm:f>項目!A4:$EHA$851970</xm:f>
          </x14:formula1>
          <xm:sqref>EHJ851973:EHJ851996</xm:sqref>
        </x14:dataValidation>
        <x14:dataValidation type="list" allowBlank="1" showInputMessage="1" showErrorMessage="1" xr:uid="{00000000-0002-0000-0300-0000101F0000}">
          <x14:formula1>
            <xm:f>項目!A4:$EQW$851970</xm:f>
          </x14:formula1>
          <xm:sqref>ERF851973:ERF851996</xm:sqref>
        </x14:dataValidation>
        <x14:dataValidation type="list" allowBlank="1" showInputMessage="1" showErrorMessage="1" xr:uid="{00000000-0002-0000-0300-0000111F0000}">
          <x14:formula1>
            <xm:f>項目!A4:$FAS$851970</xm:f>
          </x14:formula1>
          <xm:sqref>FBB851973:FBB851996</xm:sqref>
        </x14:dataValidation>
        <x14:dataValidation type="list" allowBlank="1" showInputMessage="1" showErrorMessage="1" xr:uid="{00000000-0002-0000-0300-0000121F0000}">
          <x14:formula1>
            <xm:f>項目!A4:$FKO$851970</xm:f>
          </x14:formula1>
          <xm:sqref>FKX851973:FKX851996</xm:sqref>
        </x14:dataValidation>
        <x14:dataValidation type="list" allowBlank="1" showInputMessage="1" showErrorMessage="1" xr:uid="{00000000-0002-0000-0300-0000131F0000}">
          <x14:formula1>
            <xm:f>項目!A4:$FUK$851970</xm:f>
          </x14:formula1>
          <xm:sqref>FUT851973:FUT851996</xm:sqref>
        </x14:dataValidation>
        <x14:dataValidation type="list" allowBlank="1" showInputMessage="1" showErrorMessage="1" xr:uid="{00000000-0002-0000-0300-0000141F0000}">
          <x14:formula1>
            <xm:f>項目!A4:$GEG$851970</xm:f>
          </x14:formula1>
          <xm:sqref>GEP851973:GEP851996</xm:sqref>
        </x14:dataValidation>
        <x14:dataValidation type="list" allowBlank="1" showInputMessage="1" showErrorMessage="1" xr:uid="{00000000-0002-0000-0300-0000151F0000}">
          <x14:formula1>
            <xm:f>項目!A4:$GOC$851970</xm:f>
          </x14:formula1>
          <xm:sqref>GOL851973:GOL851996</xm:sqref>
        </x14:dataValidation>
        <x14:dataValidation type="list" allowBlank="1" showInputMessage="1" showErrorMessage="1" xr:uid="{00000000-0002-0000-0300-0000161F0000}">
          <x14:formula1>
            <xm:f>項目!A4:$GXY$851970</xm:f>
          </x14:formula1>
          <xm:sqref>GYH851973:GYH851996</xm:sqref>
        </x14:dataValidation>
        <x14:dataValidation type="list" allowBlank="1" showInputMessage="1" showErrorMessage="1" xr:uid="{00000000-0002-0000-0300-0000171F0000}">
          <x14:formula1>
            <xm:f>項目!A4:$HHU$851970</xm:f>
          </x14:formula1>
          <xm:sqref>HID851973:HID851996</xm:sqref>
        </x14:dataValidation>
        <x14:dataValidation type="list" allowBlank="1" showInputMessage="1" showErrorMessage="1" xr:uid="{00000000-0002-0000-0300-0000181F0000}">
          <x14:formula1>
            <xm:f>項目!A4:$HRQ$851970</xm:f>
          </x14:formula1>
          <xm:sqref>HRZ851973:HRZ851996</xm:sqref>
        </x14:dataValidation>
        <x14:dataValidation type="list" allowBlank="1" showInputMessage="1" showErrorMessage="1" xr:uid="{00000000-0002-0000-0300-0000191F0000}">
          <x14:formula1>
            <xm:f>項目!A4:$IBM$851970</xm:f>
          </x14:formula1>
          <xm:sqref>IBV851973:IBV851996</xm:sqref>
        </x14:dataValidation>
        <x14:dataValidation type="list" allowBlank="1" showInputMessage="1" showErrorMessage="1" xr:uid="{00000000-0002-0000-0300-00001A1F0000}">
          <x14:formula1>
            <xm:f>項目!A4:$ILI$851970</xm:f>
          </x14:formula1>
          <xm:sqref>ILR851973:ILR851996</xm:sqref>
        </x14:dataValidation>
        <x14:dataValidation type="list" allowBlank="1" showInputMessage="1" showErrorMessage="1" xr:uid="{00000000-0002-0000-0300-00001B1F0000}">
          <x14:formula1>
            <xm:f>項目!A4:$IVE$851970</xm:f>
          </x14:formula1>
          <xm:sqref>IVN851973:IVN851996</xm:sqref>
        </x14:dataValidation>
        <x14:dataValidation type="list" allowBlank="1" showInputMessage="1" showErrorMessage="1" xr:uid="{00000000-0002-0000-0300-00001C1F0000}">
          <x14:formula1>
            <xm:f>項目!A4:$JFA$851970</xm:f>
          </x14:formula1>
          <xm:sqref>JFJ851973:JFJ851996</xm:sqref>
        </x14:dataValidation>
        <x14:dataValidation type="list" allowBlank="1" showInputMessage="1" showErrorMessage="1" xr:uid="{00000000-0002-0000-0300-00001D1F0000}">
          <x14:formula1>
            <xm:f>項目!A4:$JOW$851970</xm:f>
          </x14:formula1>
          <xm:sqref>JPF851973:JPF851996</xm:sqref>
        </x14:dataValidation>
        <x14:dataValidation type="list" allowBlank="1" showInputMessage="1" showErrorMessage="1" xr:uid="{00000000-0002-0000-0300-00001E1F0000}">
          <x14:formula1>
            <xm:f>項目!A4:$JYS$851970</xm:f>
          </x14:formula1>
          <xm:sqref>JZB851973:JZB851996</xm:sqref>
        </x14:dataValidation>
        <x14:dataValidation type="list" allowBlank="1" showInputMessage="1" showErrorMessage="1" xr:uid="{00000000-0002-0000-0300-00001F1F0000}">
          <x14:formula1>
            <xm:f>項目!A4:$KIO$851970</xm:f>
          </x14:formula1>
          <xm:sqref>KIX851973:KIX851996</xm:sqref>
        </x14:dataValidation>
        <x14:dataValidation type="list" allowBlank="1" showInputMessage="1" showErrorMessage="1" xr:uid="{00000000-0002-0000-0300-0000201F0000}">
          <x14:formula1>
            <xm:f>項目!A4:$KSK$851970</xm:f>
          </x14:formula1>
          <xm:sqref>KST851973:KST851996</xm:sqref>
        </x14:dataValidation>
        <x14:dataValidation type="list" allowBlank="1" showInputMessage="1" showErrorMessage="1" xr:uid="{00000000-0002-0000-0300-0000211F0000}">
          <x14:formula1>
            <xm:f>項目!A4:$LCG$851970</xm:f>
          </x14:formula1>
          <xm:sqref>LCP851973:LCP851996</xm:sqref>
        </x14:dataValidation>
        <x14:dataValidation type="list" allowBlank="1" showInputMessage="1" showErrorMessage="1" xr:uid="{00000000-0002-0000-0300-0000221F0000}">
          <x14:formula1>
            <xm:f>項目!A4:$LMC$851970</xm:f>
          </x14:formula1>
          <xm:sqref>LML851973:LML851996</xm:sqref>
        </x14:dataValidation>
        <x14:dataValidation type="list" allowBlank="1" showInputMessage="1" showErrorMessage="1" xr:uid="{00000000-0002-0000-0300-0000231F0000}">
          <x14:formula1>
            <xm:f>項目!A4:$LVY$851970</xm:f>
          </x14:formula1>
          <xm:sqref>LWH851973:LWH851996</xm:sqref>
        </x14:dataValidation>
        <x14:dataValidation type="list" allowBlank="1" showInputMessage="1" showErrorMessage="1" xr:uid="{00000000-0002-0000-0300-0000241F0000}">
          <x14:formula1>
            <xm:f>項目!A4:$MFU$851970</xm:f>
          </x14:formula1>
          <xm:sqref>MGD851973:MGD851996</xm:sqref>
        </x14:dataValidation>
        <x14:dataValidation type="list" allowBlank="1" showInputMessage="1" showErrorMessage="1" xr:uid="{00000000-0002-0000-0300-0000251F0000}">
          <x14:formula1>
            <xm:f>項目!A4:$MPQ$851970</xm:f>
          </x14:formula1>
          <xm:sqref>MPZ851973:MPZ851996</xm:sqref>
        </x14:dataValidation>
        <x14:dataValidation type="list" allowBlank="1" showInputMessage="1" showErrorMessage="1" xr:uid="{00000000-0002-0000-0300-0000261F0000}">
          <x14:formula1>
            <xm:f>項目!A4:$MZM$851970</xm:f>
          </x14:formula1>
          <xm:sqref>MZV851973:MZV851996</xm:sqref>
        </x14:dataValidation>
        <x14:dataValidation type="list" allowBlank="1" showInputMessage="1" showErrorMessage="1" xr:uid="{00000000-0002-0000-0300-0000271F0000}">
          <x14:formula1>
            <xm:f>項目!A4:$NJI$851970</xm:f>
          </x14:formula1>
          <xm:sqref>NJR851973:NJR851996</xm:sqref>
        </x14:dataValidation>
        <x14:dataValidation type="list" allowBlank="1" showInputMessage="1" showErrorMessage="1" xr:uid="{00000000-0002-0000-0300-0000281F0000}">
          <x14:formula1>
            <xm:f>項目!A4:$NTE$851970</xm:f>
          </x14:formula1>
          <xm:sqref>NTN851973:NTN851996</xm:sqref>
        </x14:dataValidation>
        <x14:dataValidation type="list" allowBlank="1" showInputMessage="1" showErrorMessage="1" xr:uid="{00000000-0002-0000-0300-0000291F0000}">
          <x14:formula1>
            <xm:f>項目!A4:$ODA$851970</xm:f>
          </x14:formula1>
          <xm:sqref>ODJ851973:ODJ851996</xm:sqref>
        </x14:dataValidation>
        <x14:dataValidation type="list" allowBlank="1" showInputMessage="1" showErrorMessage="1" xr:uid="{00000000-0002-0000-0300-00002A1F0000}">
          <x14:formula1>
            <xm:f>項目!A4:$OMW$851970</xm:f>
          </x14:formula1>
          <xm:sqref>ONF851973:ONF851996</xm:sqref>
        </x14:dataValidation>
        <x14:dataValidation type="list" allowBlank="1" showInputMessage="1" showErrorMessage="1" xr:uid="{00000000-0002-0000-0300-00002B1F0000}">
          <x14:formula1>
            <xm:f>項目!A4:$OWS$851970</xm:f>
          </x14:formula1>
          <xm:sqref>OXB851973:OXB851996</xm:sqref>
        </x14:dataValidation>
        <x14:dataValidation type="list" allowBlank="1" showInputMessage="1" showErrorMessage="1" xr:uid="{00000000-0002-0000-0300-00002C1F0000}">
          <x14:formula1>
            <xm:f>項目!A4:$PGO$851970</xm:f>
          </x14:formula1>
          <xm:sqref>PGX851973:PGX851996</xm:sqref>
        </x14:dataValidation>
        <x14:dataValidation type="list" allowBlank="1" showInputMessage="1" showErrorMessage="1" xr:uid="{00000000-0002-0000-0300-00002D1F0000}">
          <x14:formula1>
            <xm:f>項目!A4:$PQK$851970</xm:f>
          </x14:formula1>
          <xm:sqref>PQT851973:PQT851996</xm:sqref>
        </x14:dataValidation>
        <x14:dataValidation type="list" allowBlank="1" showInputMessage="1" showErrorMessage="1" xr:uid="{00000000-0002-0000-0300-00002E1F0000}">
          <x14:formula1>
            <xm:f>項目!A4:$QAG$851970</xm:f>
          </x14:formula1>
          <xm:sqref>QAP851973:QAP851996</xm:sqref>
        </x14:dataValidation>
        <x14:dataValidation type="list" allowBlank="1" showInputMessage="1" showErrorMessage="1" xr:uid="{00000000-0002-0000-0300-00002F1F0000}">
          <x14:formula1>
            <xm:f>項目!A4:$QKC$851970</xm:f>
          </x14:formula1>
          <xm:sqref>QKL851973:QKL851996</xm:sqref>
        </x14:dataValidation>
        <x14:dataValidation type="list" allowBlank="1" showInputMessage="1" showErrorMessage="1" xr:uid="{00000000-0002-0000-0300-0000301F0000}">
          <x14:formula1>
            <xm:f>項目!A4:$QTY$851970</xm:f>
          </x14:formula1>
          <xm:sqref>QUH851973:QUH851996</xm:sqref>
        </x14:dataValidation>
        <x14:dataValidation type="list" allowBlank="1" showInputMessage="1" showErrorMessage="1" xr:uid="{00000000-0002-0000-0300-0000311F0000}">
          <x14:formula1>
            <xm:f>項目!A4:$RDU$851970</xm:f>
          </x14:formula1>
          <xm:sqref>RED851973:RED851996</xm:sqref>
        </x14:dataValidation>
        <x14:dataValidation type="list" allowBlank="1" showInputMessage="1" showErrorMessage="1" xr:uid="{00000000-0002-0000-0300-0000321F0000}">
          <x14:formula1>
            <xm:f>項目!A4:$RNQ$851970</xm:f>
          </x14:formula1>
          <xm:sqref>RNZ851973:RNZ851996</xm:sqref>
        </x14:dataValidation>
        <x14:dataValidation type="list" allowBlank="1" showInputMessage="1" showErrorMessage="1" xr:uid="{00000000-0002-0000-0300-0000331F0000}">
          <x14:formula1>
            <xm:f>項目!A4:$RXM$851970</xm:f>
          </x14:formula1>
          <xm:sqref>RXV851973:RXV851996</xm:sqref>
        </x14:dataValidation>
        <x14:dataValidation type="list" allowBlank="1" showInputMessage="1" showErrorMessage="1" xr:uid="{00000000-0002-0000-0300-0000341F0000}">
          <x14:formula1>
            <xm:f>項目!A4:$SHI$851970</xm:f>
          </x14:formula1>
          <xm:sqref>SHR851973:SHR851996</xm:sqref>
        </x14:dataValidation>
        <x14:dataValidation type="list" allowBlank="1" showInputMessage="1" showErrorMessage="1" xr:uid="{00000000-0002-0000-0300-0000351F0000}">
          <x14:formula1>
            <xm:f>項目!A4:$SRE$851970</xm:f>
          </x14:formula1>
          <xm:sqref>SRN851973:SRN851996</xm:sqref>
        </x14:dataValidation>
        <x14:dataValidation type="list" allowBlank="1" showInputMessage="1" showErrorMessage="1" xr:uid="{00000000-0002-0000-0300-0000361F0000}">
          <x14:formula1>
            <xm:f>項目!A4:$TBA$851970</xm:f>
          </x14:formula1>
          <xm:sqref>TBJ851973:TBJ851996</xm:sqref>
        </x14:dataValidation>
        <x14:dataValidation type="list" allowBlank="1" showInputMessage="1" showErrorMessage="1" xr:uid="{00000000-0002-0000-0300-0000371F0000}">
          <x14:formula1>
            <xm:f>項目!A4:$TKW$851970</xm:f>
          </x14:formula1>
          <xm:sqref>TLF851973:TLF851996</xm:sqref>
        </x14:dataValidation>
        <x14:dataValidation type="list" allowBlank="1" showInputMessage="1" showErrorMessage="1" xr:uid="{00000000-0002-0000-0300-0000381F0000}">
          <x14:formula1>
            <xm:f>項目!A4:$TUS$851970</xm:f>
          </x14:formula1>
          <xm:sqref>TVB851973:TVB851996</xm:sqref>
        </x14:dataValidation>
        <x14:dataValidation type="list" allowBlank="1" showInputMessage="1" showErrorMessage="1" xr:uid="{00000000-0002-0000-0300-0000391F0000}">
          <x14:formula1>
            <xm:f>項目!A4:$UEO$851970</xm:f>
          </x14:formula1>
          <xm:sqref>UEX851973:UEX851996</xm:sqref>
        </x14:dataValidation>
        <x14:dataValidation type="list" allowBlank="1" showInputMessage="1" showErrorMessage="1" xr:uid="{00000000-0002-0000-0300-00003A1F0000}">
          <x14:formula1>
            <xm:f>項目!A4:$UOK$851970</xm:f>
          </x14:formula1>
          <xm:sqref>UOT851973:UOT851996</xm:sqref>
        </x14:dataValidation>
        <x14:dataValidation type="list" allowBlank="1" showInputMessage="1" showErrorMessage="1" xr:uid="{00000000-0002-0000-0300-00003B1F0000}">
          <x14:formula1>
            <xm:f>項目!A4:$UYG$851970</xm:f>
          </x14:formula1>
          <xm:sqref>UYP851973:UYP851996</xm:sqref>
        </x14:dataValidation>
        <x14:dataValidation type="list" allowBlank="1" showInputMessage="1" showErrorMessage="1" xr:uid="{00000000-0002-0000-0300-00003C1F0000}">
          <x14:formula1>
            <xm:f>項目!A4:$VIC$851970</xm:f>
          </x14:formula1>
          <xm:sqref>VIL851973:VIL851996</xm:sqref>
        </x14:dataValidation>
        <x14:dataValidation type="list" allowBlank="1" showInputMessage="1" showErrorMessage="1" xr:uid="{00000000-0002-0000-0300-00003D1F0000}">
          <x14:formula1>
            <xm:f>項目!A4:$VRY$851970</xm:f>
          </x14:formula1>
          <xm:sqref>VSH851973:VSH851996</xm:sqref>
        </x14:dataValidation>
        <x14:dataValidation type="list" allowBlank="1" showInputMessage="1" showErrorMessage="1" xr:uid="{00000000-0002-0000-0300-00003E1F0000}">
          <x14:formula1>
            <xm:f>項目!A4:$WBU$851970</xm:f>
          </x14:formula1>
          <xm:sqref>WCD851973:WCD851996</xm:sqref>
        </x14:dataValidation>
        <x14:dataValidation type="list" allowBlank="1" showInputMessage="1" showErrorMessage="1" xr:uid="{00000000-0002-0000-0300-00003F1F0000}">
          <x14:formula1>
            <xm:f>項目!A4:$WLQ$851970</xm:f>
          </x14:formula1>
          <xm:sqref>WLZ851973:WLZ851996</xm:sqref>
        </x14:dataValidation>
        <x14:dataValidation type="list" allowBlank="1" showInputMessage="1" showErrorMessage="1" xr:uid="{00000000-0002-0000-0300-0000401F0000}">
          <x14:formula1>
            <xm:f>項目!A4:$WVM$851970</xm:f>
          </x14:formula1>
          <xm:sqref>WVV851973:WVV851996</xm:sqref>
        </x14:dataValidation>
        <x14:dataValidation type="list" allowBlank="1" showInputMessage="1" showErrorMessage="1" xr:uid="{00000000-0002-0000-0300-0000411F0000}">
          <x14:formula1>
            <xm:f>項目!A4:$JA$917506</xm:f>
          </x14:formula1>
          <xm:sqref>JJ917509:JJ917532</xm:sqref>
        </x14:dataValidation>
        <x14:dataValidation type="list" allowBlank="1" showInputMessage="1" showErrorMessage="1" xr:uid="{00000000-0002-0000-0300-0000421F0000}">
          <x14:formula1>
            <xm:f>項目!A4:$SW$917506</xm:f>
          </x14:formula1>
          <xm:sqref>TF917509:TF917532</xm:sqref>
        </x14:dataValidation>
        <x14:dataValidation type="list" allowBlank="1" showInputMessage="1" showErrorMessage="1" xr:uid="{00000000-0002-0000-0300-0000431F0000}">
          <x14:formula1>
            <xm:f>項目!A4:$ACS$917506</xm:f>
          </x14:formula1>
          <xm:sqref>ADB917509:ADB917532</xm:sqref>
        </x14:dataValidation>
        <x14:dataValidation type="list" allowBlank="1" showInputMessage="1" showErrorMessage="1" xr:uid="{00000000-0002-0000-0300-0000441F0000}">
          <x14:formula1>
            <xm:f>項目!A4:$AMO$917506</xm:f>
          </x14:formula1>
          <xm:sqref>AMX917509:AMX917532</xm:sqref>
        </x14:dataValidation>
        <x14:dataValidation type="list" allowBlank="1" showInputMessage="1" showErrorMessage="1" xr:uid="{00000000-0002-0000-0300-0000451F0000}">
          <x14:formula1>
            <xm:f>項目!A4:$AWK$917506</xm:f>
          </x14:formula1>
          <xm:sqref>AWT917509:AWT917532</xm:sqref>
        </x14:dataValidation>
        <x14:dataValidation type="list" allowBlank="1" showInputMessage="1" showErrorMessage="1" xr:uid="{00000000-0002-0000-0300-0000461F0000}">
          <x14:formula1>
            <xm:f>項目!A4:$BGG$917506</xm:f>
          </x14:formula1>
          <xm:sqref>BGP917509:BGP917532</xm:sqref>
        </x14:dataValidation>
        <x14:dataValidation type="list" allowBlank="1" showInputMessage="1" showErrorMessage="1" xr:uid="{00000000-0002-0000-0300-0000471F0000}">
          <x14:formula1>
            <xm:f>項目!A4:$BQC$917506</xm:f>
          </x14:formula1>
          <xm:sqref>BQL917509:BQL917532</xm:sqref>
        </x14:dataValidation>
        <x14:dataValidation type="list" allowBlank="1" showInputMessage="1" showErrorMessage="1" xr:uid="{00000000-0002-0000-0300-0000481F0000}">
          <x14:formula1>
            <xm:f>項目!A4:$BZY$917506</xm:f>
          </x14:formula1>
          <xm:sqref>CAH917509:CAH917532</xm:sqref>
        </x14:dataValidation>
        <x14:dataValidation type="list" allowBlank="1" showInputMessage="1" showErrorMessage="1" xr:uid="{00000000-0002-0000-0300-0000491F0000}">
          <x14:formula1>
            <xm:f>項目!A4:$CJU$917506</xm:f>
          </x14:formula1>
          <xm:sqref>CKD917509:CKD917532</xm:sqref>
        </x14:dataValidation>
        <x14:dataValidation type="list" allowBlank="1" showInputMessage="1" showErrorMessage="1" xr:uid="{00000000-0002-0000-0300-00004A1F0000}">
          <x14:formula1>
            <xm:f>項目!A4:$CTQ$917506</xm:f>
          </x14:formula1>
          <xm:sqref>CTZ917509:CTZ917532</xm:sqref>
        </x14:dataValidation>
        <x14:dataValidation type="list" allowBlank="1" showInputMessage="1" showErrorMessage="1" xr:uid="{00000000-0002-0000-0300-00004B1F0000}">
          <x14:formula1>
            <xm:f>項目!A4:$DDM$917506</xm:f>
          </x14:formula1>
          <xm:sqref>DDV917509:DDV917532</xm:sqref>
        </x14:dataValidation>
        <x14:dataValidation type="list" allowBlank="1" showInputMessage="1" showErrorMessage="1" xr:uid="{00000000-0002-0000-0300-00004C1F0000}">
          <x14:formula1>
            <xm:f>項目!A4:$DNI$917506</xm:f>
          </x14:formula1>
          <xm:sqref>DNR917509:DNR917532</xm:sqref>
        </x14:dataValidation>
        <x14:dataValidation type="list" allowBlank="1" showInputMessage="1" showErrorMessage="1" xr:uid="{00000000-0002-0000-0300-00004D1F0000}">
          <x14:formula1>
            <xm:f>項目!A4:$DXE$917506</xm:f>
          </x14:formula1>
          <xm:sqref>DXN917509:DXN917532</xm:sqref>
        </x14:dataValidation>
        <x14:dataValidation type="list" allowBlank="1" showInputMessage="1" showErrorMessage="1" xr:uid="{00000000-0002-0000-0300-00004E1F0000}">
          <x14:formula1>
            <xm:f>項目!A4:$EHA$917506</xm:f>
          </x14:formula1>
          <xm:sqref>EHJ917509:EHJ917532</xm:sqref>
        </x14:dataValidation>
        <x14:dataValidation type="list" allowBlank="1" showInputMessage="1" showErrorMessage="1" xr:uid="{00000000-0002-0000-0300-00004F1F0000}">
          <x14:formula1>
            <xm:f>項目!A4:$EQW$917506</xm:f>
          </x14:formula1>
          <xm:sqref>ERF917509:ERF917532</xm:sqref>
        </x14:dataValidation>
        <x14:dataValidation type="list" allowBlank="1" showInputMessage="1" showErrorMessage="1" xr:uid="{00000000-0002-0000-0300-0000501F0000}">
          <x14:formula1>
            <xm:f>項目!A4:$FAS$917506</xm:f>
          </x14:formula1>
          <xm:sqref>FBB917509:FBB917532</xm:sqref>
        </x14:dataValidation>
        <x14:dataValidation type="list" allowBlank="1" showInputMessage="1" showErrorMessage="1" xr:uid="{00000000-0002-0000-0300-0000511F0000}">
          <x14:formula1>
            <xm:f>項目!A4:$FKO$917506</xm:f>
          </x14:formula1>
          <xm:sqref>FKX917509:FKX917532</xm:sqref>
        </x14:dataValidation>
        <x14:dataValidation type="list" allowBlank="1" showInputMessage="1" showErrorMessage="1" xr:uid="{00000000-0002-0000-0300-0000521F0000}">
          <x14:formula1>
            <xm:f>項目!A4:$FUK$917506</xm:f>
          </x14:formula1>
          <xm:sqref>FUT917509:FUT917532</xm:sqref>
        </x14:dataValidation>
        <x14:dataValidation type="list" allowBlank="1" showInputMessage="1" showErrorMessage="1" xr:uid="{00000000-0002-0000-0300-0000531F0000}">
          <x14:formula1>
            <xm:f>項目!A4:$GEG$917506</xm:f>
          </x14:formula1>
          <xm:sqref>GEP917509:GEP917532</xm:sqref>
        </x14:dataValidation>
        <x14:dataValidation type="list" allowBlank="1" showInputMessage="1" showErrorMessage="1" xr:uid="{00000000-0002-0000-0300-0000541F0000}">
          <x14:formula1>
            <xm:f>項目!A4:$GOC$917506</xm:f>
          </x14:formula1>
          <xm:sqref>GOL917509:GOL917532</xm:sqref>
        </x14:dataValidation>
        <x14:dataValidation type="list" allowBlank="1" showInputMessage="1" showErrorMessage="1" xr:uid="{00000000-0002-0000-0300-0000551F0000}">
          <x14:formula1>
            <xm:f>項目!A4:$GXY$917506</xm:f>
          </x14:formula1>
          <xm:sqref>GYH917509:GYH917532</xm:sqref>
        </x14:dataValidation>
        <x14:dataValidation type="list" allowBlank="1" showInputMessage="1" showErrorMessage="1" xr:uid="{00000000-0002-0000-0300-0000561F0000}">
          <x14:formula1>
            <xm:f>項目!A4:$HHU$917506</xm:f>
          </x14:formula1>
          <xm:sqref>HID917509:HID917532</xm:sqref>
        </x14:dataValidation>
        <x14:dataValidation type="list" allowBlank="1" showInputMessage="1" showErrorMessage="1" xr:uid="{00000000-0002-0000-0300-0000571F0000}">
          <x14:formula1>
            <xm:f>項目!A4:$HRQ$917506</xm:f>
          </x14:formula1>
          <xm:sqref>HRZ917509:HRZ917532</xm:sqref>
        </x14:dataValidation>
        <x14:dataValidation type="list" allowBlank="1" showInputMessage="1" showErrorMessage="1" xr:uid="{00000000-0002-0000-0300-0000581F0000}">
          <x14:formula1>
            <xm:f>項目!A4:$IBM$917506</xm:f>
          </x14:formula1>
          <xm:sqref>IBV917509:IBV917532</xm:sqref>
        </x14:dataValidation>
        <x14:dataValidation type="list" allowBlank="1" showInputMessage="1" showErrorMessage="1" xr:uid="{00000000-0002-0000-0300-0000591F0000}">
          <x14:formula1>
            <xm:f>項目!A4:$ILI$917506</xm:f>
          </x14:formula1>
          <xm:sqref>ILR917509:ILR917532</xm:sqref>
        </x14:dataValidation>
        <x14:dataValidation type="list" allowBlank="1" showInputMessage="1" showErrorMessage="1" xr:uid="{00000000-0002-0000-0300-00005A1F0000}">
          <x14:formula1>
            <xm:f>項目!A4:$IVE$917506</xm:f>
          </x14:formula1>
          <xm:sqref>IVN917509:IVN917532</xm:sqref>
        </x14:dataValidation>
        <x14:dataValidation type="list" allowBlank="1" showInputMessage="1" showErrorMessage="1" xr:uid="{00000000-0002-0000-0300-00005B1F0000}">
          <x14:formula1>
            <xm:f>項目!A4:$JFA$917506</xm:f>
          </x14:formula1>
          <xm:sqref>JFJ917509:JFJ917532</xm:sqref>
        </x14:dataValidation>
        <x14:dataValidation type="list" allowBlank="1" showInputMessage="1" showErrorMessage="1" xr:uid="{00000000-0002-0000-0300-00005C1F0000}">
          <x14:formula1>
            <xm:f>項目!A4:$JOW$917506</xm:f>
          </x14:formula1>
          <xm:sqref>JPF917509:JPF917532</xm:sqref>
        </x14:dataValidation>
        <x14:dataValidation type="list" allowBlank="1" showInputMessage="1" showErrorMessage="1" xr:uid="{00000000-0002-0000-0300-00005D1F0000}">
          <x14:formula1>
            <xm:f>項目!A4:$JYS$917506</xm:f>
          </x14:formula1>
          <xm:sqref>JZB917509:JZB917532</xm:sqref>
        </x14:dataValidation>
        <x14:dataValidation type="list" allowBlank="1" showInputMessage="1" showErrorMessage="1" xr:uid="{00000000-0002-0000-0300-00005E1F0000}">
          <x14:formula1>
            <xm:f>項目!A4:$KIO$917506</xm:f>
          </x14:formula1>
          <xm:sqref>KIX917509:KIX917532</xm:sqref>
        </x14:dataValidation>
        <x14:dataValidation type="list" allowBlank="1" showInputMessage="1" showErrorMessage="1" xr:uid="{00000000-0002-0000-0300-00005F1F0000}">
          <x14:formula1>
            <xm:f>項目!A4:$KSK$917506</xm:f>
          </x14:formula1>
          <xm:sqref>KST917509:KST917532</xm:sqref>
        </x14:dataValidation>
        <x14:dataValidation type="list" allowBlank="1" showInputMessage="1" showErrorMessage="1" xr:uid="{00000000-0002-0000-0300-0000601F0000}">
          <x14:formula1>
            <xm:f>項目!A4:$LCG$917506</xm:f>
          </x14:formula1>
          <xm:sqref>LCP917509:LCP917532</xm:sqref>
        </x14:dataValidation>
        <x14:dataValidation type="list" allowBlank="1" showInputMessage="1" showErrorMessage="1" xr:uid="{00000000-0002-0000-0300-0000611F0000}">
          <x14:formula1>
            <xm:f>項目!A4:$LMC$917506</xm:f>
          </x14:formula1>
          <xm:sqref>LML917509:LML917532</xm:sqref>
        </x14:dataValidation>
        <x14:dataValidation type="list" allowBlank="1" showInputMessage="1" showErrorMessage="1" xr:uid="{00000000-0002-0000-0300-0000621F0000}">
          <x14:formula1>
            <xm:f>項目!A4:$LVY$917506</xm:f>
          </x14:formula1>
          <xm:sqref>LWH917509:LWH917532</xm:sqref>
        </x14:dataValidation>
        <x14:dataValidation type="list" allowBlank="1" showInputMessage="1" showErrorMessage="1" xr:uid="{00000000-0002-0000-0300-0000631F0000}">
          <x14:formula1>
            <xm:f>項目!A4:$MFU$917506</xm:f>
          </x14:formula1>
          <xm:sqref>MGD917509:MGD917532</xm:sqref>
        </x14:dataValidation>
        <x14:dataValidation type="list" allowBlank="1" showInputMessage="1" showErrorMessage="1" xr:uid="{00000000-0002-0000-0300-0000641F0000}">
          <x14:formula1>
            <xm:f>項目!A4:$MPQ$917506</xm:f>
          </x14:formula1>
          <xm:sqref>MPZ917509:MPZ917532</xm:sqref>
        </x14:dataValidation>
        <x14:dataValidation type="list" allowBlank="1" showInputMessage="1" showErrorMessage="1" xr:uid="{00000000-0002-0000-0300-0000651F0000}">
          <x14:formula1>
            <xm:f>項目!A4:$MZM$917506</xm:f>
          </x14:formula1>
          <xm:sqref>MZV917509:MZV917532</xm:sqref>
        </x14:dataValidation>
        <x14:dataValidation type="list" allowBlank="1" showInputMessage="1" showErrorMessage="1" xr:uid="{00000000-0002-0000-0300-0000661F0000}">
          <x14:formula1>
            <xm:f>項目!A4:$NJI$917506</xm:f>
          </x14:formula1>
          <xm:sqref>NJR917509:NJR917532</xm:sqref>
        </x14:dataValidation>
        <x14:dataValidation type="list" allowBlank="1" showInputMessage="1" showErrorMessage="1" xr:uid="{00000000-0002-0000-0300-0000671F0000}">
          <x14:formula1>
            <xm:f>項目!A4:$NTE$917506</xm:f>
          </x14:formula1>
          <xm:sqref>NTN917509:NTN917532</xm:sqref>
        </x14:dataValidation>
        <x14:dataValidation type="list" allowBlank="1" showInputMessage="1" showErrorMessage="1" xr:uid="{00000000-0002-0000-0300-0000681F0000}">
          <x14:formula1>
            <xm:f>項目!A4:$ODA$917506</xm:f>
          </x14:formula1>
          <xm:sqref>ODJ917509:ODJ917532</xm:sqref>
        </x14:dataValidation>
        <x14:dataValidation type="list" allowBlank="1" showInputMessage="1" showErrorMessage="1" xr:uid="{00000000-0002-0000-0300-0000691F0000}">
          <x14:formula1>
            <xm:f>項目!A4:$OMW$917506</xm:f>
          </x14:formula1>
          <xm:sqref>ONF917509:ONF917532</xm:sqref>
        </x14:dataValidation>
        <x14:dataValidation type="list" allowBlank="1" showInputMessage="1" showErrorMessage="1" xr:uid="{00000000-0002-0000-0300-00006A1F0000}">
          <x14:formula1>
            <xm:f>項目!A4:$OWS$917506</xm:f>
          </x14:formula1>
          <xm:sqref>OXB917509:OXB917532</xm:sqref>
        </x14:dataValidation>
        <x14:dataValidation type="list" allowBlank="1" showInputMessage="1" showErrorMessage="1" xr:uid="{00000000-0002-0000-0300-00006B1F0000}">
          <x14:formula1>
            <xm:f>項目!A4:$PGO$917506</xm:f>
          </x14:formula1>
          <xm:sqref>PGX917509:PGX917532</xm:sqref>
        </x14:dataValidation>
        <x14:dataValidation type="list" allowBlank="1" showInputMessage="1" showErrorMessage="1" xr:uid="{00000000-0002-0000-0300-00006C1F0000}">
          <x14:formula1>
            <xm:f>項目!A4:$PQK$917506</xm:f>
          </x14:formula1>
          <xm:sqref>PQT917509:PQT917532</xm:sqref>
        </x14:dataValidation>
        <x14:dataValidation type="list" allowBlank="1" showInputMessage="1" showErrorMessage="1" xr:uid="{00000000-0002-0000-0300-00006D1F0000}">
          <x14:formula1>
            <xm:f>項目!A4:$QAG$917506</xm:f>
          </x14:formula1>
          <xm:sqref>QAP917509:QAP917532</xm:sqref>
        </x14:dataValidation>
        <x14:dataValidation type="list" allowBlank="1" showInputMessage="1" showErrorMessage="1" xr:uid="{00000000-0002-0000-0300-00006E1F0000}">
          <x14:formula1>
            <xm:f>項目!A4:$QKC$917506</xm:f>
          </x14:formula1>
          <xm:sqref>QKL917509:QKL917532</xm:sqref>
        </x14:dataValidation>
        <x14:dataValidation type="list" allowBlank="1" showInputMessage="1" showErrorMessage="1" xr:uid="{00000000-0002-0000-0300-00006F1F0000}">
          <x14:formula1>
            <xm:f>項目!A4:$QTY$917506</xm:f>
          </x14:formula1>
          <xm:sqref>QUH917509:QUH917532</xm:sqref>
        </x14:dataValidation>
        <x14:dataValidation type="list" allowBlank="1" showInputMessage="1" showErrorMessage="1" xr:uid="{00000000-0002-0000-0300-0000701F0000}">
          <x14:formula1>
            <xm:f>項目!A4:$RDU$917506</xm:f>
          </x14:formula1>
          <xm:sqref>RED917509:RED917532</xm:sqref>
        </x14:dataValidation>
        <x14:dataValidation type="list" allowBlank="1" showInputMessage="1" showErrorMessage="1" xr:uid="{00000000-0002-0000-0300-0000711F0000}">
          <x14:formula1>
            <xm:f>項目!A4:$RNQ$917506</xm:f>
          </x14:formula1>
          <xm:sqref>RNZ917509:RNZ917532</xm:sqref>
        </x14:dataValidation>
        <x14:dataValidation type="list" allowBlank="1" showInputMessage="1" showErrorMessage="1" xr:uid="{00000000-0002-0000-0300-0000721F0000}">
          <x14:formula1>
            <xm:f>項目!A4:$RXM$917506</xm:f>
          </x14:formula1>
          <xm:sqref>RXV917509:RXV917532</xm:sqref>
        </x14:dataValidation>
        <x14:dataValidation type="list" allowBlank="1" showInputMessage="1" showErrorMessage="1" xr:uid="{00000000-0002-0000-0300-0000731F0000}">
          <x14:formula1>
            <xm:f>項目!A4:$SHI$917506</xm:f>
          </x14:formula1>
          <xm:sqref>SHR917509:SHR917532</xm:sqref>
        </x14:dataValidation>
        <x14:dataValidation type="list" allowBlank="1" showInputMessage="1" showErrorMessage="1" xr:uid="{00000000-0002-0000-0300-0000741F0000}">
          <x14:formula1>
            <xm:f>項目!A4:$SRE$917506</xm:f>
          </x14:formula1>
          <xm:sqref>SRN917509:SRN917532</xm:sqref>
        </x14:dataValidation>
        <x14:dataValidation type="list" allowBlank="1" showInputMessage="1" showErrorMessage="1" xr:uid="{00000000-0002-0000-0300-0000751F0000}">
          <x14:formula1>
            <xm:f>項目!A4:$TBA$917506</xm:f>
          </x14:formula1>
          <xm:sqref>TBJ917509:TBJ917532</xm:sqref>
        </x14:dataValidation>
        <x14:dataValidation type="list" allowBlank="1" showInputMessage="1" showErrorMessage="1" xr:uid="{00000000-0002-0000-0300-0000761F0000}">
          <x14:formula1>
            <xm:f>項目!A4:$TKW$917506</xm:f>
          </x14:formula1>
          <xm:sqref>TLF917509:TLF917532</xm:sqref>
        </x14:dataValidation>
        <x14:dataValidation type="list" allowBlank="1" showInputMessage="1" showErrorMessage="1" xr:uid="{00000000-0002-0000-0300-0000771F0000}">
          <x14:formula1>
            <xm:f>項目!A4:$TUS$917506</xm:f>
          </x14:formula1>
          <xm:sqref>TVB917509:TVB917532</xm:sqref>
        </x14:dataValidation>
        <x14:dataValidation type="list" allowBlank="1" showInputMessage="1" showErrorMessage="1" xr:uid="{00000000-0002-0000-0300-0000781F0000}">
          <x14:formula1>
            <xm:f>項目!A4:$UEO$917506</xm:f>
          </x14:formula1>
          <xm:sqref>UEX917509:UEX917532</xm:sqref>
        </x14:dataValidation>
        <x14:dataValidation type="list" allowBlank="1" showInputMessage="1" showErrorMessage="1" xr:uid="{00000000-0002-0000-0300-0000791F0000}">
          <x14:formula1>
            <xm:f>項目!A4:$UOK$917506</xm:f>
          </x14:formula1>
          <xm:sqref>UOT917509:UOT917532</xm:sqref>
        </x14:dataValidation>
        <x14:dataValidation type="list" allowBlank="1" showInputMessage="1" showErrorMessage="1" xr:uid="{00000000-0002-0000-0300-00007A1F0000}">
          <x14:formula1>
            <xm:f>項目!A4:$UYG$917506</xm:f>
          </x14:formula1>
          <xm:sqref>UYP917509:UYP917532</xm:sqref>
        </x14:dataValidation>
        <x14:dataValidation type="list" allowBlank="1" showInputMessage="1" showErrorMessage="1" xr:uid="{00000000-0002-0000-0300-00007B1F0000}">
          <x14:formula1>
            <xm:f>項目!A4:$VIC$917506</xm:f>
          </x14:formula1>
          <xm:sqref>VIL917509:VIL917532</xm:sqref>
        </x14:dataValidation>
        <x14:dataValidation type="list" allowBlank="1" showInputMessage="1" showErrorMessage="1" xr:uid="{00000000-0002-0000-0300-00007C1F0000}">
          <x14:formula1>
            <xm:f>項目!A4:$VRY$917506</xm:f>
          </x14:formula1>
          <xm:sqref>VSH917509:VSH917532</xm:sqref>
        </x14:dataValidation>
        <x14:dataValidation type="list" allowBlank="1" showInputMessage="1" showErrorMessage="1" xr:uid="{00000000-0002-0000-0300-00007D1F0000}">
          <x14:formula1>
            <xm:f>項目!A4:$WBU$917506</xm:f>
          </x14:formula1>
          <xm:sqref>WCD917509:WCD917532</xm:sqref>
        </x14:dataValidation>
        <x14:dataValidation type="list" allowBlank="1" showInputMessage="1" showErrorMessage="1" xr:uid="{00000000-0002-0000-0300-00007E1F0000}">
          <x14:formula1>
            <xm:f>項目!A4:$WLQ$917506</xm:f>
          </x14:formula1>
          <xm:sqref>WLZ917509:WLZ917532</xm:sqref>
        </x14:dataValidation>
        <x14:dataValidation type="list" allowBlank="1" showInputMessage="1" showErrorMessage="1" xr:uid="{00000000-0002-0000-0300-00007F1F0000}">
          <x14:formula1>
            <xm:f>項目!A4:$WVM$917506</xm:f>
          </x14:formula1>
          <xm:sqref>WVV917509:WVV917532</xm:sqref>
        </x14:dataValidation>
        <x14:dataValidation type="list" allowBlank="1" showInputMessage="1" showErrorMessage="1" xr:uid="{00000000-0002-0000-0300-0000801F0000}">
          <x14:formula1>
            <xm:f>項目!A4:$JA$983042</xm:f>
          </x14:formula1>
          <xm:sqref>JJ983045:JJ983068</xm:sqref>
        </x14:dataValidation>
        <x14:dataValidation type="list" allowBlank="1" showInputMessage="1" showErrorMessage="1" xr:uid="{00000000-0002-0000-0300-0000811F0000}">
          <x14:formula1>
            <xm:f>項目!A4:$SW$983042</xm:f>
          </x14:formula1>
          <xm:sqref>TF983045:TF983068</xm:sqref>
        </x14:dataValidation>
        <x14:dataValidation type="list" allowBlank="1" showInputMessage="1" showErrorMessage="1" xr:uid="{00000000-0002-0000-0300-0000821F0000}">
          <x14:formula1>
            <xm:f>項目!A4:$ACS$983042</xm:f>
          </x14:formula1>
          <xm:sqref>ADB983045:ADB983068</xm:sqref>
        </x14:dataValidation>
        <x14:dataValidation type="list" allowBlank="1" showInputMessage="1" showErrorMessage="1" xr:uid="{00000000-0002-0000-0300-0000831F0000}">
          <x14:formula1>
            <xm:f>項目!A4:$AMO$983042</xm:f>
          </x14:formula1>
          <xm:sqref>AMX983045:AMX983068</xm:sqref>
        </x14:dataValidation>
        <x14:dataValidation type="list" allowBlank="1" showInputMessage="1" showErrorMessage="1" xr:uid="{00000000-0002-0000-0300-0000841F0000}">
          <x14:formula1>
            <xm:f>項目!A4:$AWK$983042</xm:f>
          </x14:formula1>
          <xm:sqref>AWT983045:AWT983068</xm:sqref>
        </x14:dataValidation>
        <x14:dataValidation type="list" allowBlank="1" showInputMessage="1" showErrorMessage="1" xr:uid="{00000000-0002-0000-0300-0000851F0000}">
          <x14:formula1>
            <xm:f>項目!A4:$BGG$983042</xm:f>
          </x14:formula1>
          <xm:sqref>BGP983045:BGP983068</xm:sqref>
        </x14:dataValidation>
        <x14:dataValidation type="list" allowBlank="1" showInputMessage="1" showErrorMessage="1" xr:uid="{00000000-0002-0000-0300-0000861F0000}">
          <x14:formula1>
            <xm:f>項目!A4:$BQC$983042</xm:f>
          </x14:formula1>
          <xm:sqref>BQL983045:BQL983068</xm:sqref>
        </x14:dataValidation>
        <x14:dataValidation type="list" allowBlank="1" showInputMessage="1" showErrorMessage="1" xr:uid="{00000000-0002-0000-0300-0000871F0000}">
          <x14:formula1>
            <xm:f>項目!A4:$BZY$983042</xm:f>
          </x14:formula1>
          <xm:sqref>CAH983045:CAH983068</xm:sqref>
        </x14:dataValidation>
        <x14:dataValidation type="list" allowBlank="1" showInputMessage="1" showErrorMessage="1" xr:uid="{00000000-0002-0000-0300-0000881F0000}">
          <x14:formula1>
            <xm:f>項目!A4:$CJU$983042</xm:f>
          </x14:formula1>
          <xm:sqref>CKD983045:CKD983068</xm:sqref>
        </x14:dataValidation>
        <x14:dataValidation type="list" allowBlank="1" showInputMessage="1" showErrorMessage="1" xr:uid="{00000000-0002-0000-0300-0000891F0000}">
          <x14:formula1>
            <xm:f>項目!A4:$CTQ$983042</xm:f>
          </x14:formula1>
          <xm:sqref>CTZ983045:CTZ983068</xm:sqref>
        </x14:dataValidation>
        <x14:dataValidation type="list" allowBlank="1" showInputMessage="1" showErrorMessage="1" xr:uid="{00000000-0002-0000-0300-00008A1F0000}">
          <x14:formula1>
            <xm:f>項目!A4:$DDM$983042</xm:f>
          </x14:formula1>
          <xm:sqref>DDV983045:DDV983068</xm:sqref>
        </x14:dataValidation>
        <x14:dataValidation type="list" allowBlank="1" showInputMessage="1" showErrorMessage="1" xr:uid="{00000000-0002-0000-0300-00008B1F0000}">
          <x14:formula1>
            <xm:f>項目!A4:$DNI$983042</xm:f>
          </x14:formula1>
          <xm:sqref>DNR983045:DNR983068</xm:sqref>
        </x14:dataValidation>
        <x14:dataValidation type="list" allowBlank="1" showInputMessage="1" showErrorMessage="1" xr:uid="{00000000-0002-0000-0300-00008C1F0000}">
          <x14:formula1>
            <xm:f>項目!A4:$DXE$983042</xm:f>
          </x14:formula1>
          <xm:sqref>DXN983045:DXN983068</xm:sqref>
        </x14:dataValidation>
        <x14:dataValidation type="list" allowBlank="1" showInputMessage="1" showErrorMessage="1" xr:uid="{00000000-0002-0000-0300-00008D1F0000}">
          <x14:formula1>
            <xm:f>項目!A4:$EHA$983042</xm:f>
          </x14:formula1>
          <xm:sqref>EHJ983045:EHJ983068</xm:sqref>
        </x14:dataValidation>
        <x14:dataValidation type="list" allowBlank="1" showInputMessage="1" showErrorMessage="1" xr:uid="{00000000-0002-0000-0300-00008E1F0000}">
          <x14:formula1>
            <xm:f>項目!A4:$EQW$983042</xm:f>
          </x14:formula1>
          <xm:sqref>ERF983045:ERF983068</xm:sqref>
        </x14:dataValidation>
        <x14:dataValidation type="list" allowBlank="1" showInputMessage="1" showErrorMessage="1" xr:uid="{00000000-0002-0000-0300-00008F1F0000}">
          <x14:formula1>
            <xm:f>項目!A4:$FAS$983042</xm:f>
          </x14:formula1>
          <xm:sqref>FBB983045:FBB983068</xm:sqref>
        </x14:dataValidation>
        <x14:dataValidation type="list" allowBlank="1" showInputMessage="1" showErrorMessage="1" xr:uid="{00000000-0002-0000-0300-0000901F0000}">
          <x14:formula1>
            <xm:f>項目!A4:$FKO$983042</xm:f>
          </x14:formula1>
          <xm:sqref>FKX983045:FKX983068</xm:sqref>
        </x14:dataValidation>
        <x14:dataValidation type="list" allowBlank="1" showInputMessage="1" showErrorMessage="1" xr:uid="{00000000-0002-0000-0300-0000911F0000}">
          <x14:formula1>
            <xm:f>項目!A4:$FUK$983042</xm:f>
          </x14:formula1>
          <xm:sqref>FUT983045:FUT983068</xm:sqref>
        </x14:dataValidation>
        <x14:dataValidation type="list" allowBlank="1" showInputMessage="1" showErrorMessage="1" xr:uid="{00000000-0002-0000-0300-0000921F0000}">
          <x14:formula1>
            <xm:f>項目!A4:$GEG$983042</xm:f>
          </x14:formula1>
          <xm:sqref>GEP983045:GEP983068</xm:sqref>
        </x14:dataValidation>
        <x14:dataValidation type="list" allowBlank="1" showInputMessage="1" showErrorMessage="1" xr:uid="{00000000-0002-0000-0300-0000931F0000}">
          <x14:formula1>
            <xm:f>項目!A4:$GOC$983042</xm:f>
          </x14:formula1>
          <xm:sqref>GOL983045:GOL983068</xm:sqref>
        </x14:dataValidation>
        <x14:dataValidation type="list" allowBlank="1" showInputMessage="1" showErrorMessage="1" xr:uid="{00000000-0002-0000-0300-0000941F0000}">
          <x14:formula1>
            <xm:f>項目!A4:$GXY$983042</xm:f>
          </x14:formula1>
          <xm:sqref>GYH983045:GYH983068</xm:sqref>
        </x14:dataValidation>
        <x14:dataValidation type="list" allowBlank="1" showInputMessage="1" showErrorMessage="1" xr:uid="{00000000-0002-0000-0300-0000951F0000}">
          <x14:formula1>
            <xm:f>項目!A4:$HHU$983042</xm:f>
          </x14:formula1>
          <xm:sqref>HID983045:HID983068</xm:sqref>
        </x14:dataValidation>
        <x14:dataValidation type="list" allowBlank="1" showInputMessage="1" showErrorMessage="1" xr:uid="{00000000-0002-0000-0300-0000961F0000}">
          <x14:formula1>
            <xm:f>項目!A4:$HRQ$983042</xm:f>
          </x14:formula1>
          <xm:sqref>HRZ983045:HRZ983068</xm:sqref>
        </x14:dataValidation>
        <x14:dataValidation type="list" allowBlank="1" showInputMessage="1" showErrorMessage="1" xr:uid="{00000000-0002-0000-0300-0000971F0000}">
          <x14:formula1>
            <xm:f>項目!A4:$IBM$983042</xm:f>
          </x14:formula1>
          <xm:sqref>IBV983045:IBV983068</xm:sqref>
        </x14:dataValidation>
        <x14:dataValidation type="list" allowBlank="1" showInputMessage="1" showErrorMessage="1" xr:uid="{00000000-0002-0000-0300-0000981F0000}">
          <x14:formula1>
            <xm:f>項目!A4:$ILI$983042</xm:f>
          </x14:formula1>
          <xm:sqref>ILR983045:ILR983068</xm:sqref>
        </x14:dataValidation>
        <x14:dataValidation type="list" allowBlank="1" showInputMessage="1" showErrorMessage="1" xr:uid="{00000000-0002-0000-0300-0000991F0000}">
          <x14:formula1>
            <xm:f>項目!A4:$IVE$983042</xm:f>
          </x14:formula1>
          <xm:sqref>IVN983045:IVN983068</xm:sqref>
        </x14:dataValidation>
        <x14:dataValidation type="list" allowBlank="1" showInputMessage="1" showErrorMessage="1" xr:uid="{00000000-0002-0000-0300-00009A1F0000}">
          <x14:formula1>
            <xm:f>項目!A4:$JFA$983042</xm:f>
          </x14:formula1>
          <xm:sqref>JFJ983045:JFJ983068</xm:sqref>
        </x14:dataValidation>
        <x14:dataValidation type="list" allowBlank="1" showInputMessage="1" showErrorMessage="1" xr:uid="{00000000-0002-0000-0300-00009B1F0000}">
          <x14:formula1>
            <xm:f>項目!A4:$JOW$983042</xm:f>
          </x14:formula1>
          <xm:sqref>JPF983045:JPF983068</xm:sqref>
        </x14:dataValidation>
        <x14:dataValidation type="list" allowBlank="1" showInputMessage="1" showErrorMessage="1" xr:uid="{00000000-0002-0000-0300-00009C1F0000}">
          <x14:formula1>
            <xm:f>項目!A4:$JYS$983042</xm:f>
          </x14:formula1>
          <xm:sqref>JZB983045:JZB983068</xm:sqref>
        </x14:dataValidation>
        <x14:dataValidation type="list" allowBlank="1" showInputMessage="1" showErrorMessage="1" xr:uid="{00000000-0002-0000-0300-00009D1F0000}">
          <x14:formula1>
            <xm:f>項目!A4:$KIO$983042</xm:f>
          </x14:formula1>
          <xm:sqref>KIX983045:KIX983068</xm:sqref>
        </x14:dataValidation>
        <x14:dataValidation type="list" allowBlank="1" showInputMessage="1" showErrorMessage="1" xr:uid="{00000000-0002-0000-0300-00009E1F0000}">
          <x14:formula1>
            <xm:f>項目!A4:$KSK$983042</xm:f>
          </x14:formula1>
          <xm:sqref>KST983045:KST983068</xm:sqref>
        </x14:dataValidation>
        <x14:dataValidation type="list" allowBlank="1" showInputMessage="1" showErrorMessage="1" xr:uid="{00000000-0002-0000-0300-00009F1F0000}">
          <x14:formula1>
            <xm:f>項目!A4:$LCG$983042</xm:f>
          </x14:formula1>
          <xm:sqref>LCP983045:LCP983068</xm:sqref>
        </x14:dataValidation>
        <x14:dataValidation type="list" allowBlank="1" showInputMessage="1" showErrorMessage="1" xr:uid="{00000000-0002-0000-0300-0000A01F0000}">
          <x14:formula1>
            <xm:f>項目!A4:$LMC$983042</xm:f>
          </x14:formula1>
          <xm:sqref>LML983045:LML983068</xm:sqref>
        </x14:dataValidation>
        <x14:dataValidation type="list" allowBlank="1" showInputMessage="1" showErrorMessage="1" xr:uid="{00000000-0002-0000-0300-0000A11F0000}">
          <x14:formula1>
            <xm:f>項目!A4:$LVY$983042</xm:f>
          </x14:formula1>
          <xm:sqref>LWH983045:LWH983068</xm:sqref>
        </x14:dataValidation>
        <x14:dataValidation type="list" allowBlank="1" showInputMessage="1" showErrorMessage="1" xr:uid="{00000000-0002-0000-0300-0000A21F0000}">
          <x14:formula1>
            <xm:f>項目!A4:$MFU$983042</xm:f>
          </x14:formula1>
          <xm:sqref>MGD983045:MGD983068</xm:sqref>
        </x14:dataValidation>
        <x14:dataValidation type="list" allowBlank="1" showInputMessage="1" showErrorMessage="1" xr:uid="{00000000-0002-0000-0300-0000A31F0000}">
          <x14:formula1>
            <xm:f>項目!A4:$MPQ$983042</xm:f>
          </x14:formula1>
          <xm:sqref>MPZ983045:MPZ983068</xm:sqref>
        </x14:dataValidation>
        <x14:dataValidation type="list" allowBlank="1" showInputMessage="1" showErrorMessage="1" xr:uid="{00000000-0002-0000-0300-0000A41F0000}">
          <x14:formula1>
            <xm:f>項目!A4:$MZM$983042</xm:f>
          </x14:formula1>
          <xm:sqref>MZV983045:MZV983068</xm:sqref>
        </x14:dataValidation>
        <x14:dataValidation type="list" allowBlank="1" showInputMessage="1" showErrorMessage="1" xr:uid="{00000000-0002-0000-0300-0000A51F0000}">
          <x14:formula1>
            <xm:f>項目!A4:$NJI$983042</xm:f>
          </x14:formula1>
          <xm:sqref>NJR983045:NJR983068</xm:sqref>
        </x14:dataValidation>
        <x14:dataValidation type="list" allowBlank="1" showInputMessage="1" showErrorMessage="1" xr:uid="{00000000-0002-0000-0300-0000A61F0000}">
          <x14:formula1>
            <xm:f>項目!A4:$NTE$983042</xm:f>
          </x14:formula1>
          <xm:sqref>NTN983045:NTN983068</xm:sqref>
        </x14:dataValidation>
        <x14:dataValidation type="list" allowBlank="1" showInputMessage="1" showErrorMessage="1" xr:uid="{00000000-0002-0000-0300-0000A71F0000}">
          <x14:formula1>
            <xm:f>項目!A4:$ODA$983042</xm:f>
          </x14:formula1>
          <xm:sqref>ODJ983045:ODJ983068</xm:sqref>
        </x14:dataValidation>
        <x14:dataValidation type="list" allowBlank="1" showInputMessage="1" showErrorMessage="1" xr:uid="{00000000-0002-0000-0300-0000A81F0000}">
          <x14:formula1>
            <xm:f>項目!A4:$OMW$983042</xm:f>
          </x14:formula1>
          <xm:sqref>ONF983045:ONF983068</xm:sqref>
        </x14:dataValidation>
        <x14:dataValidation type="list" allowBlank="1" showInputMessage="1" showErrorMessage="1" xr:uid="{00000000-0002-0000-0300-0000A91F0000}">
          <x14:formula1>
            <xm:f>項目!A4:$OWS$983042</xm:f>
          </x14:formula1>
          <xm:sqref>OXB983045:OXB983068</xm:sqref>
        </x14:dataValidation>
        <x14:dataValidation type="list" allowBlank="1" showInputMessage="1" showErrorMessage="1" xr:uid="{00000000-0002-0000-0300-0000AA1F0000}">
          <x14:formula1>
            <xm:f>項目!A4:$PGO$983042</xm:f>
          </x14:formula1>
          <xm:sqref>PGX983045:PGX983068</xm:sqref>
        </x14:dataValidation>
        <x14:dataValidation type="list" allowBlank="1" showInputMessage="1" showErrorMessage="1" xr:uid="{00000000-0002-0000-0300-0000AB1F0000}">
          <x14:formula1>
            <xm:f>項目!A4:$PQK$983042</xm:f>
          </x14:formula1>
          <xm:sqref>PQT983045:PQT983068</xm:sqref>
        </x14:dataValidation>
        <x14:dataValidation type="list" allowBlank="1" showInputMessage="1" showErrorMessage="1" xr:uid="{00000000-0002-0000-0300-0000AC1F0000}">
          <x14:formula1>
            <xm:f>項目!A4:$QAG$983042</xm:f>
          </x14:formula1>
          <xm:sqref>QAP983045:QAP983068</xm:sqref>
        </x14:dataValidation>
        <x14:dataValidation type="list" allowBlank="1" showInputMessage="1" showErrorMessage="1" xr:uid="{00000000-0002-0000-0300-0000AD1F0000}">
          <x14:formula1>
            <xm:f>項目!A4:$QKC$983042</xm:f>
          </x14:formula1>
          <xm:sqref>QKL983045:QKL983068</xm:sqref>
        </x14:dataValidation>
        <x14:dataValidation type="list" allowBlank="1" showInputMessage="1" showErrorMessage="1" xr:uid="{00000000-0002-0000-0300-0000AE1F0000}">
          <x14:formula1>
            <xm:f>項目!A4:$QTY$983042</xm:f>
          </x14:formula1>
          <xm:sqref>QUH983045:QUH983068</xm:sqref>
        </x14:dataValidation>
        <x14:dataValidation type="list" allowBlank="1" showInputMessage="1" showErrorMessage="1" xr:uid="{00000000-0002-0000-0300-0000AF1F0000}">
          <x14:formula1>
            <xm:f>項目!A4:$RDU$983042</xm:f>
          </x14:formula1>
          <xm:sqref>RED983045:RED983068</xm:sqref>
        </x14:dataValidation>
        <x14:dataValidation type="list" allowBlank="1" showInputMessage="1" showErrorMessage="1" xr:uid="{00000000-0002-0000-0300-0000B01F0000}">
          <x14:formula1>
            <xm:f>項目!A4:$RNQ$983042</xm:f>
          </x14:formula1>
          <xm:sqref>RNZ983045:RNZ983068</xm:sqref>
        </x14:dataValidation>
        <x14:dataValidation type="list" allowBlank="1" showInputMessage="1" showErrorMessage="1" xr:uid="{00000000-0002-0000-0300-0000B11F0000}">
          <x14:formula1>
            <xm:f>項目!A4:$RXM$983042</xm:f>
          </x14:formula1>
          <xm:sqref>RXV983045:RXV983068</xm:sqref>
        </x14:dataValidation>
        <x14:dataValidation type="list" allowBlank="1" showInputMessage="1" showErrorMessage="1" xr:uid="{00000000-0002-0000-0300-0000B21F0000}">
          <x14:formula1>
            <xm:f>項目!A4:$SHI$983042</xm:f>
          </x14:formula1>
          <xm:sqref>SHR983045:SHR983068</xm:sqref>
        </x14:dataValidation>
        <x14:dataValidation type="list" allowBlank="1" showInputMessage="1" showErrorMessage="1" xr:uid="{00000000-0002-0000-0300-0000B31F0000}">
          <x14:formula1>
            <xm:f>項目!A4:$SRE$983042</xm:f>
          </x14:formula1>
          <xm:sqref>SRN983045:SRN983068</xm:sqref>
        </x14:dataValidation>
        <x14:dataValidation type="list" allowBlank="1" showInputMessage="1" showErrorMessage="1" xr:uid="{00000000-0002-0000-0300-0000B41F0000}">
          <x14:formula1>
            <xm:f>項目!A4:$TBA$983042</xm:f>
          </x14:formula1>
          <xm:sqref>TBJ983045:TBJ983068</xm:sqref>
        </x14:dataValidation>
        <x14:dataValidation type="list" allowBlank="1" showInputMessage="1" showErrorMessage="1" xr:uid="{00000000-0002-0000-0300-0000B51F0000}">
          <x14:formula1>
            <xm:f>項目!A4:$TKW$983042</xm:f>
          </x14:formula1>
          <xm:sqref>TLF983045:TLF983068</xm:sqref>
        </x14:dataValidation>
        <x14:dataValidation type="list" allowBlank="1" showInputMessage="1" showErrorMessage="1" xr:uid="{00000000-0002-0000-0300-0000B61F0000}">
          <x14:formula1>
            <xm:f>項目!A4:$TUS$983042</xm:f>
          </x14:formula1>
          <xm:sqref>TVB983045:TVB983068</xm:sqref>
        </x14:dataValidation>
        <x14:dataValidation type="list" allowBlank="1" showInputMessage="1" showErrorMessage="1" xr:uid="{00000000-0002-0000-0300-0000B71F0000}">
          <x14:formula1>
            <xm:f>項目!A4:$UEO$983042</xm:f>
          </x14:formula1>
          <xm:sqref>UEX983045:UEX983068</xm:sqref>
        </x14:dataValidation>
        <x14:dataValidation type="list" allowBlank="1" showInputMessage="1" showErrorMessage="1" xr:uid="{00000000-0002-0000-0300-0000B81F0000}">
          <x14:formula1>
            <xm:f>項目!A4:$UOK$983042</xm:f>
          </x14:formula1>
          <xm:sqref>UOT983045:UOT983068</xm:sqref>
        </x14:dataValidation>
        <x14:dataValidation type="list" allowBlank="1" showInputMessage="1" showErrorMessage="1" xr:uid="{00000000-0002-0000-0300-0000B91F0000}">
          <x14:formula1>
            <xm:f>項目!A4:$UYG$983042</xm:f>
          </x14:formula1>
          <xm:sqref>UYP983045:UYP983068</xm:sqref>
        </x14:dataValidation>
        <x14:dataValidation type="list" allowBlank="1" showInputMessage="1" showErrorMessage="1" xr:uid="{00000000-0002-0000-0300-0000BA1F0000}">
          <x14:formula1>
            <xm:f>項目!A4:$VIC$983042</xm:f>
          </x14:formula1>
          <xm:sqref>VIL983045:VIL983068</xm:sqref>
        </x14:dataValidation>
        <x14:dataValidation type="list" allowBlank="1" showInputMessage="1" showErrorMessage="1" xr:uid="{00000000-0002-0000-0300-0000BB1F0000}">
          <x14:formula1>
            <xm:f>項目!A4:$VRY$983042</xm:f>
          </x14:formula1>
          <xm:sqref>VSH983045:VSH983068</xm:sqref>
        </x14:dataValidation>
        <x14:dataValidation type="list" allowBlank="1" showInputMessage="1" showErrorMessage="1" xr:uid="{00000000-0002-0000-0300-0000BC1F0000}">
          <x14:formula1>
            <xm:f>項目!A4:$WBU$983042</xm:f>
          </x14:formula1>
          <xm:sqref>WCD983045:WCD983068</xm:sqref>
        </x14:dataValidation>
        <x14:dataValidation type="list" allowBlank="1" showInputMessage="1" showErrorMessage="1" xr:uid="{00000000-0002-0000-0300-0000BD1F0000}">
          <x14:formula1>
            <xm:f>項目!A4:$WLQ$983042</xm:f>
          </x14:formula1>
          <xm:sqref>WLZ983045:WLZ983068</xm:sqref>
        </x14:dataValidation>
        <x14:dataValidation type="list" allowBlank="1" showInputMessage="1" showErrorMessage="1" xr:uid="{00000000-0002-0000-0300-0000BE1F0000}">
          <x14:formula1>
            <xm:f>項目!A4:$WVM$983042</xm:f>
          </x14:formula1>
          <xm:sqref>WVV983045:WVV983068</xm:sqref>
        </x14:dataValidation>
        <x14:dataValidation type="list" allowBlank="1" showInputMessage="1" showErrorMessage="1" xr:uid="{00000000-0002-0000-0300-0000BF1F0000}">
          <x14:formula1>
            <xm:f>項目!A2:$SO$4</xm:f>
          </x14:formula1>
          <xm:sqref>SX5:SX28</xm:sqref>
        </x14:dataValidation>
        <x14:dataValidation type="list" allowBlank="1" showInputMessage="1" showErrorMessage="1" xr:uid="{00000000-0002-0000-0300-0000C01F0000}">
          <x14:formula1>
            <xm:f>項目!A2:$JE$4</xm:f>
          </x14:formula1>
          <xm:sqref>JN5:JN28</xm:sqref>
        </x14:dataValidation>
        <x14:dataValidation type="list" allowBlank="1" showInputMessage="1" showErrorMessage="1" xr:uid="{00000000-0002-0000-0300-0000C11F0000}">
          <x14:formula1>
            <xm:f>項目!A2:$TA$4</xm:f>
          </x14:formula1>
          <xm:sqref>TJ5:TJ28</xm:sqref>
        </x14:dataValidation>
        <x14:dataValidation type="list" allowBlank="1" showInputMessage="1" showErrorMessage="1" xr:uid="{00000000-0002-0000-0300-0000C21F0000}">
          <x14:formula1>
            <xm:f>項目!A2:$ACW$4</xm:f>
          </x14:formula1>
          <xm:sqref>ADF5:ADF28</xm:sqref>
        </x14:dataValidation>
        <x14:dataValidation type="list" allowBlank="1" showInputMessage="1" showErrorMessage="1" xr:uid="{00000000-0002-0000-0300-0000C31F0000}">
          <x14:formula1>
            <xm:f>項目!A2:$AMS$4</xm:f>
          </x14:formula1>
          <xm:sqref>ANB5:ANB28</xm:sqref>
        </x14:dataValidation>
        <x14:dataValidation type="list" allowBlank="1" showInputMessage="1" showErrorMessage="1" xr:uid="{00000000-0002-0000-0300-0000C41F0000}">
          <x14:formula1>
            <xm:f>項目!A2:$AWO$4</xm:f>
          </x14:formula1>
          <xm:sqref>AWX5:AWX28</xm:sqref>
        </x14:dataValidation>
        <x14:dataValidation type="list" allowBlank="1" showInputMessage="1" showErrorMessage="1" xr:uid="{00000000-0002-0000-0300-0000C51F0000}">
          <x14:formula1>
            <xm:f>項目!A2:$BGK$4</xm:f>
          </x14:formula1>
          <xm:sqref>BGT5:BGT28</xm:sqref>
        </x14:dataValidation>
        <x14:dataValidation type="list" allowBlank="1" showInputMessage="1" showErrorMessage="1" xr:uid="{00000000-0002-0000-0300-0000C61F0000}">
          <x14:formula1>
            <xm:f>項目!A2:$BQG$4</xm:f>
          </x14:formula1>
          <xm:sqref>BQP5:BQP28</xm:sqref>
        </x14:dataValidation>
        <x14:dataValidation type="list" allowBlank="1" showInputMessage="1" showErrorMessage="1" xr:uid="{00000000-0002-0000-0300-0000C71F0000}">
          <x14:formula1>
            <xm:f>項目!A2:$CAC$4</xm:f>
          </x14:formula1>
          <xm:sqref>CAL5:CAL28</xm:sqref>
        </x14:dataValidation>
        <x14:dataValidation type="list" allowBlank="1" showInputMessage="1" showErrorMessage="1" xr:uid="{00000000-0002-0000-0300-0000C81F0000}">
          <x14:formula1>
            <xm:f>項目!A2:$CJY$4</xm:f>
          </x14:formula1>
          <xm:sqref>CKH5:CKH28</xm:sqref>
        </x14:dataValidation>
        <x14:dataValidation type="list" allowBlank="1" showInputMessage="1" showErrorMessage="1" xr:uid="{00000000-0002-0000-0300-0000C91F0000}">
          <x14:formula1>
            <xm:f>項目!A2:$CTU$4</xm:f>
          </x14:formula1>
          <xm:sqref>CUD5:CUD28</xm:sqref>
        </x14:dataValidation>
        <x14:dataValidation type="list" allowBlank="1" showInputMessage="1" showErrorMessage="1" xr:uid="{00000000-0002-0000-0300-0000CA1F0000}">
          <x14:formula1>
            <xm:f>項目!A2:$DDQ$4</xm:f>
          </x14:formula1>
          <xm:sqref>DDZ5:DDZ28</xm:sqref>
        </x14:dataValidation>
        <x14:dataValidation type="list" allowBlank="1" showInputMessage="1" showErrorMessage="1" xr:uid="{00000000-0002-0000-0300-0000CB1F0000}">
          <x14:formula1>
            <xm:f>項目!A2:$DNM$4</xm:f>
          </x14:formula1>
          <xm:sqref>DNV5:DNV28</xm:sqref>
        </x14:dataValidation>
        <x14:dataValidation type="list" allowBlank="1" showInputMessage="1" showErrorMessage="1" xr:uid="{00000000-0002-0000-0300-0000CC1F0000}">
          <x14:formula1>
            <xm:f>項目!A2:$DXI$4</xm:f>
          </x14:formula1>
          <xm:sqref>DXR5:DXR28</xm:sqref>
        </x14:dataValidation>
        <x14:dataValidation type="list" allowBlank="1" showInputMessage="1" showErrorMessage="1" xr:uid="{00000000-0002-0000-0300-0000CD1F0000}">
          <x14:formula1>
            <xm:f>項目!A2:$EHE$4</xm:f>
          </x14:formula1>
          <xm:sqref>EHN5:EHN28</xm:sqref>
        </x14:dataValidation>
        <x14:dataValidation type="list" allowBlank="1" showInputMessage="1" showErrorMessage="1" xr:uid="{00000000-0002-0000-0300-0000CE1F0000}">
          <x14:formula1>
            <xm:f>項目!A2:$ERA$4</xm:f>
          </x14:formula1>
          <xm:sqref>ERJ5:ERJ28</xm:sqref>
        </x14:dataValidation>
        <x14:dataValidation type="list" allowBlank="1" showInputMessage="1" showErrorMessage="1" xr:uid="{00000000-0002-0000-0300-0000CF1F0000}">
          <x14:formula1>
            <xm:f>項目!A2:$FAW$4</xm:f>
          </x14:formula1>
          <xm:sqref>FBF5:FBF28</xm:sqref>
        </x14:dataValidation>
        <x14:dataValidation type="list" allowBlank="1" showInputMessage="1" showErrorMessage="1" xr:uid="{00000000-0002-0000-0300-0000D01F0000}">
          <x14:formula1>
            <xm:f>項目!A2:$FKS$4</xm:f>
          </x14:formula1>
          <xm:sqref>FLB5:FLB28</xm:sqref>
        </x14:dataValidation>
        <x14:dataValidation type="list" allowBlank="1" showInputMessage="1" showErrorMessage="1" xr:uid="{00000000-0002-0000-0300-0000D11F0000}">
          <x14:formula1>
            <xm:f>項目!A2:$FUO$4</xm:f>
          </x14:formula1>
          <xm:sqref>FUX5:FUX28</xm:sqref>
        </x14:dataValidation>
        <x14:dataValidation type="list" allowBlank="1" showInputMessage="1" showErrorMessage="1" xr:uid="{00000000-0002-0000-0300-0000D21F0000}">
          <x14:formula1>
            <xm:f>項目!A2:$GEK$4</xm:f>
          </x14:formula1>
          <xm:sqref>GET5:GET28</xm:sqref>
        </x14:dataValidation>
        <x14:dataValidation type="list" allowBlank="1" showInputMessage="1" showErrorMessage="1" xr:uid="{00000000-0002-0000-0300-0000D31F0000}">
          <x14:formula1>
            <xm:f>項目!A2:$GOG$4</xm:f>
          </x14:formula1>
          <xm:sqref>GOP5:GOP28</xm:sqref>
        </x14:dataValidation>
        <x14:dataValidation type="list" allowBlank="1" showInputMessage="1" showErrorMessage="1" xr:uid="{00000000-0002-0000-0300-0000D41F0000}">
          <x14:formula1>
            <xm:f>項目!A2:$GYC$4</xm:f>
          </x14:formula1>
          <xm:sqref>GYL5:GYL28</xm:sqref>
        </x14:dataValidation>
        <x14:dataValidation type="list" allowBlank="1" showInputMessage="1" showErrorMessage="1" xr:uid="{00000000-0002-0000-0300-0000D51F0000}">
          <x14:formula1>
            <xm:f>項目!A2:$HHY$4</xm:f>
          </x14:formula1>
          <xm:sqref>HIH5:HIH28</xm:sqref>
        </x14:dataValidation>
        <x14:dataValidation type="list" allowBlank="1" showInputMessage="1" showErrorMessage="1" xr:uid="{00000000-0002-0000-0300-0000D61F0000}">
          <x14:formula1>
            <xm:f>項目!A2:$HRU$4</xm:f>
          </x14:formula1>
          <xm:sqref>HSD5:HSD28</xm:sqref>
        </x14:dataValidation>
        <x14:dataValidation type="list" allowBlank="1" showInputMessage="1" showErrorMessage="1" xr:uid="{00000000-0002-0000-0300-0000D71F0000}">
          <x14:formula1>
            <xm:f>項目!A2:$IBQ$4</xm:f>
          </x14:formula1>
          <xm:sqref>IBZ5:IBZ28</xm:sqref>
        </x14:dataValidation>
        <x14:dataValidation type="list" allowBlank="1" showInputMessage="1" showErrorMessage="1" xr:uid="{00000000-0002-0000-0300-0000D81F0000}">
          <x14:formula1>
            <xm:f>項目!A2:$ILM$4</xm:f>
          </x14:formula1>
          <xm:sqref>ILV5:ILV28</xm:sqref>
        </x14:dataValidation>
        <x14:dataValidation type="list" allowBlank="1" showInputMessage="1" showErrorMessage="1" xr:uid="{00000000-0002-0000-0300-0000D91F0000}">
          <x14:formula1>
            <xm:f>項目!A2:$IVI$4</xm:f>
          </x14:formula1>
          <xm:sqref>IVR5:IVR28</xm:sqref>
        </x14:dataValidation>
        <x14:dataValidation type="list" allowBlank="1" showInputMessage="1" showErrorMessage="1" xr:uid="{00000000-0002-0000-0300-0000DA1F0000}">
          <x14:formula1>
            <xm:f>項目!A2:$JFE$4</xm:f>
          </x14:formula1>
          <xm:sqref>JFN5:JFN28</xm:sqref>
        </x14:dataValidation>
        <x14:dataValidation type="list" allowBlank="1" showInputMessage="1" showErrorMessage="1" xr:uid="{00000000-0002-0000-0300-0000DB1F0000}">
          <x14:formula1>
            <xm:f>項目!A2:$JPA$4</xm:f>
          </x14:formula1>
          <xm:sqref>JPJ5:JPJ28</xm:sqref>
        </x14:dataValidation>
        <x14:dataValidation type="list" allowBlank="1" showInputMessage="1" showErrorMessage="1" xr:uid="{00000000-0002-0000-0300-0000DC1F0000}">
          <x14:formula1>
            <xm:f>項目!A2:$JYW$4</xm:f>
          </x14:formula1>
          <xm:sqref>JZF5:JZF28</xm:sqref>
        </x14:dataValidation>
        <x14:dataValidation type="list" allowBlank="1" showInputMessage="1" showErrorMessage="1" xr:uid="{00000000-0002-0000-0300-0000DD1F0000}">
          <x14:formula1>
            <xm:f>項目!A2:$KIS$4</xm:f>
          </x14:formula1>
          <xm:sqref>KJB5:KJB28</xm:sqref>
        </x14:dataValidation>
        <x14:dataValidation type="list" allowBlank="1" showInputMessage="1" showErrorMessage="1" xr:uid="{00000000-0002-0000-0300-0000DE1F0000}">
          <x14:formula1>
            <xm:f>項目!A2:$KSO$4</xm:f>
          </x14:formula1>
          <xm:sqref>KSX5:KSX28</xm:sqref>
        </x14:dataValidation>
        <x14:dataValidation type="list" allowBlank="1" showInputMessage="1" showErrorMessage="1" xr:uid="{00000000-0002-0000-0300-0000DF1F0000}">
          <x14:formula1>
            <xm:f>項目!A2:$LCK$4</xm:f>
          </x14:formula1>
          <xm:sqref>LCT5:LCT28</xm:sqref>
        </x14:dataValidation>
        <x14:dataValidation type="list" allowBlank="1" showInputMessage="1" showErrorMessage="1" xr:uid="{00000000-0002-0000-0300-0000E01F0000}">
          <x14:formula1>
            <xm:f>項目!A2:$LMG$4</xm:f>
          </x14:formula1>
          <xm:sqref>LMP5:LMP28</xm:sqref>
        </x14:dataValidation>
        <x14:dataValidation type="list" allowBlank="1" showInputMessage="1" showErrorMessage="1" xr:uid="{00000000-0002-0000-0300-0000E11F0000}">
          <x14:formula1>
            <xm:f>項目!A2:$LWC$4</xm:f>
          </x14:formula1>
          <xm:sqref>LWL5:LWL28</xm:sqref>
        </x14:dataValidation>
        <x14:dataValidation type="list" allowBlank="1" showInputMessage="1" showErrorMessage="1" xr:uid="{00000000-0002-0000-0300-0000E21F0000}">
          <x14:formula1>
            <xm:f>項目!A2:$MFY$4</xm:f>
          </x14:formula1>
          <xm:sqref>MGH5:MGH28</xm:sqref>
        </x14:dataValidation>
        <x14:dataValidation type="list" allowBlank="1" showInputMessage="1" showErrorMessage="1" xr:uid="{00000000-0002-0000-0300-0000E31F0000}">
          <x14:formula1>
            <xm:f>項目!A2:$MPU$4</xm:f>
          </x14:formula1>
          <xm:sqref>MQD5:MQD28</xm:sqref>
        </x14:dataValidation>
        <x14:dataValidation type="list" allowBlank="1" showInputMessage="1" showErrorMessage="1" xr:uid="{00000000-0002-0000-0300-0000E41F0000}">
          <x14:formula1>
            <xm:f>項目!A2:$MZQ$4</xm:f>
          </x14:formula1>
          <xm:sqref>MZZ5:MZZ28</xm:sqref>
        </x14:dataValidation>
        <x14:dataValidation type="list" allowBlank="1" showInputMessage="1" showErrorMessage="1" xr:uid="{00000000-0002-0000-0300-0000E51F0000}">
          <x14:formula1>
            <xm:f>項目!A2:$NJM$4</xm:f>
          </x14:formula1>
          <xm:sqref>NJV5:NJV28</xm:sqref>
        </x14:dataValidation>
        <x14:dataValidation type="list" allowBlank="1" showInputMessage="1" showErrorMessage="1" xr:uid="{00000000-0002-0000-0300-0000E61F0000}">
          <x14:formula1>
            <xm:f>項目!A2:$NTI$4</xm:f>
          </x14:formula1>
          <xm:sqref>NTR5:NTR28</xm:sqref>
        </x14:dataValidation>
        <x14:dataValidation type="list" allowBlank="1" showInputMessage="1" showErrorMessage="1" xr:uid="{00000000-0002-0000-0300-0000E71F0000}">
          <x14:formula1>
            <xm:f>項目!A2:$ODE$4</xm:f>
          </x14:formula1>
          <xm:sqref>ODN5:ODN28</xm:sqref>
        </x14:dataValidation>
        <x14:dataValidation type="list" allowBlank="1" showInputMessage="1" showErrorMessage="1" xr:uid="{00000000-0002-0000-0300-0000E81F0000}">
          <x14:formula1>
            <xm:f>項目!A2:$ONA$4</xm:f>
          </x14:formula1>
          <xm:sqref>ONJ5:ONJ28</xm:sqref>
        </x14:dataValidation>
        <x14:dataValidation type="list" allowBlank="1" showInputMessage="1" showErrorMessage="1" xr:uid="{00000000-0002-0000-0300-0000E91F0000}">
          <x14:formula1>
            <xm:f>項目!A2:$OWW$4</xm:f>
          </x14:formula1>
          <xm:sqref>OXF5:OXF28</xm:sqref>
        </x14:dataValidation>
        <x14:dataValidation type="list" allowBlank="1" showInputMessage="1" showErrorMessage="1" xr:uid="{00000000-0002-0000-0300-0000EA1F0000}">
          <x14:formula1>
            <xm:f>項目!A2:$PGS$4</xm:f>
          </x14:formula1>
          <xm:sqref>PHB5:PHB28</xm:sqref>
        </x14:dataValidation>
        <x14:dataValidation type="list" allowBlank="1" showInputMessage="1" showErrorMessage="1" xr:uid="{00000000-0002-0000-0300-0000EB1F0000}">
          <x14:formula1>
            <xm:f>項目!A2:$PQO$4</xm:f>
          </x14:formula1>
          <xm:sqref>PQX5:PQX28</xm:sqref>
        </x14:dataValidation>
        <x14:dataValidation type="list" allowBlank="1" showInputMessage="1" showErrorMessage="1" xr:uid="{00000000-0002-0000-0300-0000EC1F0000}">
          <x14:formula1>
            <xm:f>項目!A2:$QAK$4</xm:f>
          </x14:formula1>
          <xm:sqref>QAT5:QAT28</xm:sqref>
        </x14:dataValidation>
        <x14:dataValidation type="list" allowBlank="1" showInputMessage="1" showErrorMessage="1" xr:uid="{00000000-0002-0000-0300-0000ED1F0000}">
          <x14:formula1>
            <xm:f>項目!A2:$QKG$4</xm:f>
          </x14:formula1>
          <xm:sqref>QKP5:QKP28</xm:sqref>
        </x14:dataValidation>
        <x14:dataValidation type="list" allowBlank="1" showInputMessage="1" showErrorMessage="1" xr:uid="{00000000-0002-0000-0300-0000EE1F0000}">
          <x14:formula1>
            <xm:f>項目!A2:$QUC$4</xm:f>
          </x14:formula1>
          <xm:sqref>QUL5:QUL28</xm:sqref>
        </x14:dataValidation>
        <x14:dataValidation type="list" allowBlank="1" showInputMessage="1" showErrorMessage="1" xr:uid="{00000000-0002-0000-0300-0000EF1F0000}">
          <x14:formula1>
            <xm:f>項目!A2:$RDY$4</xm:f>
          </x14:formula1>
          <xm:sqref>REH5:REH28</xm:sqref>
        </x14:dataValidation>
        <x14:dataValidation type="list" allowBlank="1" showInputMessage="1" showErrorMessage="1" xr:uid="{00000000-0002-0000-0300-0000F01F0000}">
          <x14:formula1>
            <xm:f>項目!A2:$RNU$4</xm:f>
          </x14:formula1>
          <xm:sqref>ROD5:ROD28</xm:sqref>
        </x14:dataValidation>
        <x14:dataValidation type="list" allowBlank="1" showInputMessage="1" showErrorMessage="1" xr:uid="{00000000-0002-0000-0300-0000F11F0000}">
          <x14:formula1>
            <xm:f>項目!A2:$RXQ$4</xm:f>
          </x14:formula1>
          <xm:sqref>RXZ5:RXZ28</xm:sqref>
        </x14:dataValidation>
        <x14:dataValidation type="list" allowBlank="1" showInputMessage="1" showErrorMessage="1" xr:uid="{00000000-0002-0000-0300-0000F21F0000}">
          <x14:formula1>
            <xm:f>項目!A2:$SHM$4</xm:f>
          </x14:formula1>
          <xm:sqref>SHV5:SHV28</xm:sqref>
        </x14:dataValidation>
        <x14:dataValidation type="list" allowBlank="1" showInputMessage="1" showErrorMessage="1" xr:uid="{00000000-0002-0000-0300-0000F31F0000}">
          <x14:formula1>
            <xm:f>項目!A2:$SRI$4</xm:f>
          </x14:formula1>
          <xm:sqref>SRR5:SRR28</xm:sqref>
        </x14:dataValidation>
        <x14:dataValidation type="list" allowBlank="1" showInputMessage="1" showErrorMessage="1" xr:uid="{00000000-0002-0000-0300-0000F41F0000}">
          <x14:formula1>
            <xm:f>項目!A2:$TBE$4</xm:f>
          </x14:formula1>
          <xm:sqref>TBN5:TBN28</xm:sqref>
        </x14:dataValidation>
        <x14:dataValidation type="list" allowBlank="1" showInputMessage="1" showErrorMessage="1" xr:uid="{00000000-0002-0000-0300-0000F51F0000}">
          <x14:formula1>
            <xm:f>項目!A2:$TLA$4</xm:f>
          </x14:formula1>
          <xm:sqref>TLJ5:TLJ28</xm:sqref>
        </x14:dataValidation>
        <x14:dataValidation type="list" allowBlank="1" showInputMessage="1" showErrorMessage="1" xr:uid="{00000000-0002-0000-0300-0000F61F0000}">
          <x14:formula1>
            <xm:f>項目!A2:$TUW$4</xm:f>
          </x14:formula1>
          <xm:sqref>TVF5:TVF28</xm:sqref>
        </x14:dataValidation>
        <x14:dataValidation type="list" allowBlank="1" showInputMessage="1" showErrorMessage="1" xr:uid="{00000000-0002-0000-0300-0000F71F0000}">
          <x14:formula1>
            <xm:f>項目!A2:$UES$4</xm:f>
          </x14:formula1>
          <xm:sqref>UFB5:UFB28</xm:sqref>
        </x14:dataValidation>
        <x14:dataValidation type="list" allowBlank="1" showInputMessage="1" showErrorMessage="1" xr:uid="{00000000-0002-0000-0300-0000F81F0000}">
          <x14:formula1>
            <xm:f>項目!A2:$UOO$4</xm:f>
          </x14:formula1>
          <xm:sqref>UOX5:UOX28</xm:sqref>
        </x14:dataValidation>
        <x14:dataValidation type="list" allowBlank="1" showInputMessage="1" showErrorMessage="1" xr:uid="{00000000-0002-0000-0300-0000F91F0000}">
          <x14:formula1>
            <xm:f>項目!A2:$UYK$4</xm:f>
          </x14:formula1>
          <xm:sqref>UYT5:UYT28</xm:sqref>
        </x14:dataValidation>
        <x14:dataValidation type="list" allowBlank="1" showInputMessage="1" showErrorMessage="1" xr:uid="{00000000-0002-0000-0300-0000FA1F0000}">
          <x14:formula1>
            <xm:f>項目!A2:$VIG$4</xm:f>
          </x14:formula1>
          <xm:sqref>VIP5:VIP28</xm:sqref>
        </x14:dataValidation>
        <x14:dataValidation type="list" allowBlank="1" showInputMessage="1" showErrorMessage="1" xr:uid="{00000000-0002-0000-0300-0000FB1F0000}">
          <x14:formula1>
            <xm:f>項目!A2:$VSC$4</xm:f>
          </x14:formula1>
          <xm:sqref>VSL5:VSL28</xm:sqref>
        </x14:dataValidation>
        <x14:dataValidation type="list" allowBlank="1" showInputMessage="1" showErrorMessage="1" xr:uid="{00000000-0002-0000-0300-0000FC1F0000}">
          <x14:formula1>
            <xm:f>項目!A2:$WBY$4</xm:f>
          </x14:formula1>
          <xm:sqref>WCH5:WCH28</xm:sqref>
        </x14:dataValidation>
        <x14:dataValidation type="list" allowBlank="1" showInputMessage="1" showErrorMessage="1" xr:uid="{00000000-0002-0000-0300-0000FD1F0000}">
          <x14:formula1>
            <xm:f>項目!A2:$WLU$4</xm:f>
          </x14:formula1>
          <xm:sqref>WMD5:WMD28</xm:sqref>
        </x14:dataValidation>
        <x14:dataValidation type="list" allowBlank="1" showInputMessage="1" showErrorMessage="1" xr:uid="{00000000-0002-0000-0300-0000FE1F0000}">
          <x14:formula1>
            <xm:f>項目!A2:$WVQ$4</xm:f>
          </x14:formula1>
          <xm:sqref>WVZ5:WVZ28</xm:sqref>
        </x14:dataValidation>
        <x14:dataValidation type="list" allowBlank="1" showInputMessage="1" showErrorMessage="1" xr:uid="{00000000-0002-0000-0300-0000FF1F0000}">
          <x14:formula1>
            <xm:f>項目!A4:$K$65538</xm:f>
          </x14:formula1>
          <xm:sqref>R65541:R65564</xm:sqref>
        </x14:dataValidation>
        <x14:dataValidation type="list" allowBlank="1" showInputMessage="1" showErrorMessage="1" xr:uid="{00000000-0002-0000-0300-000000200000}">
          <x14:formula1>
            <xm:f>項目!A4:$JE$65538</xm:f>
          </x14:formula1>
          <xm:sqref>JN65541:JN65564</xm:sqref>
        </x14:dataValidation>
        <x14:dataValidation type="list" allowBlank="1" showInputMessage="1" showErrorMessage="1" xr:uid="{00000000-0002-0000-0300-000001200000}">
          <x14:formula1>
            <xm:f>項目!A4:$TA$65538</xm:f>
          </x14:formula1>
          <xm:sqref>TJ65541:TJ65564</xm:sqref>
        </x14:dataValidation>
        <x14:dataValidation type="list" allowBlank="1" showInputMessage="1" showErrorMessage="1" xr:uid="{00000000-0002-0000-0300-000002200000}">
          <x14:formula1>
            <xm:f>項目!A4:$ACW$65538</xm:f>
          </x14:formula1>
          <xm:sqref>ADF65541:ADF65564</xm:sqref>
        </x14:dataValidation>
        <x14:dataValidation type="list" allowBlank="1" showInputMessage="1" showErrorMessage="1" xr:uid="{00000000-0002-0000-0300-000003200000}">
          <x14:formula1>
            <xm:f>項目!A4:$AMS$65538</xm:f>
          </x14:formula1>
          <xm:sqref>ANB65541:ANB65564</xm:sqref>
        </x14:dataValidation>
        <x14:dataValidation type="list" allowBlank="1" showInputMessage="1" showErrorMessage="1" xr:uid="{00000000-0002-0000-0300-000004200000}">
          <x14:formula1>
            <xm:f>項目!A4:$AWO$65538</xm:f>
          </x14:formula1>
          <xm:sqref>AWX65541:AWX65564</xm:sqref>
        </x14:dataValidation>
        <x14:dataValidation type="list" allowBlank="1" showInputMessage="1" showErrorMessage="1" xr:uid="{00000000-0002-0000-0300-000005200000}">
          <x14:formula1>
            <xm:f>項目!A4:$BGK$65538</xm:f>
          </x14:formula1>
          <xm:sqref>BGT65541:BGT65564</xm:sqref>
        </x14:dataValidation>
        <x14:dataValidation type="list" allowBlank="1" showInputMessage="1" showErrorMessage="1" xr:uid="{00000000-0002-0000-0300-000006200000}">
          <x14:formula1>
            <xm:f>項目!A4:$BQG$65538</xm:f>
          </x14:formula1>
          <xm:sqref>BQP65541:BQP65564</xm:sqref>
        </x14:dataValidation>
        <x14:dataValidation type="list" allowBlank="1" showInputMessage="1" showErrorMessage="1" xr:uid="{00000000-0002-0000-0300-000007200000}">
          <x14:formula1>
            <xm:f>項目!A4:$CAC$65538</xm:f>
          </x14:formula1>
          <xm:sqref>CAL65541:CAL65564</xm:sqref>
        </x14:dataValidation>
        <x14:dataValidation type="list" allowBlank="1" showInputMessage="1" showErrorMessage="1" xr:uid="{00000000-0002-0000-0300-000008200000}">
          <x14:formula1>
            <xm:f>項目!A4:$CJY$65538</xm:f>
          </x14:formula1>
          <xm:sqref>CKH65541:CKH65564</xm:sqref>
        </x14:dataValidation>
        <x14:dataValidation type="list" allowBlank="1" showInputMessage="1" showErrorMessage="1" xr:uid="{00000000-0002-0000-0300-000009200000}">
          <x14:formula1>
            <xm:f>項目!A4:$CTU$65538</xm:f>
          </x14:formula1>
          <xm:sqref>CUD65541:CUD65564</xm:sqref>
        </x14:dataValidation>
        <x14:dataValidation type="list" allowBlank="1" showInputMessage="1" showErrorMessage="1" xr:uid="{00000000-0002-0000-0300-00000A200000}">
          <x14:formula1>
            <xm:f>項目!A4:$DDQ$65538</xm:f>
          </x14:formula1>
          <xm:sqref>DDZ65541:DDZ65564</xm:sqref>
        </x14:dataValidation>
        <x14:dataValidation type="list" allowBlank="1" showInputMessage="1" showErrorMessage="1" xr:uid="{00000000-0002-0000-0300-00000B200000}">
          <x14:formula1>
            <xm:f>項目!A4:$DNM$65538</xm:f>
          </x14:formula1>
          <xm:sqref>DNV65541:DNV65564</xm:sqref>
        </x14:dataValidation>
        <x14:dataValidation type="list" allowBlank="1" showInputMessage="1" showErrorMessage="1" xr:uid="{00000000-0002-0000-0300-00000C200000}">
          <x14:formula1>
            <xm:f>項目!A4:$DXI$65538</xm:f>
          </x14:formula1>
          <xm:sqref>DXR65541:DXR65564</xm:sqref>
        </x14:dataValidation>
        <x14:dataValidation type="list" allowBlank="1" showInputMessage="1" showErrorMessage="1" xr:uid="{00000000-0002-0000-0300-00000D200000}">
          <x14:formula1>
            <xm:f>項目!A4:$EHE$65538</xm:f>
          </x14:formula1>
          <xm:sqref>EHN65541:EHN65564</xm:sqref>
        </x14:dataValidation>
        <x14:dataValidation type="list" allowBlank="1" showInputMessage="1" showErrorMessage="1" xr:uid="{00000000-0002-0000-0300-00000E200000}">
          <x14:formula1>
            <xm:f>項目!A4:$ERA$65538</xm:f>
          </x14:formula1>
          <xm:sqref>ERJ65541:ERJ65564</xm:sqref>
        </x14:dataValidation>
        <x14:dataValidation type="list" allowBlank="1" showInputMessage="1" showErrorMessage="1" xr:uid="{00000000-0002-0000-0300-00000F200000}">
          <x14:formula1>
            <xm:f>項目!A4:$FAW$65538</xm:f>
          </x14:formula1>
          <xm:sqref>FBF65541:FBF65564</xm:sqref>
        </x14:dataValidation>
        <x14:dataValidation type="list" allowBlank="1" showInputMessage="1" showErrorMessage="1" xr:uid="{00000000-0002-0000-0300-000010200000}">
          <x14:formula1>
            <xm:f>項目!A4:$FKS$65538</xm:f>
          </x14:formula1>
          <xm:sqref>FLB65541:FLB65564</xm:sqref>
        </x14:dataValidation>
        <x14:dataValidation type="list" allowBlank="1" showInputMessage="1" showErrorMessage="1" xr:uid="{00000000-0002-0000-0300-000011200000}">
          <x14:formula1>
            <xm:f>項目!A4:$FUO$65538</xm:f>
          </x14:formula1>
          <xm:sqref>FUX65541:FUX65564</xm:sqref>
        </x14:dataValidation>
        <x14:dataValidation type="list" allowBlank="1" showInputMessage="1" showErrorMessage="1" xr:uid="{00000000-0002-0000-0300-000012200000}">
          <x14:formula1>
            <xm:f>項目!A4:$GEK$65538</xm:f>
          </x14:formula1>
          <xm:sqref>GET65541:GET65564</xm:sqref>
        </x14:dataValidation>
        <x14:dataValidation type="list" allowBlank="1" showInputMessage="1" showErrorMessage="1" xr:uid="{00000000-0002-0000-0300-000013200000}">
          <x14:formula1>
            <xm:f>項目!A4:$GOG$65538</xm:f>
          </x14:formula1>
          <xm:sqref>GOP65541:GOP65564</xm:sqref>
        </x14:dataValidation>
        <x14:dataValidation type="list" allowBlank="1" showInputMessage="1" showErrorMessage="1" xr:uid="{00000000-0002-0000-0300-000014200000}">
          <x14:formula1>
            <xm:f>項目!A4:$GYC$65538</xm:f>
          </x14:formula1>
          <xm:sqref>GYL65541:GYL65564</xm:sqref>
        </x14:dataValidation>
        <x14:dataValidation type="list" allowBlank="1" showInputMessage="1" showErrorMessage="1" xr:uid="{00000000-0002-0000-0300-000015200000}">
          <x14:formula1>
            <xm:f>項目!A4:$HHY$65538</xm:f>
          </x14:formula1>
          <xm:sqref>HIH65541:HIH65564</xm:sqref>
        </x14:dataValidation>
        <x14:dataValidation type="list" allowBlank="1" showInputMessage="1" showErrorMessage="1" xr:uid="{00000000-0002-0000-0300-000016200000}">
          <x14:formula1>
            <xm:f>項目!A4:$HRU$65538</xm:f>
          </x14:formula1>
          <xm:sqref>HSD65541:HSD65564</xm:sqref>
        </x14:dataValidation>
        <x14:dataValidation type="list" allowBlank="1" showInputMessage="1" showErrorMessage="1" xr:uid="{00000000-0002-0000-0300-000017200000}">
          <x14:formula1>
            <xm:f>項目!A4:$IBQ$65538</xm:f>
          </x14:formula1>
          <xm:sqref>IBZ65541:IBZ65564</xm:sqref>
        </x14:dataValidation>
        <x14:dataValidation type="list" allowBlank="1" showInputMessage="1" showErrorMessage="1" xr:uid="{00000000-0002-0000-0300-000018200000}">
          <x14:formula1>
            <xm:f>項目!A4:$ILM$65538</xm:f>
          </x14:formula1>
          <xm:sqref>ILV65541:ILV65564</xm:sqref>
        </x14:dataValidation>
        <x14:dataValidation type="list" allowBlank="1" showInputMessage="1" showErrorMessage="1" xr:uid="{00000000-0002-0000-0300-000019200000}">
          <x14:formula1>
            <xm:f>項目!A4:$IVI$65538</xm:f>
          </x14:formula1>
          <xm:sqref>IVR65541:IVR65564</xm:sqref>
        </x14:dataValidation>
        <x14:dataValidation type="list" allowBlank="1" showInputMessage="1" showErrorMessage="1" xr:uid="{00000000-0002-0000-0300-00001A200000}">
          <x14:formula1>
            <xm:f>項目!A4:$JFE$65538</xm:f>
          </x14:formula1>
          <xm:sqref>JFN65541:JFN65564</xm:sqref>
        </x14:dataValidation>
        <x14:dataValidation type="list" allowBlank="1" showInputMessage="1" showErrorMessage="1" xr:uid="{00000000-0002-0000-0300-00001B200000}">
          <x14:formula1>
            <xm:f>項目!A4:$JPA$65538</xm:f>
          </x14:formula1>
          <xm:sqref>JPJ65541:JPJ65564</xm:sqref>
        </x14:dataValidation>
        <x14:dataValidation type="list" allowBlank="1" showInputMessage="1" showErrorMessage="1" xr:uid="{00000000-0002-0000-0300-00001C200000}">
          <x14:formula1>
            <xm:f>項目!A4:$JYW$65538</xm:f>
          </x14:formula1>
          <xm:sqref>JZF65541:JZF65564</xm:sqref>
        </x14:dataValidation>
        <x14:dataValidation type="list" allowBlank="1" showInputMessage="1" showErrorMessage="1" xr:uid="{00000000-0002-0000-0300-00001D200000}">
          <x14:formula1>
            <xm:f>項目!A4:$KIS$65538</xm:f>
          </x14:formula1>
          <xm:sqref>KJB65541:KJB65564</xm:sqref>
        </x14:dataValidation>
        <x14:dataValidation type="list" allowBlank="1" showInputMessage="1" showErrorMessage="1" xr:uid="{00000000-0002-0000-0300-00001E200000}">
          <x14:formula1>
            <xm:f>項目!A4:$KSO$65538</xm:f>
          </x14:formula1>
          <xm:sqref>KSX65541:KSX65564</xm:sqref>
        </x14:dataValidation>
        <x14:dataValidation type="list" allowBlank="1" showInputMessage="1" showErrorMessage="1" xr:uid="{00000000-0002-0000-0300-00001F200000}">
          <x14:formula1>
            <xm:f>項目!A4:$LCK$65538</xm:f>
          </x14:formula1>
          <xm:sqref>LCT65541:LCT65564</xm:sqref>
        </x14:dataValidation>
        <x14:dataValidation type="list" allowBlank="1" showInputMessage="1" showErrorMessage="1" xr:uid="{00000000-0002-0000-0300-000020200000}">
          <x14:formula1>
            <xm:f>項目!A4:$LMG$65538</xm:f>
          </x14:formula1>
          <xm:sqref>LMP65541:LMP65564</xm:sqref>
        </x14:dataValidation>
        <x14:dataValidation type="list" allowBlank="1" showInputMessage="1" showErrorMessage="1" xr:uid="{00000000-0002-0000-0300-000021200000}">
          <x14:formula1>
            <xm:f>項目!A4:$LWC$65538</xm:f>
          </x14:formula1>
          <xm:sqref>LWL65541:LWL65564</xm:sqref>
        </x14:dataValidation>
        <x14:dataValidation type="list" allowBlank="1" showInputMessage="1" showErrorMessage="1" xr:uid="{00000000-0002-0000-0300-000022200000}">
          <x14:formula1>
            <xm:f>項目!A4:$MFY$65538</xm:f>
          </x14:formula1>
          <xm:sqref>MGH65541:MGH65564</xm:sqref>
        </x14:dataValidation>
        <x14:dataValidation type="list" allowBlank="1" showInputMessage="1" showErrorMessage="1" xr:uid="{00000000-0002-0000-0300-000023200000}">
          <x14:formula1>
            <xm:f>項目!A4:$MPU$65538</xm:f>
          </x14:formula1>
          <xm:sqref>MQD65541:MQD65564</xm:sqref>
        </x14:dataValidation>
        <x14:dataValidation type="list" allowBlank="1" showInputMessage="1" showErrorMessage="1" xr:uid="{00000000-0002-0000-0300-000024200000}">
          <x14:formula1>
            <xm:f>項目!A4:$MZQ$65538</xm:f>
          </x14:formula1>
          <xm:sqref>MZZ65541:MZZ65564</xm:sqref>
        </x14:dataValidation>
        <x14:dataValidation type="list" allowBlank="1" showInputMessage="1" showErrorMessage="1" xr:uid="{00000000-0002-0000-0300-000025200000}">
          <x14:formula1>
            <xm:f>項目!A4:$NJM$65538</xm:f>
          </x14:formula1>
          <xm:sqref>NJV65541:NJV65564</xm:sqref>
        </x14:dataValidation>
        <x14:dataValidation type="list" allowBlank="1" showInputMessage="1" showErrorMessage="1" xr:uid="{00000000-0002-0000-0300-000026200000}">
          <x14:formula1>
            <xm:f>項目!A4:$NTI$65538</xm:f>
          </x14:formula1>
          <xm:sqref>NTR65541:NTR65564</xm:sqref>
        </x14:dataValidation>
        <x14:dataValidation type="list" allowBlank="1" showInputMessage="1" showErrorMessage="1" xr:uid="{00000000-0002-0000-0300-000027200000}">
          <x14:formula1>
            <xm:f>項目!A4:$ODE$65538</xm:f>
          </x14:formula1>
          <xm:sqref>ODN65541:ODN65564</xm:sqref>
        </x14:dataValidation>
        <x14:dataValidation type="list" allowBlank="1" showInputMessage="1" showErrorMessage="1" xr:uid="{00000000-0002-0000-0300-000028200000}">
          <x14:formula1>
            <xm:f>項目!A4:$ONA$65538</xm:f>
          </x14:formula1>
          <xm:sqref>ONJ65541:ONJ65564</xm:sqref>
        </x14:dataValidation>
        <x14:dataValidation type="list" allowBlank="1" showInputMessage="1" showErrorMessage="1" xr:uid="{00000000-0002-0000-0300-000029200000}">
          <x14:formula1>
            <xm:f>項目!A4:$OWW$65538</xm:f>
          </x14:formula1>
          <xm:sqref>OXF65541:OXF65564</xm:sqref>
        </x14:dataValidation>
        <x14:dataValidation type="list" allowBlank="1" showInputMessage="1" showErrorMessage="1" xr:uid="{00000000-0002-0000-0300-00002A200000}">
          <x14:formula1>
            <xm:f>項目!A4:$PGS$65538</xm:f>
          </x14:formula1>
          <xm:sqref>PHB65541:PHB65564</xm:sqref>
        </x14:dataValidation>
        <x14:dataValidation type="list" allowBlank="1" showInputMessage="1" showErrorMessage="1" xr:uid="{00000000-0002-0000-0300-00002B200000}">
          <x14:formula1>
            <xm:f>項目!A4:$PQO$65538</xm:f>
          </x14:formula1>
          <xm:sqref>PQX65541:PQX65564</xm:sqref>
        </x14:dataValidation>
        <x14:dataValidation type="list" allowBlank="1" showInputMessage="1" showErrorMessage="1" xr:uid="{00000000-0002-0000-0300-00002C200000}">
          <x14:formula1>
            <xm:f>項目!A4:$QAK$65538</xm:f>
          </x14:formula1>
          <xm:sqref>QAT65541:QAT65564</xm:sqref>
        </x14:dataValidation>
        <x14:dataValidation type="list" allowBlank="1" showInputMessage="1" showErrorMessage="1" xr:uid="{00000000-0002-0000-0300-00002D200000}">
          <x14:formula1>
            <xm:f>項目!A4:$QKG$65538</xm:f>
          </x14:formula1>
          <xm:sqref>QKP65541:QKP65564</xm:sqref>
        </x14:dataValidation>
        <x14:dataValidation type="list" allowBlank="1" showInputMessage="1" showErrorMessage="1" xr:uid="{00000000-0002-0000-0300-00002E200000}">
          <x14:formula1>
            <xm:f>項目!A4:$QUC$65538</xm:f>
          </x14:formula1>
          <xm:sqref>QUL65541:QUL65564</xm:sqref>
        </x14:dataValidation>
        <x14:dataValidation type="list" allowBlank="1" showInputMessage="1" showErrorMessage="1" xr:uid="{00000000-0002-0000-0300-00002F200000}">
          <x14:formula1>
            <xm:f>項目!A4:$RDY$65538</xm:f>
          </x14:formula1>
          <xm:sqref>REH65541:REH65564</xm:sqref>
        </x14:dataValidation>
        <x14:dataValidation type="list" allowBlank="1" showInputMessage="1" showErrorMessage="1" xr:uid="{00000000-0002-0000-0300-000030200000}">
          <x14:formula1>
            <xm:f>項目!A4:$RNU$65538</xm:f>
          </x14:formula1>
          <xm:sqref>ROD65541:ROD65564</xm:sqref>
        </x14:dataValidation>
        <x14:dataValidation type="list" allowBlank="1" showInputMessage="1" showErrorMessage="1" xr:uid="{00000000-0002-0000-0300-000031200000}">
          <x14:formula1>
            <xm:f>項目!A4:$RXQ$65538</xm:f>
          </x14:formula1>
          <xm:sqref>RXZ65541:RXZ65564</xm:sqref>
        </x14:dataValidation>
        <x14:dataValidation type="list" allowBlank="1" showInputMessage="1" showErrorMessage="1" xr:uid="{00000000-0002-0000-0300-000032200000}">
          <x14:formula1>
            <xm:f>項目!A4:$SHM$65538</xm:f>
          </x14:formula1>
          <xm:sqref>SHV65541:SHV65564</xm:sqref>
        </x14:dataValidation>
        <x14:dataValidation type="list" allowBlank="1" showInputMessage="1" showErrorMessage="1" xr:uid="{00000000-0002-0000-0300-000033200000}">
          <x14:formula1>
            <xm:f>項目!A4:$SRI$65538</xm:f>
          </x14:formula1>
          <xm:sqref>SRR65541:SRR65564</xm:sqref>
        </x14:dataValidation>
        <x14:dataValidation type="list" allowBlank="1" showInputMessage="1" showErrorMessage="1" xr:uid="{00000000-0002-0000-0300-000034200000}">
          <x14:formula1>
            <xm:f>項目!A4:$TBE$65538</xm:f>
          </x14:formula1>
          <xm:sqref>TBN65541:TBN65564</xm:sqref>
        </x14:dataValidation>
        <x14:dataValidation type="list" allowBlank="1" showInputMessage="1" showErrorMessage="1" xr:uid="{00000000-0002-0000-0300-000035200000}">
          <x14:formula1>
            <xm:f>項目!A4:$TLA$65538</xm:f>
          </x14:formula1>
          <xm:sqref>TLJ65541:TLJ65564</xm:sqref>
        </x14:dataValidation>
        <x14:dataValidation type="list" allowBlank="1" showInputMessage="1" showErrorMessage="1" xr:uid="{00000000-0002-0000-0300-000036200000}">
          <x14:formula1>
            <xm:f>項目!A4:$TUW$65538</xm:f>
          </x14:formula1>
          <xm:sqref>TVF65541:TVF65564</xm:sqref>
        </x14:dataValidation>
        <x14:dataValidation type="list" allowBlank="1" showInputMessage="1" showErrorMessage="1" xr:uid="{00000000-0002-0000-0300-000037200000}">
          <x14:formula1>
            <xm:f>項目!A4:$UES$65538</xm:f>
          </x14:formula1>
          <xm:sqref>UFB65541:UFB65564</xm:sqref>
        </x14:dataValidation>
        <x14:dataValidation type="list" allowBlank="1" showInputMessage="1" showErrorMessage="1" xr:uid="{00000000-0002-0000-0300-000038200000}">
          <x14:formula1>
            <xm:f>項目!A4:$UOO$65538</xm:f>
          </x14:formula1>
          <xm:sqref>UOX65541:UOX65564</xm:sqref>
        </x14:dataValidation>
        <x14:dataValidation type="list" allowBlank="1" showInputMessage="1" showErrorMessage="1" xr:uid="{00000000-0002-0000-0300-000039200000}">
          <x14:formula1>
            <xm:f>項目!A4:$UYK$65538</xm:f>
          </x14:formula1>
          <xm:sqref>UYT65541:UYT65564</xm:sqref>
        </x14:dataValidation>
        <x14:dataValidation type="list" allowBlank="1" showInputMessage="1" showErrorMessage="1" xr:uid="{00000000-0002-0000-0300-00003A200000}">
          <x14:formula1>
            <xm:f>項目!A4:$VIG$65538</xm:f>
          </x14:formula1>
          <xm:sqref>VIP65541:VIP65564</xm:sqref>
        </x14:dataValidation>
        <x14:dataValidation type="list" allowBlank="1" showInputMessage="1" showErrorMessage="1" xr:uid="{00000000-0002-0000-0300-00003B200000}">
          <x14:formula1>
            <xm:f>項目!A4:$VSC$65538</xm:f>
          </x14:formula1>
          <xm:sqref>VSL65541:VSL65564</xm:sqref>
        </x14:dataValidation>
        <x14:dataValidation type="list" allowBlank="1" showInputMessage="1" showErrorMessage="1" xr:uid="{00000000-0002-0000-0300-00003C200000}">
          <x14:formula1>
            <xm:f>項目!A4:$WBY$65538</xm:f>
          </x14:formula1>
          <xm:sqref>WCH65541:WCH65564</xm:sqref>
        </x14:dataValidation>
        <x14:dataValidation type="list" allowBlank="1" showInputMessage="1" showErrorMessage="1" xr:uid="{00000000-0002-0000-0300-00003D200000}">
          <x14:formula1>
            <xm:f>項目!A4:$WLU$65538</xm:f>
          </x14:formula1>
          <xm:sqref>WMD65541:WMD65564</xm:sqref>
        </x14:dataValidation>
        <x14:dataValidation type="list" allowBlank="1" showInputMessage="1" showErrorMessage="1" xr:uid="{00000000-0002-0000-0300-00003E200000}">
          <x14:formula1>
            <xm:f>項目!A4:$WVQ$65538</xm:f>
          </x14:formula1>
          <xm:sqref>WVZ65541:WVZ65564</xm:sqref>
        </x14:dataValidation>
        <x14:dataValidation type="list" allowBlank="1" showInputMessage="1" showErrorMessage="1" xr:uid="{00000000-0002-0000-0300-00003F200000}">
          <x14:formula1>
            <xm:f>項目!A4:$K$131074</xm:f>
          </x14:formula1>
          <xm:sqref>R131077:R131100</xm:sqref>
        </x14:dataValidation>
        <x14:dataValidation type="list" allowBlank="1" showInputMessage="1" showErrorMessage="1" xr:uid="{00000000-0002-0000-0300-000040200000}">
          <x14:formula1>
            <xm:f>項目!A4:$JE$131074</xm:f>
          </x14:formula1>
          <xm:sqref>JN131077:JN131100</xm:sqref>
        </x14:dataValidation>
        <x14:dataValidation type="list" allowBlank="1" showInputMessage="1" showErrorMessage="1" xr:uid="{00000000-0002-0000-0300-000041200000}">
          <x14:formula1>
            <xm:f>項目!A4:$TA$131074</xm:f>
          </x14:formula1>
          <xm:sqref>TJ131077:TJ131100</xm:sqref>
        </x14:dataValidation>
        <x14:dataValidation type="list" allowBlank="1" showInputMessage="1" showErrorMessage="1" xr:uid="{00000000-0002-0000-0300-000042200000}">
          <x14:formula1>
            <xm:f>項目!A4:$ACW$131074</xm:f>
          </x14:formula1>
          <xm:sqref>ADF131077:ADF131100</xm:sqref>
        </x14:dataValidation>
        <x14:dataValidation type="list" allowBlank="1" showInputMessage="1" showErrorMessage="1" xr:uid="{00000000-0002-0000-0300-000043200000}">
          <x14:formula1>
            <xm:f>項目!A4:$AMS$131074</xm:f>
          </x14:formula1>
          <xm:sqref>ANB131077:ANB131100</xm:sqref>
        </x14:dataValidation>
        <x14:dataValidation type="list" allowBlank="1" showInputMessage="1" showErrorMessage="1" xr:uid="{00000000-0002-0000-0300-000044200000}">
          <x14:formula1>
            <xm:f>項目!A4:$AWO$131074</xm:f>
          </x14:formula1>
          <xm:sqref>AWX131077:AWX131100</xm:sqref>
        </x14:dataValidation>
        <x14:dataValidation type="list" allowBlank="1" showInputMessage="1" showErrorMessage="1" xr:uid="{00000000-0002-0000-0300-000045200000}">
          <x14:formula1>
            <xm:f>項目!A4:$BGK$131074</xm:f>
          </x14:formula1>
          <xm:sqref>BGT131077:BGT131100</xm:sqref>
        </x14:dataValidation>
        <x14:dataValidation type="list" allowBlank="1" showInputMessage="1" showErrorMessage="1" xr:uid="{00000000-0002-0000-0300-000046200000}">
          <x14:formula1>
            <xm:f>項目!A4:$BQG$131074</xm:f>
          </x14:formula1>
          <xm:sqref>BQP131077:BQP131100</xm:sqref>
        </x14:dataValidation>
        <x14:dataValidation type="list" allowBlank="1" showInputMessage="1" showErrorMessage="1" xr:uid="{00000000-0002-0000-0300-000047200000}">
          <x14:formula1>
            <xm:f>項目!A4:$CAC$131074</xm:f>
          </x14:formula1>
          <xm:sqref>CAL131077:CAL131100</xm:sqref>
        </x14:dataValidation>
        <x14:dataValidation type="list" allowBlank="1" showInputMessage="1" showErrorMessage="1" xr:uid="{00000000-0002-0000-0300-000048200000}">
          <x14:formula1>
            <xm:f>項目!A4:$CJY$131074</xm:f>
          </x14:formula1>
          <xm:sqref>CKH131077:CKH131100</xm:sqref>
        </x14:dataValidation>
        <x14:dataValidation type="list" allowBlank="1" showInputMessage="1" showErrorMessage="1" xr:uid="{00000000-0002-0000-0300-000049200000}">
          <x14:formula1>
            <xm:f>項目!A4:$CTU$131074</xm:f>
          </x14:formula1>
          <xm:sqref>CUD131077:CUD131100</xm:sqref>
        </x14:dataValidation>
        <x14:dataValidation type="list" allowBlank="1" showInputMessage="1" showErrorMessage="1" xr:uid="{00000000-0002-0000-0300-00004A200000}">
          <x14:formula1>
            <xm:f>項目!A4:$DDQ$131074</xm:f>
          </x14:formula1>
          <xm:sqref>DDZ131077:DDZ131100</xm:sqref>
        </x14:dataValidation>
        <x14:dataValidation type="list" allowBlank="1" showInputMessage="1" showErrorMessage="1" xr:uid="{00000000-0002-0000-0300-00004B200000}">
          <x14:formula1>
            <xm:f>項目!A4:$DNM$131074</xm:f>
          </x14:formula1>
          <xm:sqref>DNV131077:DNV131100</xm:sqref>
        </x14:dataValidation>
        <x14:dataValidation type="list" allowBlank="1" showInputMessage="1" showErrorMessage="1" xr:uid="{00000000-0002-0000-0300-00004C200000}">
          <x14:formula1>
            <xm:f>項目!A4:$DXI$131074</xm:f>
          </x14:formula1>
          <xm:sqref>DXR131077:DXR131100</xm:sqref>
        </x14:dataValidation>
        <x14:dataValidation type="list" allowBlank="1" showInputMessage="1" showErrorMessage="1" xr:uid="{00000000-0002-0000-0300-00004D200000}">
          <x14:formula1>
            <xm:f>項目!A4:$EHE$131074</xm:f>
          </x14:formula1>
          <xm:sqref>EHN131077:EHN131100</xm:sqref>
        </x14:dataValidation>
        <x14:dataValidation type="list" allowBlank="1" showInputMessage="1" showErrorMessage="1" xr:uid="{00000000-0002-0000-0300-00004E200000}">
          <x14:formula1>
            <xm:f>項目!A4:$ERA$131074</xm:f>
          </x14:formula1>
          <xm:sqref>ERJ131077:ERJ131100</xm:sqref>
        </x14:dataValidation>
        <x14:dataValidation type="list" allowBlank="1" showInputMessage="1" showErrorMessage="1" xr:uid="{00000000-0002-0000-0300-00004F200000}">
          <x14:formula1>
            <xm:f>項目!A4:$FAW$131074</xm:f>
          </x14:formula1>
          <xm:sqref>FBF131077:FBF131100</xm:sqref>
        </x14:dataValidation>
        <x14:dataValidation type="list" allowBlank="1" showInputMessage="1" showErrorMessage="1" xr:uid="{00000000-0002-0000-0300-000050200000}">
          <x14:formula1>
            <xm:f>項目!A4:$FKS$131074</xm:f>
          </x14:formula1>
          <xm:sqref>FLB131077:FLB131100</xm:sqref>
        </x14:dataValidation>
        <x14:dataValidation type="list" allowBlank="1" showInputMessage="1" showErrorMessage="1" xr:uid="{00000000-0002-0000-0300-000051200000}">
          <x14:formula1>
            <xm:f>項目!A4:$FUO$131074</xm:f>
          </x14:formula1>
          <xm:sqref>FUX131077:FUX131100</xm:sqref>
        </x14:dataValidation>
        <x14:dataValidation type="list" allowBlank="1" showInputMessage="1" showErrorMessage="1" xr:uid="{00000000-0002-0000-0300-000052200000}">
          <x14:formula1>
            <xm:f>項目!A4:$GEK$131074</xm:f>
          </x14:formula1>
          <xm:sqref>GET131077:GET131100</xm:sqref>
        </x14:dataValidation>
        <x14:dataValidation type="list" allowBlank="1" showInputMessage="1" showErrorMessage="1" xr:uid="{00000000-0002-0000-0300-000053200000}">
          <x14:formula1>
            <xm:f>項目!A4:$GOG$131074</xm:f>
          </x14:formula1>
          <xm:sqref>GOP131077:GOP131100</xm:sqref>
        </x14:dataValidation>
        <x14:dataValidation type="list" allowBlank="1" showInputMessage="1" showErrorMessage="1" xr:uid="{00000000-0002-0000-0300-000054200000}">
          <x14:formula1>
            <xm:f>項目!A4:$GYC$131074</xm:f>
          </x14:formula1>
          <xm:sqref>GYL131077:GYL131100</xm:sqref>
        </x14:dataValidation>
        <x14:dataValidation type="list" allowBlank="1" showInputMessage="1" showErrorMessage="1" xr:uid="{00000000-0002-0000-0300-000055200000}">
          <x14:formula1>
            <xm:f>項目!A4:$HHY$131074</xm:f>
          </x14:formula1>
          <xm:sqref>HIH131077:HIH131100</xm:sqref>
        </x14:dataValidation>
        <x14:dataValidation type="list" allowBlank="1" showInputMessage="1" showErrorMessage="1" xr:uid="{00000000-0002-0000-0300-000056200000}">
          <x14:formula1>
            <xm:f>項目!A4:$HRU$131074</xm:f>
          </x14:formula1>
          <xm:sqref>HSD131077:HSD131100</xm:sqref>
        </x14:dataValidation>
        <x14:dataValidation type="list" allowBlank="1" showInputMessage="1" showErrorMessage="1" xr:uid="{00000000-0002-0000-0300-000057200000}">
          <x14:formula1>
            <xm:f>項目!A4:$IBQ$131074</xm:f>
          </x14:formula1>
          <xm:sqref>IBZ131077:IBZ131100</xm:sqref>
        </x14:dataValidation>
        <x14:dataValidation type="list" allowBlank="1" showInputMessage="1" showErrorMessage="1" xr:uid="{00000000-0002-0000-0300-000058200000}">
          <x14:formula1>
            <xm:f>項目!A4:$ILM$131074</xm:f>
          </x14:formula1>
          <xm:sqref>ILV131077:ILV131100</xm:sqref>
        </x14:dataValidation>
        <x14:dataValidation type="list" allowBlank="1" showInputMessage="1" showErrorMessage="1" xr:uid="{00000000-0002-0000-0300-000059200000}">
          <x14:formula1>
            <xm:f>項目!A4:$IVI$131074</xm:f>
          </x14:formula1>
          <xm:sqref>IVR131077:IVR131100</xm:sqref>
        </x14:dataValidation>
        <x14:dataValidation type="list" allowBlank="1" showInputMessage="1" showErrorMessage="1" xr:uid="{00000000-0002-0000-0300-00005A200000}">
          <x14:formula1>
            <xm:f>項目!A4:$JFE$131074</xm:f>
          </x14:formula1>
          <xm:sqref>JFN131077:JFN131100</xm:sqref>
        </x14:dataValidation>
        <x14:dataValidation type="list" allowBlank="1" showInputMessage="1" showErrorMessage="1" xr:uid="{00000000-0002-0000-0300-00005B200000}">
          <x14:formula1>
            <xm:f>項目!A4:$JPA$131074</xm:f>
          </x14:formula1>
          <xm:sqref>JPJ131077:JPJ131100</xm:sqref>
        </x14:dataValidation>
        <x14:dataValidation type="list" allowBlank="1" showInputMessage="1" showErrorMessage="1" xr:uid="{00000000-0002-0000-0300-00005C200000}">
          <x14:formula1>
            <xm:f>項目!A4:$JYW$131074</xm:f>
          </x14:formula1>
          <xm:sqref>JZF131077:JZF131100</xm:sqref>
        </x14:dataValidation>
        <x14:dataValidation type="list" allowBlank="1" showInputMessage="1" showErrorMessage="1" xr:uid="{00000000-0002-0000-0300-00005D200000}">
          <x14:formula1>
            <xm:f>項目!A4:$KIS$131074</xm:f>
          </x14:formula1>
          <xm:sqref>KJB131077:KJB131100</xm:sqref>
        </x14:dataValidation>
        <x14:dataValidation type="list" allowBlank="1" showInputMessage="1" showErrorMessage="1" xr:uid="{00000000-0002-0000-0300-00005E200000}">
          <x14:formula1>
            <xm:f>項目!A4:$KSO$131074</xm:f>
          </x14:formula1>
          <xm:sqref>KSX131077:KSX131100</xm:sqref>
        </x14:dataValidation>
        <x14:dataValidation type="list" allowBlank="1" showInputMessage="1" showErrorMessage="1" xr:uid="{00000000-0002-0000-0300-00005F200000}">
          <x14:formula1>
            <xm:f>項目!A4:$LCK$131074</xm:f>
          </x14:formula1>
          <xm:sqref>LCT131077:LCT131100</xm:sqref>
        </x14:dataValidation>
        <x14:dataValidation type="list" allowBlank="1" showInputMessage="1" showErrorMessage="1" xr:uid="{00000000-0002-0000-0300-000060200000}">
          <x14:formula1>
            <xm:f>項目!A4:$LMG$131074</xm:f>
          </x14:formula1>
          <xm:sqref>LMP131077:LMP131100</xm:sqref>
        </x14:dataValidation>
        <x14:dataValidation type="list" allowBlank="1" showInputMessage="1" showErrorMessage="1" xr:uid="{00000000-0002-0000-0300-000061200000}">
          <x14:formula1>
            <xm:f>項目!A4:$LWC$131074</xm:f>
          </x14:formula1>
          <xm:sqref>LWL131077:LWL131100</xm:sqref>
        </x14:dataValidation>
        <x14:dataValidation type="list" allowBlank="1" showInputMessage="1" showErrorMessage="1" xr:uid="{00000000-0002-0000-0300-000062200000}">
          <x14:formula1>
            <xm:f>項目!A4:$MFY$131074</xm:f>
          </x14:formula1>
          <xm:sqref>MGH131077:MGH131100</xm:sqref>
        </x14:dataValidation>
        <x14:dataValidation type="list" allowBlank="1" showInputMessage="1" showErrorMessage="1" xr:uid="{00000000-0002-0000-0300-000063200000}">
          <x14:formula1>
            <xm:f>項目!A4:$MPU$131074</xm:f>
          </x14:formula1>
          <xm:sqref>MQD131077:MQD131100</xm:sqref>
        </x14:dataValidation>
        <x14:dataValidation type="list" allowBlank="1" showInputMessage="1" showErrorMessage="1" xr:uid="{00000000-0002-0000-0300-000064200000}">
          <x14:formula1>
            <xm:f>項目!A4:$MZQ$131074</xm:f>
          </x14:formula1>
          <xm:sqref>MZZ131077:MZZ131100</xm:sqref>
        </x14:dataValidation>
        <x14:dataValidation type="list" allowBlank="1" showInputMessage="1" showErrorMessage="1" xr:uid="{00000000-0002-0000-0300-000065200000}">
          <x14:formula1>
            <xm:f>項目!A4:$NJM$131074</xm:f>
          </x14:formula1>
          <xm:sqref>NJV131077:NJV131100</xm:sqref>
        </x14:dataValidation>
        <x14:dataValidation type="list" allowBlank="1" showInputMessage="1" showErrorMessage="1" xr:uid="{00000000-0002-0000-0300-000066200000}">
          <x14:formula1>
            <xm:f>項目!A4:$NTI$131074</xm:f>
          </x14:formula1>
          <xm:sqref>NTR131077:NTR131100</xm:sqref>
        </x14:dataValidation>
        <x14:dataValidation type="list" allowBlank="1" showInputMessage="1" showErrorMessage="1" xr:uid="{00000000-0002-0000-0300-000067200000}">
          <x14:formula1>
            <xm:f>項目!A4:$ODE$131074</xm:f>
          </x14:formula1>
          <xm:sqref>ODN131077:ODN131100</xm:sqref>
        </x14:dataValidation>
        <x14:dataValidation type="list" allowBlank="1" showInputMessage="1" showErrorMessage="1" xr:uid="{00000000-0002-0000-0300-000068200000}">
          <x14:formula1>
            <xm:f>項目!A4:$ONA$131074</xm:f>
          </x14:formula1>
          <xm:sqref>ONJ131077:ONJ131100</xm:sqref>
        </x14:dataValidation>
        <x14:dataValidation type="list" allowBlank="1" showInputMessage="1" showErrorMessage="1" xr:uid="{00000000-0002-0000-0300-000069200000}">
          <x14:formula1>
            <xm:f>項目!A4:$OWW$131074</xm:f>
          </x14:formula1>
          <xm:sqref>OXF131077:OXF131100</xm:sqref>
        </x14:dataValidation>
        <x14:dataValidation type="list" allowBlank="1" showInputMessage="1" showErrorMessage="1" xr:uid="{00000000-0002-0000-0300-00006A200000}">
          <x14:formula1>
            <xm:f>項目!A4:$PGS$131074</xm:f>
          </x14:formula1>
          <xm:sqref>PHB131077:PHB131100</xm:sqref>
        </x14:dataValidation>
        <x14:dataValidation type="list" allowBlank="1" showInputMessage="1" showErrorMessage="1" xr:uid="{00000000-0002-0000-0300-00006B200000}">
          <x14:formula1>
            <xm:f>項目!A4:$PQO$131074</xm:f>
          </x14:formula1>
          <xm:sqref>PQX131077:PQX131100</xm:sqref>
        </x14:dataValidation>
        <x14:dataValidation type="list" allowBlank="1" showInputMessage="1" showErrorMessage="1" xr:uid="{00000000-0002-0000-0300-00006C200000}">
          <x14:formula1>
            <xm:f>項目!A4:$QAK$131074</xm:f>
          </x14:formula1>
          <xm:sqref>QAT131077:QAT131100</xm:sqref>
        </x14:dataValidation>
        <x14:dataValidation type="list" allowBlank="1" showInputMessage="1" showErrorMessage="1" xr:uid="{00000000-0002-0000-0300-00006D200000}">
          <x14:formula1>
            <xm:f>項目!A4:$QKG$131074</xm:f>
          </x14:formula1>
          <xm:sqref>QKP131077:QKP131100</xm:sqref>
        </x14:dataValidation>
        <x14:dataValidation type="list" allowBlank="1" showInputMessage="1" showErrorMessage="1" xr:uid="{00000000-0002-0000-0300-00006E200000}">
          <x14:formula1>
            <xm:f>項目!A4:$QUC$131074</xm:f>
          </x14:formula1>
          <xm:sqref>QUL131077:QUL131100</xm:sqref>
        </x14:dataValidation>
        <x14:dataValidation type="list" allowBlank="1" showInputMessage="1" showErrorMessage="1" xr:uid="{00000000-0002-0000-0300-00006F200000}">
          <x14:formula1>
            <xm:f>項目!A4:$RDY$131074</xm:f>
          </x14:formula1>
          <xm:sqref>REH131077:REH131100</xm:sqref>
        </x14:dataValidation>
        <x14:dataValidation type="list" allowBlank="1" showInputMessage="1" showErrorMessage="1" xr:uid="{00000000-0002-0000-0300-000070200000}">
          <x14:formula1>
            <xm:f>項目!A4:$RNU$131074</xm:f>
          </x14:formula1>
          <xm:sqref>ROD131077:ROD131100</xm:sqref>
        </x14:dataValidation>
        <x14:dataValidation type="list" allowBlank="1" showInputMessage="1" showErrorMessage="1" xr:uid="{00000000-0002-0000-0300-000071200000}">
          <x14:formula1>
            <xm:f>項目!A4:$RXQ$131074</xm:f>
          </x14:formula1>
          <xm:sqref>RXZ131077:RXZ131100</xm:sqref>
        </x14:dataValidation>
        <x14:dataValidation type="list" allowBlank="1" showInputMessage="1" showErrorMessage="1" xr:uid="{00000000-0002-0000-0300-000072200000}">
          <x14:formula1>
            <xm:f>項目!A4:$SHM$131074</xm:f>
          </x14:formula1>
          <xm:sqref>SHV131077:SHV131100</xm:sqref>
        </x14:dataValidation>
        <x14:dataValidation type="list" allowBlank="1" showInputMessage="1" showErrorMessage="1" xr:uid="{00000000-0002-0000-0300-000073200000}">
          <x14:formula1>
            <xm:f>項目!A4:$SRI$131074</xm:f>
          </x14:formula1>
          <xm:sqref>SRR131077:SRR131100</xm:sqref>
        </x14:dataValidation>
        <x14:dataValidation type="list" allowBlank="1" showInputMessage="1" showErrorMessage="1" xr:uid="{00000000-0002-0000-0300-000074200000}">
          <x14:formula1>
            <xm:f>項目!A4:$TBE$131074</xm:f>
          </x14:formula1>
          <xm:sqref>TBN131077:TBN131100</xm:sqref>
        </x14:dataValidation>
        <x14:dataValidation type="list" allowBlank="1" showInputMessage="1" showErrorMessage="1" xr:uid="{00000000-0002-0000-0300-000075200000}">
          <x14:formula1>
            <xm:f>項目!A4:$TLA$131074</xm:f>
          </x14:formula1>
          <xm:sqref>TLJ131077:TLJ131100</xm:sqref>
        </x14:dataValidation>
        <x14:dataValidation type="list" allowBlank="1" showInputMessage="1" showErrorMessage="1" xr:uid="{00000000-0002-0000-0300-000076200000}">
          <x14:formula1>
            <xm:f>項目!A4:$TUW$131074</xm:f>
          </x14:formula1>
          <xm:sqref>TVF131077:TVF131100</xm:sqref>
        </x14:dataValidation>
        <x14:dataValidation type="list" allowBlank="1" showInputMessage="1" showErrorMessage="1" xr:uid="{00000000-0002-0000-0300-000077200000}">
          <x14:formula1>
            <xm:f>項目!A4:$UES$131074</xm:f>
          </x14:formula1>
          <xm:sqref>UFB131077:UFB131100</xm:sqref>
        </x14:dataValidation>
        <x14:dataValidation type="list" allowBlank="1" showInputMessage="1" showErrorMessage="1" xr:uid="{00000000-0002-0000-0300-000078200000}">
          <x14:formula1>
            <xm:f>項目!A4:$UOO$131074</xm:f>
          </x14:formula1>
          <xm:sqref>UOX131077:UOX131100</xm:sqref>
        </x14:dataValidation>
        <x14:dataValidation type="list" allowBlank="1" showInputMessage="1" showErrorMessage="1" xr:uid="{00000000-0002-0000-0300-000079200000}">
          <x14:formula1>
            <xm:f>項目!A4:$UYK$131074</xm:f>
          </x14:formula1>
          <xm:sqref>UYT131077:UYT131100</xm:sqref>
        </x14:dataValidation>
        <x14:dataValidation type="list" allowBlank="1" showInputMessage="1" showErrorMessage="1" xr:uid="{00000000-0002-0000-0300-00007A200000}">
          <x14:formula1>
            <xm:f>項目!A4:$VIG$131074</xm:f>
          </x14:formula1>
          <xm:sqref>VIP131077:VIP131100</xm:sqref>
        </x14:dataValidation>
        <x14:dataValidation type="list" allowBlank="1" showInputMessage="1" showErrorMessage="1" xr:uid="{00000000-0002-0000-0300-00007B200000}">
          <x14:formula1>
            <xm:f>項目!A4:$VSC$131074</xm:f>
          </x14:formula1>
          <xm:sqref>VSL131077:VSL131100</xm:sqref>
        </x14:dataValidation>
        <x14:dataValidation type="list" allowBlank="1" showInputMessage="1" showErrorMessage="1" xr:uid="{00000000-0002-0000-0300-00007C200000}">
          <x14:formula1>
            <xm:f>項目!A4:$WBY$131074</xm:f>
          </x14:formula1>
          <xm:sqref>WCH131077:WCH131100</xm:sqref>
        </x14:dataValidation>
        <x14:dataValidation type="list" allowBlank="1" showInputMessage="1" showErrorMessage="1" xr:uid="{00000000-0002-0000-0300-00007D200000}">
          <x14:formula1>
            <xm:f>項目!A4:$WLU$131074</xm:f>
          </x14:formula1>
          <xm:sqref>WMD131077:WMD131100</xm:sqref>
        </x14:dataValidation>
        <x14:dataValidation type="list" allowBlank="1" showInputMessage="1" showErrorMessage="1" xr:uid="{00000000-0002-0000-0300-00007E200000}">
          <x14:formula1>
            <xm:f>項目!A4:$WVQ$131074</xm:f>
          </x14:formula1>
          <xm:sqref>WVZ131077:WVZ131100</xm:sqref>
        </x14:dataValidation>
        <x14:dataValidation type="list" allowBlank="1" showInputMessage="1" showErrorMessage="1" xr:uid="{00000000-0002-0000-0300-00007F200000}">
          <x14:formula1>
            <xm:f>項目!A4:$K$196610</xm:f>
          </x14:formula1>
          <xm:sqref>R196613:R196636</xm:sqref>
        </x14:dataValidation>
        <x14:dataValidation type="list" allowBlank="1" showInputMessage="1" showErrorMessage="1" xr:uid="{00000000-0002-0000-0300-000080200000}">
          <x14:formula1>
            <xm:f>項目!A4:$JE$196610</xm:f>
          </x14:formula1>
          <xm:sqref>JN196613:JN196636</xm:sqref>
        </x14:dataValidation>
        <x14:dataValidation type="list" allowBlank="1" showInputMessage="1" showErrorMessage="1" xr:uid="{00000000-0002-0000-0300-000081200000}">
          <x14:formula1>
            <xm:f>項目!A4:$TA$196610</xm:f>
          </x14:formula1>
          <xm:sqref>TJ196613:TJ196636</xm:sqref>
        </x14:dataValidation>
        <x14:dataValidation type="list" allowBlank="1" showInputMessage="1" showErrorMessage="1" xr:uid="{00000000-0002-0000-0300-000082200000}">
          <x14:formula1>
            <xm:f>項目!A4:$ACW$196610</xm:f>
          </x14:formula1>
          <xm:sqref>ADF196613:ADF196636</xm:sqref>
        </x14:dataValidation>
        <x14:dataValidation type="list" allowBlank="1" showInputMessage="1" showErrorMessage="1" xr:uid="{00000000-0002-0000-0300-000083200000}">
          <x14:formula1>
            <xm:f>項目!A4:$AMS$196610</xm:f>
          </x14:formula1>
          <xm:sqref>ANB196613:ANB196636</xm:sqref>
        </x14:dataValidation>
        <x14:dataValidation type="list" allowBlank="1" showInputMessage="1" showErrorMessage="1" xr:uid="{00000000-0002-0000-0300-000084200000}">
          <x14:formula1>
            <xm:f>項目!A4:$AWO$196610</xm:f>
          </x14:formula1>
          <xm:sqref>AWX196613:AWX196636</xm:sqref>
        </x14:dataValidation>
        <x14:dataValidation type="list" allowBlank="1" showInputMessage="1" showErrorMessage="1" xr:uid="{00000000-0002-0000-0300-000085200000}">
          <x14:formula1>
            <xm:f>項目!A4:$BGK$196610</xm:f>
          </x14:formula1>
          <xm:sqref>BGT196613:BGT196636</xm:sqref>
        </x14:dataValidation>
        <x14:dataValidation type="list" allowBlank="1" showInputMessage="1" showErrorMessage="1" xr:uid="{00000000-0002-0000-0300-000086200000}">
          <x14:formula1>
            <xm:f>項目!A4:$BQG$196610</xm:f>
          </x14:formula1>
          <xm:sqref>BQP196613:BQP196636</xm:sqref>
        </x14:dataValidation>
        <x14:dataValidation type="list" allowBlank="1" showInputMessage="1" showErrorMessage="1" xr:uid="{00000000-0002-0000-0300-000087200000}">
          <x14:formula1>
            <xm:f>項目!A4:$CAC$196610</xm:f>
          </x14:formula1>
          <xm:sqref>CAL196613:CAL196636</xm:sqref>
        </x14:dataValidation>
        <x14:dataValidation type="list" allowBlank="1" showInputMessage="1" showErrorMessage="1" xr:uid="{00000000-0002-0000-0300-000088200000}">
          <x14:formula1>
            <xm:f>項目!A4:$CJY$196610</xm:f>
          </x14:formula1>
          <xm:sqref>CKH196613:CKH196636</xm:sqref>
        </x14:dataValidation>
        <x14:dataValidation type="list" allowBlank="1" showInputMessage="1" showErrorMessage="1" xr:uid="{00000000-0002-0000-0300-000089200000}">
          <x14:formula1>
            <xm:f>項目!A4:$CTU$196610</xm:f>
          </x14:formula1>
          <xm:sqref>CUD196613:CUD196636</xm:sqref>
        </x14:dataValidation>
        <x14:dataValidation type="list" allowBlank="1" showInputMessage="1" showErrorMessage="1" xr:uid="{00000000-0002-0000-0300-00008A200000}">
          <x14:formula1>
            <xm:f>項目!A4:$DDQ$196610</xm:f>
          </x14:formula1>
          <xm:sqref>DDZ196613:DDZ196636</xm:sqref>
        </x14:dataValidation>
        <x14:dataValidation type="list" allowBlank="1" showInputMessage="1" showErrorMessage="1" xr:uid="{00000000-0002-0000-0300-00008B200000}">
          <x14:formula1>
            <xm:f>項目!A4:$DNM$196610</xm:f>
          </x14:formula1>
          <xm:sqref>DNV196613:DNV196636</xm:sqref>
        </x14:dataValidation>
        <x14:dataValidation type="list" allowBlank="1" showInputMessage="1" showErrorMessage="1" xr:uid="{00000000-0002-0000-0300-00008C200000}">
          <x14:formula1>
            <xm:f>項目!A4:$DXI$196610</xm:f>
          </x14:formula1>
          <xm:sqref>DXR196613:DXR196636</xm:sqref>
        </x14:dataValidation>
        <x14:dataValidation type="list" allowBlank="1" showInputMessage="1" showErrorMessage="1" xr:uid="{00000000-0002-0000-0300-00008D200000}">
          <x14:formula1>
            <xm:f>項目!A4:$EHE$196610</xm:f>
          </x14:formula1>
          <xm:sqref>EHN196613:EHN196636</xm:sqref>
        </x14:dataValidation>
        <x14:dataValidation type="list" allowBlank="1" showInputMessage="1" showErrorMessage="1" xr:uid="{00000000-0002-0000-0300-00008E200000}">
          <x14:formula1>
            <xm:f>項目!A4:$ERA$196610</xm:f>
          </x14:formula1>
          <xm:sqref>ERJ196613:ERJ196636</xm:sqref>
        </x14:dataValidation>
        <x14:dataValidation type="list" allowBlank="1" showInputMessage="1" showErrorMessage="1" xr:uid="{00000000-0002-0000-0300-00008F200000}">
          <x14:formula1>
            <xm:f>項目!A4:$FAW$196610</xm:f>
          </x14:formula1>
          <xm:sqref>FBF196613:FBF196636</xm:sqref>
        </x14:dataValidation>
        <x14:dataValidation type="list" allowBlank="1" showInputMessage="1" showErrorMessage="1" xr:uid="{00000000-0002-0000-0300-000090200000}">
          <x14:formula1>
            <xm:f>項目!A4:$FKS$196610</xm:f>
          </x14:formula1>
          <xm:sqref>FLB196613:FLB196636</xm:sqref>
        </x14:dataValidation>
        <x14:dataValidation type="list" allowBlank="1" showInputMessage="1" showErrorMessage="1" xr:uid="{00000000-0002-0000-0300-000091200000}">
          <x14:formula1>
            <xm:f>項目!A4:$FUO$196610</xm:f>
          </x14:formula1>
          <xm:sqref>FUX196613:FUX196636</xm:sqref>
        </x14:dataValidation>
        <x14:dataValidation type="list" allowBlank="1" showInputMessage="1" showErrorMessage="1" xr:uid="{00000000-0002-0000-0300-000092200000}">
          <x14:formula1>
            <xm:f>項目!A4:$GEK$196610</xm:f>
          </x14:formula1>
          <xm:sqref>GET196613:GET196636</xm:sqref>
        </x14:dataValidation>
        <x14:dataValidation type="list" allowBlank="1" showInputMessage="1" showErrorMessage="1" xr:uid="{00000000-0002-0000-0300-000093200000}">
          <x14:formula1>
            <xm:f>項目!A4:$GOG$196610</xm:f>
          </x14:formula1>
          <xm:sqref>GOP196613:GOP196636</xm:sqref>
        </x14:dataValidation>
        <x14:dataValidation type="list" allowBlank="1" showInputMessage="1" showErrorMessage="1" xr:uid="{00000000-0002-0000-0300-000094200000}">
          <x14:formula1>
            <xm:f>項目!A4:$GYC$196610</xm:f>
          </x14:formula1>
          <xm:sqref>GYL196613:GYL196636</xm:sqref>
        </x14:dataValidation>
        <x14:dataValidation type="list" allowBlank="1" showInputMessage="1" showErrorMessage="1" xr:uid="{00000000-0002-0000-0300-000095200000}">
          <x14:formula1>
            <xm:f>項目!A4:$HHY$196610</xm:f>
          </x14:formula1>
          <xm:sqref>HIH196613:HIH196636</xm:sqref>
        </x14:dataValidation>
        <x14:dataValidation type="list" allowBlank="1" showInputMessage="1" showErrorMessage="1" xr:uid="{00000000-0002-0000-0300-000096200000}">
          <x14:formula1>
            <xm:f>項目!A4:$HRU$196610</xm:f>
          </x14:formula1>
          <xm:sqref>HSD196613:HSD196636</xm:sqref>
        </x14:dataValidation>
        <x14:dataValidation type="list" allowBlank="1" showInputMessage="1" showErrorMessage="1" xr:uid="{00000000-0002-0000-0300-000097200000}">
          <x14:formula1>
            <xm:f>項目!A4:$IBQ$196610</xm:f>
          </x14:formula1>
          <xm:sqref>IBZ196613:IBZ196636</xm:sqref>
        </x14:dataValidation>
        <x14:dataValidation type="list" allowBlank="1" showInputMessage="1" showErrorMessage="1" xr:uid="{00000000-0002-0000-0300-000098200000}">
          <x14:formula1>
            <xm:f>項目!A4:$ILM$196610</xm:f>
          </x14:formula1>
          <xm:sqref>ILV196613:ILV196636</xm:sqref>
        </x14:dataValidation>
        <x14:dataValidation type="list" allowBlank="1" showInputMessage="1" showErrorMessage="1" xr:uid="{00000000-0002-0000-0300-000099200000}">
          <x14:formula1>
            <xm:f>項目!A4:$IVI$196610</xm:f>
          </x14:formula1>
          <xm:sqref>IVR196613:IVR196636</xm:sqref>
        </x14:dataValidation>
        <x14:dataValidation type="list" allowBlank="1" showInputMessage="1" showErrorMessage="1" xr:uid="{00000000-0002-0000-0300-00009A200000}">
          <x14:formula1>
            <xm:f>項目!A4:$JFE$196610</xm:f>
          </x14:formula1>
          <xm:sqref>JFN196613:JFN196636</xm:sqref>
        </x14:dataValidation>
        <x14:dataValidation type="list" allowBlank="1" showInputMessage="1" showErrorMessage="1" xr:uid="{00000000-0002-0000-0300-00009B200000}">
          <x14:formula1>
            <xm:f>項目!A4:$JPA$196610</xm:f>
          </x14:formula1>
          <xm:sqref>JPJ196613:JPJ196636</xm:sqref>
        </x14:dataValidation>
        <x14:dataValidation type="list" allowBlank="1" showInputMessage="1" showErrorMessage="1" xr:uid="{00000000-0002-0000-0300-00009C200000}">
          <x14:formula1>
            <xm:f>項目!A4:$JYW$196610</xm:f>
          </x14:formula1>
          <xm:sqref>JZF196613:JZF196636</xm:sqref>
        </x14:dataValidation>
        <x14:dataValidation type="list" allowBlank="1" showInputMessage="1" showErrorMessage="1" xr:uid="{00000000-0002-0000-0300-00009D200000}">
          <x14:formula1>
            <xm:f>項目!A4:$KIS$196610</xm:f>
          </x14:formula1>
          <xm:sqref>KJB196613:KJB196636</xm:sqref>
        </x14:dataValidation>
        <x14:dataValidation type="list" allowBlank="1" showInputMessage="1" showErrorMessage="1" xr:uid="{00000000-0002-0000-0300-00009E200000}">
          <x14:formula1>
            <xm:f>項目!A4:$KSO$196610</xm:f>
          </x14:formula1>
          <xm:sqref>KSX196613:KSX196636</xm:sqref>
        </x14:dataValidation>
        <x14:dataValidation type="list" allowBlank="1" showInputMessage="1" showErrorMessage="1" xr:uid="{00000000-0002-0000-0300-00009F200000}">
          <x14:formula1>
            <xm:f>項目!A4:$LCK$196610</xm:f>
          </x14:formula1>
          <xm:sqref>LCT196613:LCT196636</xm:sqref>
        </x14:dataValidation>
        <x14:dataValidation type="list" allowBlank="1" showInputMessage="1" showErrorMessage="1" xr:uid="{00000000-0002-0000-0300-0000A0200000}">
          <x14:formula1>
            <xm:f>項目!A4:$LMG$196610</xm:f>
          </x14:formula1>
          <xm:sqref>LMP196613:LMP196636</xm:sqref>
        </x14:dataValidation>
        <x14:dataValidation type="list" allowBlank="1" showInputMessage="1" showErrorMessage="1" xr:uid="{00000000-0002-0000-0300-0000A1200000}">
          <x14:formula1>
            <xm:f>項目!A4:$LWC$196610</xm:f>
          </x14:formula1>
          <xm:sqref>LWL196613:LWL196636</xm:sqref>
        </x14:dataValidation>
        <x14:dataValidation type="list" allowBlank="1" showInputMessage="1" showErrorMessage="1" xr:uid="{00000000-0002-0000-0300-0000A2200000}">
          <x14:formula1>
            <xm:f>項目!A4:$MFY$196610</xm:f>
          </x14:formula1>
          <xm:sqref>MGH196613:MGH196636</xm:sqref>
        </x14:dataValidation>
        <x14:dataValidation type="list" allowBlank="1" showInputMessage="1" showErrorMessage="1" xr:uid="{00000000-0002-0000-0300-0000A3200000}">
          <x14:formula1>
            <xm:f>項目!A4:$MPU$196610</xm:f>
          </x14:formula1>
          <xm:sqref>MQD196613:MQD196636</xm:sqref>
        </x14:dataValidation>
        <x14:dataValidation type="list" allowBlank="1" showInputMessage="1" showErrorMessage="1" xr:uid="{00000000-0002-0000-0300-0000A4200000}">
          <x14:formula1>
            <xm:f>項目!A4:$MZQ$196610</xm:f>
          </x14:formula1>
          <xm:sqref>MZZ196613:MZZ196636</xm:sqref>
        </x14:dataValidation>
        <x14:dataValidation type="list" allowBlank="1" showInputMessage="1" showErrorMessage="1" xr:uid="{00000000-0002-0000-0300-0000A5200000}">
          <x14:formula1>
            <xm:f>項目!A4:$NJM$196610</xm:f>
          </x14:formula1>
          <xm:sqref>NJV196613:NJV196636</xm:sqref>
        </x14:dataValidation>
        <x14:dataValidation type="list" allowBlank="1" showInputMessage="1" showErrorMessage="1" xr:uid="{00000000-0002-0000-0300-0000A6200000}">
          <x14:formula1>
            <xm:f>項目!A4:$NTI$196610</xm:f>
          </x14:formula1>
          <xm:sqref>NTR196613:NTR196636</xm:sqref>
        </x14:dataValidation>
        <x14:dataValidation type="list" allowBlank="1" showInputMessage="1" showErrorMessage="1" xr:uid="{00000000-0002-0000-0300-0000A7200000}">
          <x14:formula1>
            <xm:f>項目!A4:$ODE$196610</xm:f>
          </x14:formula1>
          <xm:sqref>ODN196613:ODN196636</xm:sqref>
        </x14:dataValidation>
        <x14:dataValidation type="list" allowBlank="1" showInputMessage="1" showErrorMessage="1" xr:uid="{00000000-0002-0000-0300-0000A8200000}">
          <x14:formula1>
            <xm:f>項目!A4:$ONA$196610</xm:f>
          </x14:formula1>
          <xm:sqref>ONJ196613:ONJ196636</xm:sqref>
        </x14:dataValidation>
        <x14:dataValidation type="list" allowBlank="1" showInputMessage="1" showErrorMessage="1" xr:uid="{00000000-0002-0000-0300-0000A9200000}">
          <x14:formula1>
            <xm:f>項目!A4:$OWW$196610</xm:f>
          </x14:formula1>
          <xm:sqref>OXF196613:OXF196636</xm:sqref>
        </x14:dataValidation>
        <x14:dataValidation type="list" allowBlank="1" showInputMessage="1" showErrorMessage="1" xr:uid="{00000000-0002-0000-0300-0000AA200000}">
          <x14:formula1>
            <xm:f>項目!A4:$PGS$196610</xm:f>
          </x14:formula1>
          <xm:sqref>PHB196613:PHB196636</xm:sqref>
        </x14:dataValidation>
        <x14:dataValidation type="list" allowBlank="1" showInputMessage="1" showErrorMessage="1" xr:uid="{00000000-0002-0000-0300-0000AB200000}">
          <x14:formula1>
            <xm:f>項目!A4:$PQO$196610</xm:f>
          </x14:formula1>
          <xm:sqref>PQX196613:PQX196636</xm:sqref>
        </x14:dataValidation>
        <x14:dataValidation type="list" allowBlank="1" showInputMessage="1" showErrorMessage="1" xr:uid="{00000000-0002-0000-0300-0000AC200000}">
          <x14:formula1>
            <xm:f>項目!A4:$QAK$196610</xm:f>
          </x14:formula1>
          <xm:sqref>QAT196613:QAT196636</xm:sqref>
        </x14:dataValidation>
        <x14:dataValidation type="list" allowBlank="1" showInputMessage="1" showErrorMessage="1" xr:uid="{00000000-0002-0000-0300-0000AD200000}">
          <x14:formula1>
            <xm:f>項目!A4:$QKG$196610</xm:f>
          </x14:formula1>
          <xm:sqref>QKP196613:QKP196636</xm:sqref>
        </x14:dataValidation>
        <x14:dataValidation type="list" allowBlank="1" showInputMessage="1" showErrorMessage="1" xr:uid="{00000000-0002-0000-0300-0000AE200000}">
          <x14:formula1>
            <xm:f>項目!A4:$QUC$196610</xm:f>
          </x14:formula1>
          <xm:sqref>QUL196613:QUL196636</xm:sqref>
        </x14:dataValidation>
        <x14:dataValidation type="list" allowBlank="1" showInputMessage="1" showErrorMessage="1" xr:uid="{00000000-0002-0000-0300-0000AF200000}">
          <x14:formula1>
            <xm:f>項目!A4:$RDY$196610</xm:f>
          </x14:formula1>
          <xm:sqref>REH196613:REH196636</xm:sqref>
        </x14:dataValidation>
        <x14:dataValidation type="list" allowBlank="1" showInputMessage="1" showErrorMessage="1" xr:uid="{00000000-0002-0000-0300-0000B0200000}">
          <x14:formula1>
            <xm:f>項目!A4:$RNU$196610</xm:f>
          </x14:formula1>
          <xm:sqref>ROD196613:ROD196636</xm:sqref>
        </x14:dataValidation>
        <x14:dataValidation type="list" allowBlank="1" showInputMessage="1" showErrorMessage="1" xr:uid="{00000000-0002-0000-0300-0000B1200000}">
          <x14:formula1>
            <xm:f>項目!A4:$RXQ$196610</xm:f>
          </x14:formula1>
          <xm:sqref>RXZ196613:RXZ196636</xm:sqref>
        </x14:dataValidation>
        <x14:dataValidation type="list" allowBlank="1" showInputMessage="1" showErrorMessage="1" xr:uid="{00000000-0002-0000-0300-0000B2200000}">
          <x14:formula1>
            <xm:f>項目!A4:$SHM$196610</xm:f>
          </x14:formula1>
          <xm:sqref>SHV196613:SHV196636</xm:sqref>
        </x14:dataValidation>
        <x14:dataValidation type="list" allowBlank="1" showInputMessage="1" showErrorMessage="1" xr:uid="{00000000-0002-0000-0300-0000B3200000}">
          <x14:formula1>
            <xm:f>項目!A4:$SRI$196610</xm:f>
          </x14:formula1>
          <xm:sqref>SRR196613:SRR196636</xm:sqref>
        </x14:dataValidation>
        <x14:dataValidation type="list" allowBlank="1" showInputMessage="1" showErrorMessage="1" xr:uid="{00000000-0002-0000-0300-0000B4200000}">
          <x14:formula1>
            <xm:f>項目!A4:$TBE$196610</xm:f>
          </x14:formula1>
          <xm:sqref>TBN196613:TBN196636</xm:sqref>
        </x14:dataValidation>
        <x14:dataValidation type="list" allowBlank="1" showInputMessage="1" showErrorMessage="1" xr:uid="{00000000-0002-0000-0300-0000B5200000}">
          <x14:formula1>
            <xm:f>項目!A4:$TLA$196610</xm:f>
          </x14:formula1>
          <xm:sqref>TLJ196613:TLJ196636</xm:sqref>
        </x14:dataValidation>
        <x14:dataValidation type="list" allowBlank="1" showInputMessage="1" showErrorMessage="1" xr:uid="{00000000-0002-0000-0300-0000B6200000}">
          <x14:formula1>
            <xm:f>項目!A4:$TUW$196610</xm:f>
          </x14:formula1>
          <xm:sqref>TVF196613:TVF196636</xm:sqref>
        </x14:dataValidation>
        <x14:dataValidation type="list" allowBlank="1" showInputMessage="1" showErrorMessage="1" xr:uid="{00000000-0002-0000-0300-0000B7200000}">
          <x14:formula1>
            <xm:f>項目!A4:$UES$196610</xm:f>
          </x14:formula1>
          <xm:sqref>UFB196613:UFB196636</xm:sqref>
        </x14:dataValidation>
        <x14:dataValidation type="list" allowBlank="1" showInputMessage="1" showErrorMessage="1" xr:uid="{00000000-0002-0000-0300-0000B8200000}">
          <x14:formula1>
            <xm:f>項目!A4:$UOO$196610</xm:f>
          </x14:formula1>
          <xm:sqref>UOX196613:UOX196636</xm:sqref>
        </x14:dataValidation>
        <x14:dataValidation type="list" allowBlank="1" showInputMessage="1" showErrorMessage="1" xr:uid="{00000000-0002-0000-0300-0000B9200000}">
          <x14:formula1>
            <xm:f>項目!A4:$UYK$196610</xm:f>
          </x14:formula1>
          <xm:sqref>UYT196613:UYT196636</xm:sqref>
        </x14:dataValidation>
        <x14:dataValidation type="list" allowBlank="1" showInputMessage="1" showErrorMessage="1" xr:uid="{00000000-0002-0000-0300-0000BA200000}">
          <x14:formula1>
            <xm:f>項目!A4:$VIG$196610</xm:f>
          </x14:formula1>
          <xm:sqref>VIP196613:VIP196636</xm:sqref>
        </x14:dataValidation>
        <x14:dataValidation type="list" allowBlank="1" showInputMessage="1" showErrorMessage="1" xr:uid="{00000000-0002-0000-0300-0000BB200000}">
          <x14:formula1>
            <xm:f>項目!A4:$VSC$196610</xm:f>
          </x14:formula1>
          <xm:sqref>VSL196613:VSL196636</xm:sqref>
        </x14:dataValidation>
        <x14:dataValidation type="list" allowBlank="1" showInputMessage="1" showErrorMessage="1" xr:uid="{00000000-0002-0000-0300-0000BC200000}">
          <x14:formula1>
            <xm:f>項目!A4:$WBY$196610</xm:f>
          </x14:formula1>
          <xm:sqref>WCH196613:WCH196636</xm:sqref>
        </x14:dataValidation>
        <x14:dataValidation type="list" allowBlank="1" showInputMessage="1" showErrorMessage="1" xr:uid="{00000000-0002-0000-0300-0000BD200000}">
          <x14:formula1>
            <xm:f>項目!A4:$WLU$196610</xm:f>
          </x14:formula1>
          <xm:sqref>WMD196613:WMD196636</xm:sqref>
        </x14:dataValidation>
        <x14:dataValidation type="list" allowBlank="1" showInputMessage="1" showErrorMessage="1" xr:uid="{00000000-0002-0000-0300-0000BE200000}">
          <x14:formula1>
            <xm:f>項目!A4:$WVQ$196610</xm:f>
          </x14:formula1>
          <xm:sqref>WVZ196613:WVZ196636</xm:sqref>
        </x14:dataValidation>
        <x14:dataValidation type="list" allowBlank="1" showInputMessage="1" showErrorMessage="1" xr:uid="{00000000-0002-0000-0300-0000BF200000}">
          <x14:formula1>
            <xm:f>項目!A4:$K$262146</xm:f>
          </x14:formula1>
          <xm:sqref>R262149:R262172</xm:sqref>
        </x14:dataValidation>
        <x14:dataValidation type="list" allowBlank="1" showInputMessage="1" showErrorMessage="1" xr:uid="{00000000-0002-0000-0300-0000C0200000}">
          <x14:formula1>
            <xm:f>項目!A4:$JE$262146</xm:f>
          </x14:formula1>
          <xm:sqref>JN262149:JN262172</xm:sqref>
        </x14:dataValidation>
        <x14:dataValidation type="list" allowBlank="1" showInputMessage="1" showErrorMessage="1" xr:uid="{00000000-0002-0000-0300-0000C1200000}">
          <x14:formula1>
            <xm:f>項目!A4:$TA$262146</xm:f>
          </x14:formula1>
          <xm:sqref>TJ262149:TJ262172</xm:sqref>
        </x14:dataValidation>
        <x14:dataValidation type="list" allowBlank="1" showInputMessage="1" showErrorMessage="1" xr:uid="{00000000-0002-0000-0300-0000C2200000}">
          <x14:formula1>
            <xm:f>項目!A4:$ACW$262146</xm:f>
          </x14:formula1>
          <xm:sqref>ADF262149:ADF262172</xm:sqref>
        </x14:dataValidation>
        <x14:dataValidation type="list" allowBlank="1" showInputMessage="1" showErrorMessage="1" xr:uid="{00000000-0002-0000-0300-0000C3200000}">
          <x14:formula1>
            <xm:f>項目!A4:$AMS$262146</xm:f>
          </x14:formula1>
          <xm:sqref>ANB262149:ANB262172</xm:sqref>
        </x14:dataValidation>
        <x14:dataValidation type="list" allowBlank="1" showInputMessage="1" showErrorMessage="1" xr:uid="{00000000-0002-0000-0300-0000C4200000}">
          <x14:formula1>
            <xm:f>項目!A4:$AWO$262146</xm:f>
          </x14:formula1>
          <xm:sqref>AWX262149:AWX262172</xm:sqref>
        </x14:dataValidation>
        <x14:dataValidation type="list" allowBlank="1" showInputMessage="1" showErrorMessage="1" xr:uid="{00000000-0002-0000-0300-0000C5200000}">
          <x14:formula1>
            <xm:f>項目!A4:$BGK$262146</xm:f>
          </x14:formula1>
          <xm:sqref>BGT262149:BGT262172</xm:sqref>
        </x14:dataValidation>
        <x14:dataValidation type="list" allowBlank="1" showInputMessage="1" showErrorMessage="1" xr:uid="{00000000-0002-0000-0300-0000C6200000}">
          <x14:formula1>
            <xm:f>項目!A4:$BQG$262146</xm:f>
          </x14:formula1>
          <xm:sqref>BQP262149:BQP262172</xm:sqref>
        </x14:dataValidation>
        <x14:dataValidation type="list" allowBlank="1" showInputMessage="1" showErrorMessage="1" xr:uid="{00000000-0002-0000-0300-0000C7200000}">
          <x14:formula1>
            <xm:f>項目!A4:$CAC$262146</xm:f>
          </x14:formula1>
          <xm:sqref>CAL262149:CAL262172</xm:sqref>
        </x14:dataValidation>
        <x14:dataValidation type="list" allowBlank="1" showInputMessage="1" showErrorMessage="1" xr:uid="{00000000-0002-0000-0300-0000C8200000}">
          <x14:formula1>
            <xm:f>項目!A4:$CJY$262146</xm:f>
          </x14:formula1>
          <xm:sqref>CKH262149:CKH262172</xm:sqref>
        </x14:dataValidation>
        <x14:dataValidation type="list" allowBlank="1" showInputMessage="1" showErrorMessage="1" xr:uid="{00000000-0002-0000-0300-0000C9200000}">
          <x14:formula1>
            <xm:f>項目!A4:$CTU$262146</xm:f>
          </x14:formula1>
          <xm:sqref>CUD262149:CUD262172</xm:sqref>
        </x14:dataValidation>
        <x14:dataValidation type="list" allowBlank="1" showInputMessage="1" showErrorMessage="1" xr:uid="{00000000-0002-0000-0300-0000CA200000}">
          <x14:formula1>
            <xm:f>項目!A4:$DDQ$262146</xm:f>
          </x14:formula1>
          <xm:sqref>DDZ262149:DDZ262172</xm:sqref>
        </x14:dataValidation>
        <x14:dataValidation type="list" allowBlank="1" showInputMessage="1" showErrorMessage="1" xr:uid="{00000000-0002-0000-0300-0000CB200000}">
          <x14:formula1>
            <xm:f>項目!A4:$DNM$262146</xm:f>
          </x14:formula1>
          <xm:sqref>DNV262149:DNV262172</xm:sqref>
        </x14:dataValidation>
        <x14:dataValidation type="list" allowBlank="1" showInputMessage="1" showErrorMessage="1" xr:uid="{00000000-0002-0000-0300-0000CC200000}">
          <x14:formula1>
            <xm:f>項目!A4:$DXI$262146</xm:f>
          </x14:formula1>
          <xm:sqref>DXR262149:DXR262172</xm:sqref>
        </x14:dataValidation>
        <x14:dataValidation type="list" allowBlank="1" showInputMessage="1" showErrorMessage="1" xr:uid="{00000000-0002-0000-0300-0000CD200000}">
          <x14:formula1>
            <xm:f>項目!A4:$EHE$262146</xm:f>
          </x14:formula1>
          <xm:sqref>EHN262149:EHN262172</xm:sqref>
        </x14:dataValidation>
        <x14:dataValidation type="list" allowBlank="1" showInputMessage="1" showErrorMessage="1" xr:uid="{00000000-0002-0000-0300-0000CE200000}">
          <x14:formula1>
            <xm:f>項目!A4:$ERA$262146</xm:f>
          </x14:formula1>
          <xm:sqref>ERJ262149:ERJ262172</xm:sqref>
        </x14:dataValidation>
        <x14:dataValidation type="list" allowBlank="1" showInputMessage="1" showErrorMessage="1" xr:uid="{00000000-0002-0000-0300-0000CF200000}">
          <x14:formula1>
            <xm:f>項目!A4:$FAW$262146</xm:f>
          </x14:formula1>
          <xm:sqref>FBF262149:FBF262172</xm:sqref>
        </x14:dataValidation>
        <x14:dataValidation type="list" allowBlank="1" showInputMessage="1" showErrorMessage="1" xr:uid="{00000000-0002-0000-0300-0000D0200000}">
          <x14:formula1>
            <xm:f>項目!A4:$FKS$262146</xm:f>
          </x14:formula1>
          <xm:sqref>FLB262149:FLB262172</xm:sqref>
        </x14:dataValidation>
        <x14:dataValidation type="list" allowBlank="1" showInputMessage="1" showErrorMessage="1" xr:uid="{00000000-0002-0000-0300-0000D1200000}">
          <x14:formula1>
            <xm:f>項目!A4:$FUO$262146</xm:f>
          </x14:formula1>
          <xm:sqref>FUX262149:FUX262172</xm:sqref>
        </x14:dataValidation>
        <x14:dataValidation type="list" allowBlank="1" showInputMessage="1" showErrorMessage="1" xr:uid="{00000000-0002-0000-0300-0000D2200000}">
          <x14:formula1>
            <xm:f>項目!A4:$GEK$262146</xm:f>
          </x14:formula1>
          <xm:sqref>GET262149:GET262172</xm:sqref>
        </x14:dataValidation>
        <x14:dataValidation type="list" allowBlank="1" showInputMessage="1" showErrorMessage="1" xr:uid="{00000000-0002-0000-0300-0000D3200000}">
          <x14:formula1>
            <xm:f>項目!A4:$GOG$262146</xm:f>
          </x14:formula1>
          <xm:sqref>GOP262149:GOP262172</xm:sqref>
        </x14:dataValidation>
        <x14:dataValidation type="list" allowBlank="1" showInputMessage="1" showErrorMessage="1" xr:uid="{00000000-0002-0000-0300-0000D4200000}">
          <x14:formula1>
            <xm:f>項目!A4:$GYC$262146</xm:f>
          </x14:formula1>
          <xm:sqref>GYL262149:GYL262172</xm:sqref>
        </x14:dataValidation>
        <x14:dataValidation type="list" allowBlank="1" showInputMessage="1" showErrorMessage="1" xr:uid="{00000000-0002-0000-0300-0000D5200000}">
          <x14:formula1>
            <xm:f>項目!A4:$HHY$262146</xm:f>
          </x14:formula1>
          <xm:sqref>HIH262149:HIH262172</xm:sqref>
        </x14:dataValidation>
        <x14:dataValidation type="list" allowBlank="1" showInputMessage="1" showErrorMessage="1" xr:uid="{00000000-0002-0000-0300-0000D6200000}">
          <x14:formula1>
            <xm:f>項目!A4:$HRU$262146</xm:f>
          </x14:formula1>
          <xm:sqref>HSD262149:HSD262172</xm:sqref>
        </x14:dataValidation>
        <x14:dataValidation type="list" allowBlank="1" showInputMessage="1" showErrorMessage="1" xr:uid="{00000000-0002-0000-0300-0000D7200000}">
          <x14:formula1>
            <xm:f>項目!A4:$IBQ$262146</xm:f>
          </x14:formula1>
          <xm:sqref>IBZ262149:IBZ262172</xm:sqref>
        </x14:dataValidation>
        <x14:dataValidation type="list" allowBlank="1" showInputMessage="1" showErrorMessage="1" xr:uid="{00000000-0002-0000-0300-0000D8200000}">
          <x14:formula1>
            <xm:f>項目!A4:$ILM$262146</xm:f>
          </x14:formula1>
          <xm:sqref>ILV262149:ILV262172</xm:sqref>
        </x14:dataValidation>
        <x14:dataValidation type="list" allowBlank="1" showInputMessage="1" showErrorMessage="1" xr:uid="{00000000-0002-0000-0300-0000D9200000}">
          <x14:formula1>
            <xm:f>項目!A4:$IVI$262146</xm:f>
          </x14:formula1>
          <xm:sqref>IVR262149:IVR262172</xm:sqref>
        </x14:dataValidation>
        <x14:dataValidation type="list" allowBlank="1" showInputMessage="1" showErrorMessage="1" xr:uid="{00000000-0002-0000-0300-0000DA200000}">
          <x14:formula1>
            <xm:f>項目!A4:$JFE$262146</xm:f>
          </x14:formula1>
          <xm:sqref>JFN262149:JFN262172</xm:sqref>
        </x14:dataValidation>
        <x14:dataValidation type="list" allowBlank="1" showInputMessage="1" showErrorMessage="1" xr:uid="{00000000-0002-0000-0300-0000DB200000}">
          <x14:formula1>
            <xm:f>項目!A4:$JPA$262146</xm:f>
          </x14:formula1>
          <xm:sqref>JPJ262149:JPJ262172</xm:sqref>
        </x14:dataValidation>
        <x14:dataValidation type="list" allowBlank="1" showInputMessage="1" showErrorMessage="1" xr:uid="{00000000-0002-0000-0300-0000DC200000}">
          <x14:formula1>
            <xm:f>項目!A4:$JYW$262146</xm:f>
          </x14:formula1>
          <xm:sqref>JZF262149:JZF262172</xm:sqref>
        </x14:dataValidation>
        <x14:dataValidation type="list" allowBlank="1" showInputMessage="1" showErrorMessage="1" xr:uid="{00000000-0002-0000-0300-0000DD200000}">
          <x14:formula1>
            <xm:f>項目!A4:$KIS$262146</xm:f>
          </x14:formula1>
          <xm:sqref>KJB262149:KJB262172</xm:sqref>
        </x14:dataValidation>
        <x14:dataValidation type="list" allowBlank="1" showInputMessage="1" showErrorMessage="1" xr:uid="{00000000-0002-0000-0300-0000DE200000}">
          <x14:formula1>
            <xm:f>項目!A4:$KSO$262146</xm:f>
          </x14:formula1>
          <xm:sqref>KSX262149:KSX262172</xm:sqref>
        </x14:dataValidation>
        <x14:dataValidation type="list" allowBlank="1" showInputMessage="1" showErrorMessage="1" xr:uid="{00000000-0002-0000-0300-0000DF200000}">
          <x14:formula1>
            <xm:f>項目!A4:$LCK$262146</xm:f>
          </x14:formula1>
          <xm:sqref>LCT262149:LCT262172</xm:sqref>
        </x14:dataValidation>
        <x14:dataValidation type="list" allowBlank="1" showInputMessage="1" showErrorMessage="1" xr:uid="{00000000-0002-0000-0300-0000E0200000}">
          <x14:formula1>
            <xm:f>項目!A4:$LMG$262146</xm:f>
          </x14:formula1>
          <xm:sqref>LMP262149:LMP262172</xm:sqref>
        </x14:dataValidation>
        <x14:dataValidation type="list" allowBlank="1" showInputMessage="1" showErrorMessage="1" xr:uid="{00000000-0002-0000-0300-0000E1200000}">
          <x14:formula1>
            <xm:f>項目!A4:$LWC$262146</xm:f>
          </x14:formula1>
          <xm:sqref>LWL262149:LWL262172</xm:sqref>
        </x14:dataValidation>
        <x14:dataValidation type="list" allowBlank="1" showInputMessage="1" showErrorMessage="1" xr:uid="{00000000-0002-0000-0300-0000E2200000}">
          <x14:formula1>
            <xm:f>項目!A4:$MFY$262146</xm:f>
          </x14:formula1>
          <xm:sqref>MGH262149:MGH262172</xm:sqref>
        </x14:dataValidation>
        <x14:dataValidation type="list" allowBlank="1" showInputMessage="1" showErrorMessage="1" xr:uid="{00000000-0002-0000-0300-0000E3200000}">
          <x14:formula1>
            <xm:f>項目!A4:$MPU$262146</xm:f>
          </x14:formula1>
          <xm:sqref>MQD262149:MQD262172</xm:sqref>
        </x14:dataValidation>
        <x14:dataValidation type="list" allowBlank="1" showInputMessage="1" showErrorMessage="1" xr:uid="{00000000-0002-0000-0300-0000E4200000}">
          <x14:formula1>
            <xm:f>項目!A4:$MZQ$262146</xm:f>
          </x14:formula1>
          <xm:sqref>MZZ262149:MZZ262172</xm:sqref>
        </x14:dataValidation>
        <x14:dataValidation type="list" allowBlank="1" showInputMessage="1" showErrorMessage="1" xr:uid="{00000000-0002-0000-0300-0000E5200000}">
          <x14:formula1>
            <xm:f>項目!A4:$NJM$262146</xm:f>
          </x14:formula1>
          <xm:sqref>NJV262149:NJV262172</xm:sqref>
        </x14:dataValidation>
        <x14:dataValidation type="list" allowBlank="1" showInputMessage="1" showErrorMessage="1" xr:uid="{00000000-0002-0000-0300-0000E6200000}">
          <x14:formula1>
            <xm:f>項目!A4:$NTI$262146</xm:f>
          </x14:formula1>
          <xm:sqref>NTR262149:NTR262172</xm:sqref>
        </x14:dataValidation>
        <x14:dataValidation type="list" allowBlank="1" showInputMessage="1" showErrorMessage="1" xr:uid="{00000000-0002-0000-0300-0000E7200000}">
          <x14:formula1>
            <xm:f>項目!A4:$ODE$262146</xm:f>
          </x14:formula1>
          <xm:sqref>ODN262149:ODN262172</xm:sqref>
        </x14:dataValidation>
        <x14:dataValidation type="list" allowBlank="1" showInputMessage="1" showErrorMessage="1" xr:uid="{00000000-0002-0000-0300-0000E8200000}">
          <x14:formula1>
            <xm:f>項目!A4:$ONA$262146</xm:f>
          </x14:formula1>
          <xm:sqref>ONJ262149:ONJ262172</xm:sqref>
        </x14:dataValidation>
        <x14:dataValidation type="list" allowBlank="1" showInputMessage="1" showErrorMessage="1" xr:uid="{00000000-0002-0000-0300-0000E9200000}">
          <x14:formula1>
            <xm:f>項目!A4:$OWW$262146</xm:f>
          </x14:formula1>
          <xm:sqref>OXF262149:OXF262172</xm:sqref>
        </x14:dataValidation>
        <x14:dataValidation type="list" allowBlank="1" showInputMessage="1" showErrorMessage="1" xr:uid="{00000000-0002-0000-0300-0000EA200000}">
          <x14:formula1>
            <xm:f>項目!A4:$PGS$262146</xm:f>
          </x14:formula1>
          <xm:sqref>PHB262149:PHB262172</xm:sqref>
        </x14:dataValidation>
        <x14:dataValidation type="list" allowBlank="1" showInputMessage="1" showErrorMessage="1" xr:uid="{00000000-0002-0000-0300-0000EB200000}">
          <x14:formula1>
            <xm:f>項目!A4:$PQO$262146</xm:f>
          </x14:formula1>
          <xm:sqref>PQX262149:PQX262172</xm:sqref>
        </x14:dataValidation>
        <x14:dataValidation type="list" allowBlank="1" showInputMessage="1" showErrorMessage="1" xr:uid="{00000000-0002-0000-0300-0000EC200000}">
          <x14:formula1>
            <xm:f>項目!A4:$QAK$262146</xm:f>
          </x14:formula1>
          <xm:sqref>QAT262149:QAT262172</xm:sqref>
        </x14:dataValidation>
        <x14:dataValidation type="list" allowBlank="1" showInputMessage="1" showErrorMessage="1" xr:uid="{00000000-0002-0000-0300-0000ED200000}">
          <x14:formula1>
            <xm:f>項目!A4:$QKG$262146</xm:f>
          </x14:formula1>
          <xm:sqref>QKP262149:QKP262172</xm:sqref>
        </x14:dataValidation>
        <x14:dataValidation type="list" allowBlank="1" showInputMessage="1" showErrorMessage="1" xr:uid="{00000000-0002-0000-0300-0000EE200000}">
          <x14:formula1>
            <xm:f>項目!A4:$QUC$262146</xm:f>
          </x14:formula1>
          <xm:sqref>QUL262149:QUL262172</xm:sqref>
        </x14:dataValidation>
        <x14:dataValidation type="list" allowBlank="1" showInputMessage="1" showErrorMessage="1" xr:uid="{00000000-0002-0000-0300-0000EF200000}">
          <x14:formula1>
            <xm:f>項目!A4:$RDY$262146</xm:f>
          </x14:formula1>
          <xm:sqref>REH262149:REH262172</xm:sqref>
        </x14:dataValidation>
        <x14:dataValidation type="list" allowBlank="1" showInputMessage="1" showErrorMessage="1" xr:uid="{00000000-0002-0000-0300-0000F0200000}">
          <x14:formula1>
            <xm:f>項目!A4:$RNU$262146</xm:f>
          </x14:formula1>
          <xm:sqref>ROD262149:ROD262172</xm:sqref>
        </x14:dataValidation>
        <x14:dataValidation type="list" allowBlank="1" showInputMessage="1" showErrorMessage="1" xr:uid="{00000000-0002-0000-0300-0000F1200000}">
          <x14:formula1>
            <xm:f>項目!A4:$RXQ$262146</xm:f>
          </x14:formula1>
          <xm:sqref>RXZ262149:RXZ262172</xm:sqref>
        </x14:dataValidation>
        <x14:dataValidation type="list" allowBlank="1" showInputMessage="1" showErrorMessage="1" xr:uid="{00000000-0002-0000-0300-0000F2200000}">
          <x14:formula1>
            <xm:f>項目!A4:$SHM$262146</xm:f>
          </x14:formula1>
          <xm:sqref>SHV262149:SHV262172</xm:sqref>
        </x14:dataValidation>
        <x14:dataValidation type="list" allowBlank="1" showInputMessage="1" showErrorMessage="1" xr:uid="{00000000-0002-0000-0300-0000F3200000}">
          <x14:formula1>
            <xm:f>項目!A4:$SRI$262146</xm:f>
          </x14:formula1>
          <xm:sqref>SRR262149:SRR262172</xm:sqref>
        </x14:dataValidation>
        <x14:dataValidation type="list" allowBlank="1" showInputMessage="1" showErrorMessage="1" xr:uid="{00000000-0002-0000-0300-0000F4200000}">
          <x14:formula1>
            <xm:f>項目!A4:$TBE$262146</xm:f>
          </x14:formula1>
          <xm:sqref>TBN262149:TBN262172</xm:sqref>
        </x14:dataValidation>
        <x14:dataValidation type="list" allowBlank="1" showInputMessage="1" showErrorMessage="1" xr:uid="{00000000-0002-0000-0300-0000F5200000}">
          <x14:formula1>
            <xm:f>項目!A4:$TLA$262146</xm:f>
          </x14:formula1>
          <xm:sqref>TLJ262149:TLJ262172</xm:sqref>
        </x14:dataValidation>
        <x14:dataValidation type="list" allowBlank="1" showInputMessage="1" showErrorMessage="1" xr:uid="{00000000-0002-0000-0300-0000F6200000}">
          <x14:formula1>
            <xm:f>項目!A4:$TUW$262146</xm:f>
          </x14:formula1>
          <xm:sqref>TVF262149:TVF262172</xm:sqref>
        </x14:dataValidation>
        <x14:dataValidation type="list" allowBlank="1" showInputMessage="1" showErrorMessage="1" xr:uid="{00000000-0002-0000-0300-0000F7200000}">
          <x14:formula1>
            <xm:f>項目!A4:$UES$262146</xm:f>
          </x14:formula1>
          <xm:sqref>UFB262149:UFB262172</xm:sqref>
        </x14:dataValidation>
        <x14:dataValidation type="list" allowBlank="1" showInputMessage="1" showErrorMessage="1" xr:uid="{00000000-0002-0000-0300-0000F8200000}">
          <x14:formula1>
            <xm:f>項目!A4:$UOO$262146</xm:f>
          </x14:formula1>
          <xm:sqref>UOX262149:UOX262172</xm:sqref>
        </x14:dataValidation>
        <x14:dataValidation type="list" allowBlank="1" showInputMessage="1" showErrorMessage="1" xr:uid="{00000000-0002-0000-0300-0000F9200000}">
          <x14:formula1>
            <xm:f>項目!A4:$UYK$262146</xm:f>
          </x14:formula1>
          <xm:sqref>UYT262149:UYT262172</xm:sqref>
        </x14:dataValidation>
        <x14:dataValidation type="list" allowBlank="1" showInputMessage="1" showErrorMessage="1" xr:uid="{00000000-0002-0000-0300-0000FA200000}">
          <x14:formula1>
            <xm:f>項目!A4:$VIG$262146</xm:f>
          </x14:formula1>
          <xm:sqref>VIP262149:VIP262172</xm:sqref>
        </x14:dataValidation>
        <x14:dataValidation type="list" allowBlank="1" showInputMessage="1" showErrorMessage="1" xr:uid="{00000000-0002-0000-0300-0000FB200000}">
          <x14:formula1>
            <xm:f>項目!A4:$VSC$262146</xm:f>
          </x14:formula1>
          <xm:sqref>VSL262149:VSL262172</xm:sqref>
        </x14:dataValidation>
        <x14:dataValidation type="list" allowBlank="1" showInputMessage="1" showErrorMessage="1" xr:uid="{00000000-0002-0000-0300-0000FC200000}">
          <x14:formula1>
            <xm:f>項目!A4:$WBY$262146</xm:f>
          </x14:formula1>
          <xm:sqref>WCH262149:WCH262172</xm:sqref>
        </x14:dataValidation>
        <x14:dataValidation type="list" allowBlank="1" showInputMessage="1" showErrorMessage="1" xr:uid="{00000000-0002-0000-0300-0000FD200000}">
          <x14:formula1>
            <xm:f>項目!A4:$WLU$262146</xm:f>
          </x14:formula1>
          <xm:sqref>WMD262149:WMD262172</xm:sqref>
        </x14:dataValidation>
        <x14:dataValidation type="list" allowBlank="1" showInputMessage="1" showErrorMessage="1" xr:uid="{00000000-0002-0000-0300-0000FE200000}">
          <x14:formula1>
            <xm:f>項目!A4:$WVQ$262146</xm:f>
          </x14:formula1>
          <xm:sqref>WVZ262149:WVZ262172</xm:sqref>
        </x14:dataValidation>
        <x14:dataValidation type="list" allowBlank="1" showInputMessage="1" showErrorMessage="1" xr:uid="{00000000-0002-0000-0300-0000FF200000}">
          <x14:formula1>
            <xm:f>項目!A4:$K$327682</xm:f>
          </x14:formula1>
          <xm:sqref>R327685:R327708</xm:sqref>
        </x14:dataValidation>
        <x14:dataValidation type="list" allowBlank="1" showInputMessage="1" showErrorMessage="1" xr:uid="{00000000-0002-0000-0300-000000210000}">
          <x14:formula1>
            <xm:f>項目!A4:$JE$327682</xm:f>
          </x14:formula1>
          <xm:sqref>JN327685:JN327708</xm:sqref>
        </x14:dataValidation>
        <x14:dataValidation type="list" allowBlank="1" showInputMessage="1" showErrorMessage="1" xr:uid="{00000000-0002-0000-0300-000001210000}">
          <x14:formula1>
            <xm:f>項目!A4:$TA$327682</xm:f>
          </x14:formula1>
          <xm:sqref>TJ327685:TJ327708</xm:sqref>
        </x14:dataValidation>
        <x14:dataValidation type="list" allowBlank="1" showInputMessage="1" showErrorMessage="1" xr:uid="{00000000-0002-0000-0300-000002210000}">
          <x14:formula1>
            <xm:f>項目!A4:$ACW$327682</xm:f>
          </x14:formula1>
          <xm:sqref>ADF327685:ADF327708</xm:sqref>
        </x14:dataValidation>
        <x14:dataValidation type="list" allowBlank="1" showInputMessage="1" showErrorMessage="1" xr:uid="{00000000-0002-0000-0300-000003210000}">
          <x14:formula1>
            <xm:f>項目!A4:$AMS$327682</xm:f>
          </x14:formula1>
          <xm:sqref>ANB327685:ANB327708</xm:sqref>
        </x14:dataValidation>
        <x14:dataValidation type="list" allowBlank="1" showInputMessage="1" showErrorMessage="1" xr:uid="{00000000-0002-0000-0300-000004210000}">
          <x14:formula1>
            <xm:f>項目!A4:$AWO$327682</xm:f>
          </x14:formula1>
          <xm:sqref>AWX327685:AWX327708</xm:sqref>
        </x14:dataValidation>
        <x14:dataValidation type="list" allowBlank="1" showInputMessage="1" showErrorMessage="1" xr:uid="{00000000-0002-0000-0300-000005210000}">
          <x14:formula1>
            <xm:f>項目!A4:$BGK$327682</xm:f>
          </x14:formula1>
          <xm:sqref>BGT327685:BGT327708</xm:sqref>
        </x14:dataValidation>
        <x14:dataValidation type="list" allowBlank="1" showInputMessage="1" showErrorMessage="1" xr:uid="{00000000-0002-0000-0300-000006210000}">
          <x14:formula1>
            <xm:f>項目!A4:$BQG$327682</xm:f>
          </x14:formula1>
          <xm:sqref>BQP327685:BQP327708</xm:sqref>
        </x14:dataValidation>
        <x14:dataValidation type="list" allowBlank="1" showInputMessage="1" showErrorMessage="1" xr:uid="{00000000-0002-0000-0300-000007210000}">
          <x14:formula1>
            <xm:f>項目!A4:$CAC$327682</xm:f>
          </x14:formula1>
          <xm:sqref>CAL327685:CAL327708</xm:sqref>
        </x14:dataValidation>
        <x14:dataValidation type="list" allowBlank="1" showInputMessage="1" showErrorMessage="1" xr:uid="{00000000-0002-0000-0300-000008210000}">
          <x14:formula1>
            <xm:f>項目!A4:$CJY$327682</xm:f>
          </x14:formula1>
          <xm:sqref>CKH327685:CKH327708</xm:sqref>
        </x14:dataValidation>
        <x14:dataValidation type="list" allowBlank="1" showInputMessage="1" showErrorMessage="1" xr:uid="{00000000-0002-0000-0300-000009210000}">
          <x14:formula1>
            <xm:f>項目!A4:$CTU$327682</xm:f>
          </x14:formula1>
          <xm:sqref>CUD327685:CUD327708</xm:sqref>
        </x14:dataValidation>
        <x14:dataValidation type="list" allowBlank="1" showInputMessage="1" showErrorMessage="1" xr:uid="{00000000-0002-0000-0300-00000A210000}">
          <x14:formula1>
            <xm:f>項目!A4:$DDQ$327682</xm:f>
          </x14:formula1>
          <xm:sqref>DDZ327685:DDZ327708</xm:sqref>
        </x14:dataValidation>
        <x14:dataValidation type="list" allowBlank="1" showInputMessage="1" showErrorMessage="1" xr:uid="{00000000-0002-0000-0300-00000B210000}">
          <x14:formula1>
            <xm:f>項目!A4:$DNM$327682</xm:f>
          </x14:formula1>
          <xm:sqref>DNV327685:DNV327708</xm:sqref>
        </x14:dataValidation>
        <x14:dataValidation type="list" allowBlank="1" showInputMessage="1" showErrorMessage="1" xr:uid="{00000000-0002-0000-0300-00000C210000}">
          <x14:formula1>
            <xm:f>項目!A4:$DXI$327682</xm:f>
          </x14:formula1>
          <xm:sqref>DXR327685:DXR327708</xm:sqref>
        </x14:dataValidation>
        <x14:dataValidation type="list" allowBlank="1" showInputMessage="1" showErrorMessage="1" xr:uid="{00000000-0002-0000-0300-00000D210000}">
          <x14:formula1>
            <xm:f>項目!A4:$EHE$327682</xm:f>
          </x14:formula1>
          <xm:sqref>EHN327685:EHN327708</xm:sqref>
        </x14:dataValidation>
        <x14:dataValidation type="list" allowBlank="1" showInputMessage="1" showErrorMessage="1" xr:uid="{00000000-0002-0000-0300-00000E210000}">
          <x14:formula1>
            <xm:f>項目!A4:$ERA$327682</xm:f>
          </x14:formula1>
          <xm:sqref>ERJ327685:ERJ327708</xm:sqref>
        </x14:dataValidation>
        <x14:dataValidation type="list" allowBlank="1" showInputMessage="1" showErrorMessage="1" xr:uid="{00000000-0002-0000-0300-00000F210000}">
          <x14:formula1>
            <xm:f>項目!A4:$FAW$327682</xm:f>
          </x14:formula1>
          <xm:sqref>FBF327685:FBF327708</xm:sqref>
        </x14:dataValidation>
        <x14:dataValidation type="list" allowBlank="1" showInputMessage="1" showErrorMessage="1" xr:uid="{00000000-0002-0000-0300-000010210000}">
          <x14:formula1>
            <xm:f>項目!A4:$FKS$327682</xm:f>
          </x14:formula1>
          <xm:sqref>FLB327685:FLB327708</xm:sqref>
        </x14:dataValidation>
        <x14:dataValidation type="list" allowBlank="1" showInputMessage="1" showErrorMessage="1" xr:uid="{00000000-0002-0000-0300-000011210000}">
          <x14:formula1>
            <xm:f>項目!A4:$FUO$327682</xm:f>
          </x14:formula1>
          <xm:sqref>FUX327685:FUX327708</xm:sqref>
        </x14:dataValidation>
        <x14:dataValidation type="list" allowBlank="1" showInputMessage="1" showErrorMessage="1" xr:uid="{00000000-0002-0000-0300-000012210000}">
          <x14:formula1>
            <xm:f>項目!A4:$GEK$327682</xm:f>
          </x14:formula1>
          <xm:sqref>GET327685:GET327708</xm:sqref>
        </x14:dataValidation>
        <x14:dataValidation type="list" allowBlank="1" showInputMessage="1" showErrorMessage="1" xr:uid="{00000000-0002-0000-0300-000013210000}">
          <x14:formula1>
            <xm:f>項目!A4:$GOG$327682</xm:f>
          </x14:formula1>
          <xm:sqref>GOP327685:GOP327708</xm:sqref>
        </x14:dataValidation>
        <x14:dataValidation type="list" allowBlank="1" showInputMessage="1" showErrorMessage="1" xr:uid="{00000000-0002-0000-0300-000014210000}">
          <x14:formula1>
            <xm:f>項目!A4:$GYC$327682</xm:f>
          </x14:formula1>
          <xm:sqref>GYL327685:GYL327708</xm:sqref>
        </x14:dataValidation>
        <x14:dataValidation type="list" allowBlank="1" showInputMessage="1" showErrorMessage="1" xr:uid="{00000000-0002-0000-0300-000015210000}">
          <x14:formula1>
            <xm:f>項目!A4:$HHY$327682</xm:f>
          </x14:formula1>
          <xm:sqref>HIH327685:HIH327708</xm:sqref>
        </x14:dataValidation>
        <x14:dataValidation type="list" allowBlank="1" showInputMessage="1" showErrorMessage="1" xr:uid="{00000000-0002-0000-0300-000016210000}">
          <x14:formula1>
            <xm:f>項目!A4:$HRU$327682</xm:f>
          </x14:formula1>
          <xm:sqref>HSD327685:HSD327708</xm:sqref>
        </x14:dataValidation>
        <x14:dataValidation type="list" allowBlank="1" showInputMessage="1" showErrorMessage="1" xr:uid="{00000000-0002-0000-0300-000017210000}">
          <x14:formula1>
            <xm:f>項目!A4:$IBQ$327682</xm:f>
          </x14:formula1>
          <xm:sqref>IBZ327685:IBZ327708</xm:sqref>
        </x14:dataValidation>
        <x14:dataValidation type="list" allowBlank="1" showInputMessage="1" showErrorMessage="1" xr:uid="{00000000-0002-0000-0300-000018210000}">
          <x14:formula1>
            <xm:f>項目!A4:$ILM$327682</xm:f>
          </x14:formula1>
          <xm:sqref>ILV327685:ILV327708</xm:sqref>
        </x14:dataValidation>
        <x14:dataValidation type="list" allowBlank="1" showInputMessage="1" showErrorMessage="1" xr:uid="{00000000-0002-0000-0300-000019210000}">
          <x14:formula1>
            <xm:f>項目!A4:$IVI$327682</xm:f>
          </x14:formula1>
          <xm:sqref>IVR327685:IVR327708</xm:sqref>
        </x14:dataValidation>
        <x14:dataValidation type="list" allowBlank="1" showInputMessage="1" showErrorMessage="1" xr:uid="{00000000-0002-0000-0300-00001A210000}">
          <x14:formula1>
            <xm:f>項目!A4:$JFE$327682</xm:f>
          </x14:formula1>
          <xm:sqref>JFN327685:JFN327708</xm:sqref>
        </x14:dataValidation>
        <x14:dataValidation type="list" allowBlank="1" showInputMessage="1" showErrorMessage="1" xr:uid="{00000000-0002-0000-0300-00001B210000}">
          <x14:formula1>
            <xm:f>項目!A4:$JPA$327682</xm:f>
          </x14:formula1>
          <xm:sqref>JPJ327685:JPJ327708</xm:sqref>
        </x14:dataValidation>
        <x14:dataValidation type="list" allowBlank="1" showInputMessage="1" showErrorMessage="1" xr:uid="{00000000-0002-0000-0300-00001C210000}">
          <x14:formula1>
            <xm:f>項目!A4:$JYW$327682</xm:f>
          </x14:formula1>
          <xm:sqref>JZF327685:JZF327708</xm:sqref>
        </x14:dataValidation>
        <x14:dataValidation type="list" allowBlank="1" showInputMessage="1" showErrorMessage="1" xr:uid="{00000000-0002-0000-0300-00001D210000}">
          <x14:formula1>
            <xm:f>項目!A4:$KIS$327682</xm:f>
          </x14:formula1>
          <xm:sqref>KJB327685:KJB327708</xm:sqref>
        </x14:dataValidation>
        <x14:dataValidation type="list" allowBlank="1" showInputMessage="1" showErrorMessage="1" xr:uid="{00000000-0002-0000-0300-00001E210000}">
          <x14:formula1>
            <xm:f>項目!A4:$KSO$327682</xm:f>
          </x14:formula1>
          <xm:sqref>KSX327685:KSX327708</xm:sqref>
        </x14:dataValidation>
        <x14:dataValidation type="list" allowBlank="1" showInputMessage="1" showErrorMessage="1" xr:uid="{00000000-0002-0000-0300-00001F210000}">
          <x14:formula1>
            <xm:f>項目!A4:$LCK$327682</xm:f>
          </x14:formula1>
          <xm:sqref>LCT327685:LCT327708</xm:sqref>
        </x14:dataValidation>
        <x14:dataValidation type="list" allowBlank="1" showInputMessage="1" showErrorMessage="1" xr:uid="{00000000-0002-0000-0300-000020210000}">
          <x14:formula1>
            <xm:f>項目!A4:$LMG$327682</xm:f>
          </x14:formula1>
          <xm:sqref>LMP327685:LMP327708</xm:sqref>
        </x14:dataValidation>
        <x14:dataValidation type="list" allowBlank="1" showInputMessage="1" showErrorMessage="1" xr:uid="{00000000-0002-0000-0300-000021210000}">
          <x14:formula1>
            <xm:f>項目!A4:$LWC$327682</xm:f>
          </x14:formula1>
          <xm:sqref>LWL327685:LWL327708</xm:sqref>
        </x14:dataValidation>
        <x14:dataValidation type="list" allowBlank="1" showInputMessage="1" showErrorMessage="1" xr:uid="{00000000-0002-0000-0300-000022210000}">
          <x14:formula1>
            <xm:f>項目!A4:$MFY$327682</xm:f>
          </x14:formula1>
          <xm:sqref>MGH327685:MGH327708</xm:sqref>
        </x14:dataValidation>
        <x14:dataValidation type="list" allowBlank="1" showInputMessage="1" showErrorMessage="1" xr:uid="{00000000-0002-0000-0300-000023210000}">
          <x14:formula1>
            <xm:f>項目!A4:$MPU$327682</xm:f>
          </x14:formula1>
          <xm:sqref>MQD327685:MQD327708</xm:sqref>
        </x14:dataValidation>
        <x14:dataValidation type="list" allowBlank="1" showInputMessage="1" showErrorMessage="1" xr:uid="{00000000-0002-0000-0300-000024210000}">
          <x14:formula1>
            <xm:f>項目!A4:$MZQ$327682</xm:f>
          </x14:formula1>
          <xm:sqref>MZZ327685:MZZ327708</xm:sqref>
        </x14:dataValidation>
        <x14:dataValidation type="list" allowBlank="1" showInputMessage="1" showErrorMessage="1" xr:uid="{00000000-0002-0000-0300-000025210000}">
          <x14:formula1>
            <xm:f>項目!A4:$NJM$327682</xm:f>
          </x14:formula1>
          <xm:sqref>NJV327685:NJV327708</xm:sqref>
        </x14:dataValidation>
        <x14:dataValidation type="list" allowBlank="1" showInputMessage="1" showErrorMessage="1" xr:uid="{00000000-0002-0000-0300-000026210000}">
          <x14:formula1>
            <xm:f>項目!A4:$NTI$327682</xm:f>
          </x14:formula1>
          <xm:sqref>NTR327685:NTR327708</xm:sqref>
        </x14:dataValidation>
        <x14:dataValidation type="list" allowBlank="1" showInputMessage="1" showErrorMessage="1" xr:uid="{00000000-0002-0000-0300-000027210000}">
          <x14:formula1>
            <xm:f>項目!A4:$ODE$327682</xm:f>
          </x14:formula1>
          <xm:sqref>ODN327685:ODN327708</xm:sqref>
        </x14:dataValidation>
        <x14:dataValidation type="list" allowBlank="1" showInputMessage="1" showErrorMessage="1" xr:uid="{00000000-0002-0000-0300-000028210000}">
          <x14:formula1>
            <xm:f>項目!A4:$ONA$327682</xm:f>
          </x14:formula1>
          <xm:sqref>ONJ327685:ONJ327708</xm:sqref>
        </x14:dataValidation>
        <x14:dataValidation type="list" allowBlank="1" showInputMessage="1" showErrorMessage="1" xr:uid="{00000000-0002-0000-0300-000029210000}">
          <x14:formula1>
            <xm:f>項目!A4:$OWW$327682</xm:f>
          </x14:formula1>
          <xm:sqref>OXF327685:OXF327708</xm:sqref>
        </x14:dataValidation>
        <x14:dataValidation type="list" allowBlank="1" showInputMessage="1" showErrorMessage="1" xr:uid="{00000000-0002-0000-0300-00002A210000}">
          <x14:formula1>
            <xm:f>項目!A4:$PGS$327682</xm:f>
          </x14:formula1>
          <xm:sqref>PHB327685:PHB327708</xm:sqref>
        </x14:dataValidation>
        <x14:dataValidation type="list" allowBlank="1" showInputMessage="1" showErrorMessage="1" xr:uid="{00000000-0002-0000-0300-00002B210000}">
          <x14:formula1>
            <xm:f>項目!A4:$PQO$327682</xm:f>
          </x14:formula1>
          <xm:sqref>PQX327685:PQX327708</xm:sqref>
        </x14:dataValidation>
        <x14:dataValidation type="list" allowBlank="1" showInputMessage="1" showErrorMessage="1" xr:uid="{00000000-0002-0000-0300-00002C210000}">
          <x14:formula1>
            <xm:f>項目!A4:$QAK$327682</xm:f>
          </x14:formula1>
          <xm:sqref>QAT327685:QAT327708</xm:sqref>
        </x14:dataValidation>
        <x14:dataValidation type="list" allowBlank="1" showInputMessage="1" showErrorMessage="1" xr:uid="{00000000-0002-0000-0300-00002D210000}">
          <x14:formula1>
            <xm:f>項目!A4:$QKG$327682</xm:f>
          </x14:formula1>
          <xm:sqref>QKP327685:QKP327708</xm:sqref>
        </x14:dataValidation>
        <x14:dataValidation type="list" allowBlank="1" showInputMessage="1" showErrorMessage="1" xr:uid="{00000000-0002-0000-0300-00002E210000}">
          <x14:formula1>
            <xm:f>項目!A4:$QUC$327682</xm:f>
          </x14:formula1>
          <xm:sqref>QUL327685:QUL327708</xm:sqref>
        </x14:dataValidation>
        <x14:dataValidation type="list" allowBlank="1" showInputMessage="1" showErrorMessage="1" xr:uid="{00000000-0002-0000-0300-00002F210000}">
          <x14:formula1>
            <xm:f>項目!A4:$RDY$327682</xm:f>
          </x14:formula1>
          <xm:sqref>REH327685:REH327708</xm:sqref>
        </x14:dataValidation>
        <x14:dataValidation type="list" allowBlank="1" showInputMessage="1" showErrorMessage="1" xr:uid="{00000000-0002-0000-0300-000030210000}">
          <x14:formula1>
            <xm:f>項目!A4:$RNU$327682</xm:f>
          </x14:formula1>
          <xm:sqref>ROD327685:ROD327708</xm:sqref>
        </x14:dataValidation>
        <x14:dataValidation type="list" allowBlank="1" showInputMessage="1" showErrorMessage="1" xr:uid="{00000000-0002-0000-0300-000031210000}">
          <x14:formula1>
            <xm:f>項目!A4:$RXQ$327682</xm:f>
          </x14:formula1>
          <xm:sqref>RXZ327685:RXZ327708</xm:sqref>
        </x14:dataValidation>
        <x14:dataValidation type="list" allowBlank="1" showInputMessage="1" showErrorMessage="1" xr:uid="{00000000-0002-0000-0300-000032210000}">
          <x14:formula1>
            <xm:f>項目!A4:$SHM$327682</xm:f>
          </x14:formula1>
          <xm:sqref>SHV327685:SHV327708</xm:sqref>
        </x14:dataValidation>
        <x14:dataValidation type="list" allowBlank="1" showInputMessage="1" showErrorMessage="1" xr:uid="{00000000-0002-0000-0300-000033210000}">
          <x14:formula1>
            <xm:f>項目!A4:$SRI$327682</xm:f>
          </x14:formula1>
          <xm:sqref>SRR327685:SRR327708</xm:sqref>
        </x14:dataValidation>
        <x14:dataValidation type="list" allowBlank="1" showInputMessage="1" showErrorMessage="1" xr:uid="{00000000-0002-0000-0300-000034210000}">
          <x14:formula1>
            <xm:f>項目!A4:$TBE$327682</xm:f>
          </x14:formula1>
          <xm:sqref>TBN327685:TBN327708</xm:sqref>
        </x14:dataValidation>
        <x14:dataValidation type="list" allowBlank="1" showInputMessage="1" showErrorMessage="1" xr:uid="{00000000-0002-0000-0300-000035210000}">
          <x14:formula1>
            <xm:f>項目!A4:$TLA$327682</xm:f>
          </x14:formula1>
          <xm:sqref>TLJ327685:TLJ327708</xm:sqref>
        </x14:dataValidation>
        <x14:dataValidation type="list" allowBlank="1" showInputMessage="1" showErrorMessage="1" xr:uid="{00000000-0002-0000-0300-000036210000}">
          <x14:formula1>
            <xm:f>項目!A4:$TUW$327682</xm:f>
          </x14:formula1>
          <xm:sqref>TVF327685:TVF327708</xm:sqref>
        </x14:dataValidation>
        <x14:dataValidation type="list" allowBlank="1" showInputMessage="1" showErrorMessage="1" xr:uid="{00000000-0002-0000-0300-000037210000}">
          <x14:formula1>
            <xm:f>項目!A4:$UES$327682</xm:f>
          </x14:formula1>
          <xm:sqref>UFB327685:UFB327708</xm:sqref>
        </x14:dataValidation>
        <x14:dataValidation type="list" allowBlank="1" showInputMessage="1" showErrorMessage="1" xr:uid="{00000000-0002-0000-0300-000038210000}">
          <x14:formula1>
            <xm:f>項目!A4:$UOO$327682</xm:f>
          </x14:formula1>
          <xm:sqref>UOX327685:UOX327708</xm:sqref>
        </x14:dataValidation>
        <x14:dataValidation type="list" allowBlank="1" showInputMessage="1" showErrorMessage="1" xr:uid="{00000000-0002-0000-0300-000039210000}">
          <x14:formula1>
            <xm:f>項目!A4:$UYK$327682</xm:f>
          </x14:formula1>
          <xm:sqref>UYT327685:UYT327708</xm:sqref>
        </x14:dataValidation>
        <x14:dataValidation type="list" allowBlank="1" showInputMessage="1" showErrorMessage="1" xr:uid="{00000000-0002-0000-0300-00003A210000}">
          <x14:formula1>
            <xm:f>項目!A4:$VIG$327682</xm:f>
          </x14:formula1>
          <xm:sqref>VIP327685:VIP327708</xm:sqref>
        </x14:dataValidation>
        <x14:dataValidation type="list" allowBlank="1" showInputMessage="1" showErrorMessage="1" xr:uid="{00000000-0002-0000-0300-00003B210000}">
          <x14:formula1>
            <xm:f>項目!A4:$VSC$327682</xm:f>
          </x14:formula1>
          <xm:sqref>VSL327685:VSL327708</xm:sqref>
        </x14:dataValidation>
        <x14:dataValidation type="list" allowBlank="1" showInputMessage="1" showErrorMessage="1" xr:uid="{00000000-0002-0000-0300-00003C210000}">
          <x14:formula1>
            <xm:f>項目!A4:$WBY$327682</xm:f>
          </x14:formula1>
          <xm:sqref>WCH327685:WCH327708</xm:sqref>
        </x14:dataValidation>
        <x14:dataValidation type="list" allowBlank="1" showInputMessage="1" showErrorMessage="1" xr:uid="{00000000-0002-0000-0300-00003D210000}">
          <x14:formula1>
            <xm:f>項目!A4:$WLU$327682</xm:f>
          </x14:formula1>
          <xm:sqref>WMD327685:WMD327708</xm:sqref>
        </x14:dataValidation>
        <x14:dataValidation type="list" allowBlank="1" showInputMessage="1" showErrorMessage="1" xr:uid="{00000000-0002-0000-0300-00003E210000}">
          <x14:formula1>
            <xm:f>項目!A4:$WVQ$327682</xm:f>
          </x14:formula1>
          <xm:sqref>WVZ327685:WVZ327708</xm:sqref>
        </x14:dataValidation>
        <x14:dataValidation type="list" allowBlank="1" showInputMessage="1" showErrorMessage="1" xr:uid="{00000000-0002-0000-0300-00003F210000}">
          <x14:formula1>
            <xm:f>項目!A4:$K$393218</xm:f>
          </x14:formula1>
          <xm:sqref>R393221:R393244</xm:sqref>
        </x14:dataValidation>
        <x14:dataValidation type="list" allowBlank="1" showInputMessage="1" showErrorMessage="1" xr:uid="{00000000-0002-0000-0300-000040210000}">
          <x14:formula1>
            <xm:f>項目!A4:$JE$393218</xm:f>
          </x14:formula1>
          <xm:sqref>JN393221:JN393244</xm:sqref>
        </x14:dataValidation>
        <x14:dataValidation type="list" allowBlank="1" showInputMessage="1" showErrorMessage="1" xr:uid="{00000000-0002-0000-0300-000041210000}">
          <x14:formula1>
            <xm:f>項目!A4:$TA$393218</xm:f>
          </x14:formula1>
          <xm:sqref>TJ393221:TJ393244</xm:sqref>
        </x14:dataValidation>
        <x14:dataValidation type="list" allowBlank="1" showInputMessage="1" showErrorMessage="1" xr:uid="{00000000-0002-0000-0300-000042210000}">
          <x14:formula1>
            <xm:f>項目!A4:$ACW$393218</xm:f>
          </x14:formula1>
          <xm:sqref>ADF393221:ADF393244</xm:sqref>
        </x14:dataValidation>
        <x14:dataValidation type="list" allowBlank="1" showInputMessage="1" showErrorMessage="1" xr:uid="{00000000-0002-0000-0300-000043210000}">
          <x14:formula1>
            <xm:f>項目!A4:$AMS$393218</xm:f>
          </x14:formula1>
          <xm:sqref>ANB393221:ANB393244</xm:sqref>
        </x14:dataValidation>
        <x14:dataValidation type="list" allowBlank="1" showInputMessage="1" showErrorMessage="1" xr:uid="{00000000-0002-0000-0300-000044210000}">
          <x14:formula1>
            <xm:f>項目!A4:$AWO$393218</xm:f>
          </x14:formula1>
          <xm:sqref>AWX393221:AWX393244</xm:sqref>
        </x14:dataValidation>
        <x14:dataValidation type="list" allowBlank="1" showInputMessage="1" showErrorMessage="1" xr:uid="{00000000-0002-0000-0300-000045210000}">
          <x14:formula1>
            <xm:f>項目!A4:$BGK$393218</xm:f>
          </x14:formula1>
          <xm:sqref>BGT393221:BGT393244</xm:sqref>
        </x14:dataValidation>
        <x14:dataValidation type="list" allowBlank="1" showInputMessage="1" showErrorMessage="1" xr:uid="{00000000-0002-0000-0300-000046210000}">
          <x14:formula1>
            <xm:f>項目!A4:$BQG$393218</xm:f>
          </x14:formula1>
          <xm:sqref>BQP393221:BQP393244</xm:sqref>
        </x14:dataValidation>
        <x14:dataValidation type="list" allowBlank="1" showInputMessage="1" showErrorMessage="1" xr:uid="{00000000-0002-0000-0300-000047210000}">
          <x14:formula1>
            <xm:f>項目!A4:$CAC$393218</xm:f>
          </x14:formula1>
          <xm:sqref>CAL393221:CAL393244</xm:sqref>
        </x14:dataValidation>
        <x14:dataValidation type="list" allowBlank="1" showInputMessage="1" showErrorMessage="1" xr:uid="{00000000-0002-0000-0300-000048210000}">
          <x14:formula1>
            <xm:f>項目!A4:$CJY$393218</xm:f>
          </x14:formula1>
          <xm:sqref>CKH393221:CKH393244</xm:sqref>
        </x14:dataValidation>
        <x14:dataValidation type="list" allowBlank="1" showInputMessage="1" showErrorMessage="1" xr:uid="{00000000-0002-0000-0300-000049210000}">
          <x14:formula1>
            <xm:f>項目!A4:$CTU$393218</xm:f>
          </x14:formula1>
          <xm:sqref>CUD393221:CUD393244</xm:sqref>
        </x14:dataValidation>
        <x14:dataValidation type="list" allowBlank="1" showInputMessage="1" showErrorMessage="1" xr:uid="{00000000-0002-0000-0300-00004A210000}">
          <x14:formula1>
            <xm:f>項目!A4:$DDQ$393218</xm:f>
          </x14:formula1>
          <xm:sqref>DDZ393221:DDZ393244</xm:sqref>
        </x14:dataValidation>
        <x14:dataValidation type="list" allowBlank="1" showInputMessage="1" showErrorMessage="1" xr:uid="{00000000-0002-0000-0300-00004B210000}">
          <x14:formula1>
            <xm:f>項目!A4:$DNM$393218</xm:f>
          </x14:formula1>
          <xm:sqref>DNV393221:DNV393244</xm:sqref>
        </x14:dataValidation>
        <x14:dataValidation type="list" allowBlank="1" showInputMessage="1" showErrorMessage="1" xr:uid="{00000000-0002-0000-0300-00004C210000}">
          <x14:formula1>
            <xm:f>項目!A4:$DXI$393218</xm:f>
          </x14:formula1>
          <xm:sqref>DXR393221:DXR393244</xm:sqref>
        </x14:dataValidation>
        <x14:dataValidation type="list" allowBlank="1" showInputMessage="1" showErrorMessage="1" xr:uid="{00000000-0002-0000-0300-00004D210000}">
          <x14:formula1>
            <xm:f>項目!A4:$EHE$393218</xm:f>
          </x14:formula1>
          <xm:sqref>EHN393221:EHN393244</xm:sqref>
        </x14:dataValidation>
        <x14:dataValidation type="list" allowBlank="1" showInputMessage="1" showErrorMessage="1" xr:uid="{00000000-0002-0000-0300-00004E210000}">
          <x14:formula1>
            <xm:f>項目!A4:$ERA$393218</xm:f>
          </x14:formula1>
          <xm:sqref>ERJ393221:ERJ393244</xm:sqref>
        </x14:dataValidation>
        <x14:dataValidation type="list" allowBlank="1" showInputMessage="1" showErrorMessage="1" xr:uid="{00000000-0002-0000-0300-00004F210000}">
          <x14:formula1>
            <xm:f>項目!A4:$FAW$393218</xm:f>
          </x14:formula1>
          <xm:sqref>FBF393221:FBF393244</xm:sqref>
        </x14:dataValidation>
        <x14:dataValidation type="list" allowBlank="1" showInputMessage="1" showErrorMessage="1" xr:uid="{00000000-0002-0000-0300-000050210000}">
          <x14:formula1>
            <xm:f>項目!A4:$FKS$393218</xm:f>
          </x14:formula1>
          <xm:sqref>FLB393221:FLB393244</xm:sqref>
        </x14:dataValidation>
        <x14:dataValidation type="list" allowBlank="1" showInputMessage="1" showErrorMessage="1" xr:uid="{00000000-0002-0000-0300-000051210000}">
          <x14:formula1>
            <xm:f>項目!A4:$FUO$393218</xm:f>
          </x14:formula1>
          <xm:sqref>FUX393221:FUX393244</xm:sqref>
        </x14:dataValidation>
        <x14:dataValidation type="list" allowBlank="1" showInputMessage="1" showErrorMessage="1" xr:uid="{00000000-0002-0000-0300-000052210000}">
          <x14:formula1>
            <xm:f>項目!A4:$GEK$393218</xm:f>
          </x14:formula1>
          <xm:sqref>GET393221:GET393244</xm:sqref>
        </x14:dataValidation>
        <x14:dataValidation type="list" allowBlank="1" showInputMessage="1" showErrorMessage="1" xr:uid="{00000000-0002-0000-0300-000053210000}">
          <x14:formula1>
            <xm:f>項目!A4:$GOG$393218</xm:f>
          </x14:formula1>
          <xm:sqref>GOP393221:GOP393244</xm:sqref>
        </x14:dataValidation>
        <x14:dataValidation type="list" allowBlank="1" showInputMessage="1" showErrorMessage="1" xr:uid="{00000000-0002-0000-0300-000054210000}">
          <x14:formula1>
            <xm:f>項目!A4:$GYC$393218</xm:f>
          </x14:formula1>
          <xm:sqref>GYL393221:GYL393244</xm:sqref>
        </x14:dataValidation>
        <x14:dataValidation type="list" allowBlank="1" showInputMessage="1" showErrorMessage="1" xr:uid="{00000000-0002-0000-0300-000055210000}">
          <x14:formula1>
            <xm:f>項目!A4:$HHY$393218</xm:f>
          </x14:formula1>
          <xm:sqref>HIH393221:HIH393244</xm:sqref>
        </x14:dataValidation>
        <x14:dataValidation type="list" allowBlank="1" showInputMessage="1" showErrorMessage="1" xr:uid="{00000000-0002-0000-0300-000056210000}">
          <x14:formula1>
            <xm:f>項目!A4:$HRU$393218</xm:f>
          </x14:formula1>
          <xm:sqref>HSD393221:HSD393244</xm:sqref>
        </x14:dataValidation>
        <x14:dataValidation type="list" allowBlank="1" showInputMessage="1" showErrorMessage="1" xr:uid="{00000000-0002-0000-0300-000057210000}">
          <x14:formula1>
            <xm:f>項目!A4:$IBQ$393218</xm:f>
          </x14:formula1>
          <xm:sqref>IBZ393221:IBZ393244</xm:sqref>
        </x14:dataValidation>
        <x14:dataValidation type="list" allowBlank="1" showInputMessage="1" showErrorMessage="1" xr:uid="{00000000-0002-0000-0300-000058210000}">
          <x14:formula1>
            <xm:f>項目!A4:$ILM$393218</xm:f>
          </x14:formula1>
          <xm:sqref>ILV393221:ILV393244</xm:sqref>
        </x14:dataValidation>
        <x14:dataValidation type="list" allowBlank="1" showInputMessage="1" showErrorMessage="1" xr:uid="{00000000-0002-0000-0300-000059210000}">
          <x14:formula1>
            <xm:f>項目!A4:$IVI$393218</xm:f>
          </x14:formula1>
          <xm:sqref>IVR393221:IVR393244</xm:sqref>
        </x14:dataValidation>
        <x14:dataValidation type="list" allowBlank="1" showInputMessage="1" showErrorMessage="1" xr:uid="{00000000-0002-0000-0300-00005A210000}">
          <x14:formula1>
            <xm:f>項目!A4:$JFE$393218</xm:f>
          </x14:formula1>
          <xm:sqref>JFN393221:JFN393244</xm:sqref>
        </x14:dataValidation>
        <x14:dataValidation type="list" allowBlank="1" showInputMessage="1" showErrorMessage="1" xr:uid="{00000000-0002-0000-0300-00005B210000}">
          <x14:formula1>
            <xm:f>項目!A4:$JPA$393218</xm:f>
          </x14:formula1>
          <xm:sqref>JPJ393221:JPJ393244</xm:sqref>
        </x14:dataValidation>
        <x14:dataValidation type="list" allowBlank="1" showInputMessage="1" showErrorMessage="1" xr:uid="{00000000-0002-0000-0300-00005C210000}">
          <x14:formula1>
            <xm:f>項目!A4:$JYW$393218</xm:f>
          </x14:formula1>
          <xm:sqref>JZF393221:JZF393244</xm:sqref>
        </x14:dataValidation>
        <x14:dataValidation type="list" allowBlank="1" showInputMessage="1" showErrorMessage="1" xr:uid="{00000000-0002-0000-0300-00005D210000}">
          <x14:formula1>
            <xm:f>項目!A4:$KIS$393218</xm:f>
          </x14:formula1>
          <xm:sqref>KJB393221:KJB393244</xm:sqref>
        </x14:dataValidation>
        <x14:dataValidation type="list" allowBlank="1" showInputMessage="1" showErrorMessage="1" xr:uid="{00000000-0002-0000-0300-00005E210000}">
          <x14:formula1>
            <xm:f>項目!A4:$KSO$393218</xm:f>
          </x14:formula1>
          <xm:sqref>KSX393221:KSX393244</xm:sqref>
        </x14:dataValidation>
        <x14:dataValidation type="list" allowBlank="1" showInputMessage="1" showErrorMessage="1" xr:uid="{00000000-0002-0000-0300-00005F210000}">
          <x14:formula1>
            <xm:f>項目!A4:$LCK$393218</xm:f>
          </x14:formula1>
          <xm:sqref>LCT393221:LCT393244</xm:sqref>
        </x14:dataValidation>
        <x14:dataValidation type="list" allowBlank="1" showInputMessage="1" showErrorMessage="1" xr:uid="{00000000-0002-0000-0300-000060210000}">
          <x14:formula1>
            <xm:f>項目!A4:$LMG$393218</xm:f>
          </x14:formula1>
          <xm:sqref>LMP393221:LMP393244</xm:sqref>
        </x14:dataValidation>
        <x14:dataValidation type="list" allowBlank="1" showInputMessage="1" showErrorMessage="1" xr:uid="{00000000-0002-0000-0300-000061210000}">
          <x14:formula1>
            <xm:f>項目!A4:$LWC$393218</xm:f>
          </x14:formula1>
          <xm:sqref>LWL393221:LWL393244</xm:sqref>
        </x14:dataValidation>
        <x14:dataValidation type="list" allowBlank="1" showInputMessage="1" showErrorMessage="1" xr:uid="{00000000-0002-0000-0300-000062210000}">
          <x14:formula1>
            <xm:f>項目!A4:$MFY$393218</xm:f>
          </x14:formula1>
          <xm:sqref>MGH393221:MGH393244</xm:sqref>
        </x14:dataValidation>
        <x14:dataValidation type="list" allowBlank="1" showInputMessage="1" showErrorMessage="1" xr:uid="{00000000-0002-0000-0300-000063210000}">
          <x14:formula1>
            <xm:f>項目!A4:$MPU$393218</xm:f>
          </x14:formula1>
          <xm:sqref>MQD393221:MQD393244</xm:sqref>
        </x14:dataValidation>
        <x14:dataValidation type="list" allowBlank="1" showInputMessage="1" showErrorMessage="1" xr:uid="{00000000-0002-0000-0300-000064210000}">
          <x14:formula1>
            <xm:f>項目!A4:$MZQ$393218</xm:f>
          </x14:formula1>
          <xm:sqref>MZZ393221:MZZ393244</xm:sqref>
        </x14:dataValidation>
        <x14:dataValidation type="list" allowBlank="1" showInputMessage="1" showErrorMessage="1" xr:uid="{00000000-0002-0000-0300-000065210000}">
          <x14:formula1>
            <xm:f>項目!A4:$NJM$393218</xm:f>
          </x14:formula1>
          <xm:sqref>NJV393221:NJV393244</xm:sqref>
        </x14:dataValidation>
        <x14:dataValidation type="list" allowBlank="1" showInputMessage="1" showErrorMessage="1" xr:uid="{00000000-0002-0000-0300-000066210000}">
          <x14:formula1>
            <xm:f>項目!A4:$NTI$393218</xm:f>
          </x14:formula1>
          <xm:sqref>NTR393221:NTR393244</xm:sqref>
        </x14:dataValidation>
        <x14:dataValidation type="list" allowBlank="1" showInputMessage="1" showErrorMessage="1" xr:uid="{00000000-0002-0000-0300-000067210000}">
          <x14:formula1>
            <xm:f>項目!A4:$ODE$393218</xm:f>
          </x14:formula1>
          <xm:sqref>ODN393221:ODN393244</xm:sqref>
        </x14:dataValidation>
        <x14:dataValidation type="list" allowBlank="1" showInputMessage="1" showErrorMessage="1" xr:uid="{00000000-0002-0000-0300-000068210000}">
          <x14:formula1>
            <xm:f>項目!A4:$ONA$393218</xm:f>
          </x14:formula1>
          <xm:sqref>ONJ393221:ONJ393244</xm:sqref>
        </x14:dataValidation>
        <x14:dataValidation type="list" allowBlank="1" showInputMessage="1" showErrorMessage="1" xr:uid="{00000000-0002-0000-0300-000069210000}">
          <x14:formula1>
            <xm:f>項目!A4:$OWW$393218</xm:f>
          </x14:formula1>
          <xm:sqref>OXF393221:OXF393244</xm:sqref>
        </x14:dataValidation>
        <x14:dataValidation type="list" allowBlank="1" showInputMessage="1" showErrorMessage="1" xr:uid="{00000000-0002-0000-0300-00006A210000}">
          <x14:formula1>
            <xm:f>項目!A4:$PGS$393218</xm:f>
          </x14:formula1>
          <xm:sqref>PHB393221:PHB393244</xm:sqref>
        </x14:dataValidation>
        <x14:dataValidation type="list" allowBlank="1" showInputMessage="1" showErrorMessage="1" xr:uid="{00000000-0002-0000-0300-00006B210000}">
          <x14:formula1>
            <xm:f>項目!A4:$PQO$393218</xm:f>
          </x14:formula1>
          <xm:sqref>PQX393221:PQX393244</xm:sqref>
        </x14:dataValidation>
        <x14:dataValidation type="list" allowBlank="1" showInputMessage="1" showErrorMessage="1" xr:uid="{00000000-0002-0000-0300-00006C210000}">
          <x14:formula1>
            <xm:f>項目!A4:$QAK$393218</xm:f>
          </x14:formula1>
          <xm:sqref>QAT393221:QAT393244</xm:sqref>
        </x14:dataValidation>
        <x14:dataValidation type="list" allowBlank="1" showInputMessage="1" showErrorMessage="1" xr:uid="{00000000-0002-0000-0300-00006D210000}">
          <x14:formula1>
            <xm:f>項目!A4:$QKG$393218</xm:f>
          </x14:formula1>
          <xm:sqref>QKP393221:QKP393244</xm:sqref>
        </x14:dataValidation>
        <x14:dataValidation type="list" allowBlank="1" showInputMessage="1" showErrorMessage="1" xr:uid="{00000000-0002-0000-0300-00006E210000}">
          <x14:formula1>
            <xm:f>項目!A4:$QUC$393218</xm:f>
          </x14:formula1>
          <xm:sqref>QUL393221:QUL393244</xm:sqref>
        </x14:dataValidation>
        <x14:dataValidation type="list" allowBlank="1" showInputMessage="1" showErrorMessage="1" xr:uid="{00000000-0002-0000-0300-00006F210000}">
          <x14:formula1>
            <xm:f>項目!A4:$RDY$393218</xm:f>
          </x14:formula1>
          <xm:sqref>REH393221:REH393244</xm:sqref>
        </x14:dataValidation>
        <x14:dataValidation type="list" allowBlank="1" showInputMessage="1" showErrorMessage="1" xr:uid="{00000000-0002-0000-0300-000070210000}">
          <x14:formula1>
            <xm:f>項目!A4:$RNU$393218</xm:f>
          </x14:formula1>
          <xm:sqref>ROD393221:ROD393244</xm:sqref>
        </x14:dataValidation>
        <x14:dataValidation type="list" allowBlank="1" showInputMessage="1" showErrorMessage="1" xr:uid="{00000000-0002-0000-0300-000071210000}">
          <x14:formula1>
            <xm:f>項目!A4:$RXQ$393218</xm:f>
          </x14:formula1>
          <xm:sqref>RXZ393221:RXZ393244</xm:sqref>
        </x14:dataValidation>
        <x14:dataValidation type="list" allowBlank="1" showInputMessage="1" showErrorMessage="1" xr:uid="{00000000-0002-0000-0300-000072210000}">
          <x14:formula1>
            <xm:f>項目!A4:$SHM$393218</xm:f>
          </x14:formula1>
          <xm:sqref>SHV393221:SHV393244</xm:sqref>
        </x14:dataValidation>
        <x14:dataValidation type="list" allowBlank="1" showInputMessage="1" showErrorMessage="1" xr:uid="{00000000-0002-0000-0300-000073210000}">
          <x14:formula1>
            <xm:f>項目!A4:$SRI$393218</xm:f>
          </x14:formula1>
          <xm:sqref>SRR393221:SRR393244</xm:sqref>
        </x14:dataValidation>
        <x14:dataValidation type="list" allowBlank="1" showInputMessage="1" showErrorMessage="1" xr:uid="{00000000-0002-0000-0300-000074210000}">
          <x14:formula1>
            <xm:f>項目!A4:$TBE$393218</xm:f>
          </x14:formula1>
          <xm:sqref>TBN393221:TBN393244</xm:sqref>
        </x14:dataValidation>
        <x14:dataValidation type="list" allowBlank="1" showInputMessage="1" showErrorMessage="1" xr:uid="{00000000-0002-0000-0300-000075210000}">
          <x14:formula1>
            <xm:f>項目!A4:$TLA$393218</xm:f>
          </x14:formula1>
          <xm:sqref>TLJ393221:TLJ393244</xm:sqref>
        </x14:dataValidation>
        <x14:dataValidation type="list" allowBlank="1" showInputMessage="1" showErrorMessage="1" xr:uid="{00000000-0002-0000-0300-000076210000}">
          <x14:formula1>
            <xm:f>項目!A4:$TUW$393218</xm:f>
          </x14:formula1>
          <xm:sqref>TVF393221:TVF393244</xm:sqref>
        </x14:dataValidation>
        <x14:dataValidation type="list" allowBlank="1" showInputMessage="1" showErrorMessage="1" xr:uid="{00000000-0002-0000-0300-000077210000}">
          <x14:formula1>
            <xm:f>項目!A4:$UES$393218</xm:f>
          </x14:formula1>
          <xm:sqref>UFB393221:UFB393244</xm:sqref>
        </x14:dataValidation>
        <x14:dataValidation type="list" allowBlank="1" showInputMessage="1" showErrorMessage="1" xr:uid="{00000000-0002-0000-0300-000078210000}">
          <x14:formula1>
            <xm:f>項目!A4:$UOO$393218</xm:f>
          </x14:formula1>
          <xm:sqref>UOX393221:UOX393244</xm:sqref>
        </x14:dataValidation>
        <x14:dataValidation type="list" allowBlank="1" showInputMessage="1" showErrorMessage="1" xr:uid="{00000000-0002-0000-0300-000079210000}">
          <x14:formula1>
            <xm:f>項目!A4:$UYK$393218</xm:f>
          </x14:formula1>
          <xm:sqref>UYT393221:UYT393244</xm:sqref>
        </x14:dataValidation>
        <x14:dataValidation type="list" allowBlank="1" showInputMessage="1" showErrorMessage="1" xr:uid="{00000000-0002-0000-0300-00007A210000}">
          <x14:formula1>
            <xm:f>項目!A4:$VIG$393218</xm:f>
          </x14:formula1>
          <xm:sqref>VIP393221:VIP393244</xm:sqref>
        </x14:dataValidation>
        <x14:dataValidation type="list" allowBlank="1" showInputMessage="1" showErrorMessage="1" xr:uid="{00000000-0002-0000-0300-00007B210000}">
          <x14:formula1>
            <xm:f>項目!A4:$VSC$393218</xm:f>
          </x14:formula1>
          <xm:sqref>VSL393221:VSL393244</xm:sqref>
        </x14:dataValidation>
        <x14:dataValidation type="list" allowBlank="1" showInputMessage="1" showErrorMessage="1" xr:uid="{00000000-0002-0000-0300-00007C210000}">
          <x14:formula1>
            <xm:f>項目!A4:$WBY$393218</xm:f>
          </x14:formula1>
          <xm:sqref>WCH393221:WCH393244</xm:sqref>
        </x14:dataValidation>
        <x14:dataValidation type="list" allowBlank="1" showInputMessage="1" showErrorMessage="1" xr:uid="{00000000-0002-0000-0300-00007D210000}">
          <x14:formula1>
            <xm:f>項目!A4:$WLU$393218</xm:f>
          </x14:formula1>
          <xm:sqref>WMD393221:WMD393244</xm:sqref>
        </x14:dataValidation>
        <x14:dataValidation type="list" allowBlank="1" showInputMessage="1" showErrorMessage="1" xr:uid="{00000000-0002-0000-0300-00007E210000}">
          <x14:formula1>
            <xm:f>項目!A4:$WVQ$393218</xm:f>
          </x14:formula1>
          <xm:sqref>WVZ393221:WVZ393244</xm:sqref>
        </x14:dataValidation>
        <x14:dataValidation type="list" allowBlank="1" showInputMessage="1" showErrorMessage="1" xr:uid="{00000000-0002-0000-0300-00007F210000}">
          <x14:formula1>
            <xm:f>項目!A4:$K$458754</xm:f>
          </x14:formula1>
          <xm:sqref>R458757:R458780</xm:sqref>
        </x14:dataValidation>
        <x14:dataValidation type="list" allowBlank="1" showInputMessage="1" showErrorMessage="1" xr:uid="{00000000-0002-0000-0300-000080210000}">
          <x14:formula1>
            <xm:f>項目!A4:$JE$458754</xm:f>
          </x14:formula1>
          <xm:sqref>JN458757:JN458780</xm:sqref>
        </x14:dataValidation>
        <x14:dataValidation type="list" allowBlank="1" showInputMessage="1" showErrorMessage="1" xr:uid="{00000000-0002-0000-0300-000081210000}">
          <x14:formula1>
            <xm:f>項目!A4:$TA$458754</xm:f>
          </x14:formula1>
          <xm:sqref>TJ458757:TJ458780</xm:sqref>
        </x14:dataValidation>
        <x14:dataValidation type="list" allowBlank="1" showInputMessage="1" showErrorMessage="1" xr:uid="{00000000-0002-0000-0300-000082210000}">
          <x14:formula1>
            <xm:f>項目!A4:$ACW$458754</xm:f>
          </x14:formula1>
          <xm:sqref>ADF458757:ADF458780</xm:sqref>
        </x14:dataValidation>
        <x14:dataValidation type="list" allowBlank="1" showInputMessage="1" showErrorMessage="1" xr:uid="{00000000-0002-0000-0300-000083210000}">
          <x14:formula1>
            <xm:f>項目!A4:$AMS$458754</xm:f>
          </x14:formula1>
          <xm:sqref>ANB458757:ANB458780</xm:sqref>
        </x14:dataValidation>
        <x14:dataValidation type="list" allowBlank="1" showInputMessage="1" showErrorMessage="1" xr:uid="{00000000-0002-0000-0300-000084210000}">
          <x14:formula1>
            <xm:f>項目!A4:$AWO$458754</xm:f>
          </x14:formula1>
          <xm:sqref>AWX458757:AWX458780</xm:sqref>
        </x14:dataValidation>
        <x14:dataValidation type="list" allowBlank="1" showInputMessage="1" showErrorMessage="1" xr:uid="{00000000-0002-0000-0300-000085210000}">
          <x14:formula1>
            <xm:f>項目!A4:$BGK$458754</xm:f>
          </x14:formula1>
          <xm:sqref>BGT458757:BGT458780</xm:sqref>
        </x14:dataValidation>
        <x14:dataValidation type="list" allowBlank="1" showInputMessage="1" showErrorMessage="1" xr:uid="{00000000-0002-0000-0300-000086210000}">
          <x14:formula1>
            <xm:f>項目!A4:$BQG$458754</xm:f>
          </x14:formula1>
          <xm:sqref>BQP458757:BQP458780</xm:sqref>
        </x14:dataValidation>
        <x14:dataValidation type="list" allowBlank="1" showInputMessage="1" showErrorMessage="1" xr:uid="{00000000-0002-0000-0300-000087210000}">
          <x14:formula1>
            <xm:f>項目!A4:$CAC$458754</xm:f>
          </x14:formula1>
          <xm:sqref>CAL458757:CAL458780</xm:sqref>
        </x14:dataValidation>
        <x14:dataValidation type="list" allowBlank="1" showInputMessage="1" showErrorMessage="1" xr:uid="{00000000-0002-0000-0300-000088210000}">
          <x14:formula1>
            <xm:f>項目!A4:$CJY$458754</xm:f>
          </x14:formula1>
          <xm:sqref>CKH458757:CKH458780</xm:sqref>
        </x14:dataValidation>
        <x14:dataValidation type="list" allowBlank="1" showInputMessage="1" showErrorMessage="1" xr:uid="{00000000-0002-0000-0300-000089210000}">
          <x14:formula1>
            <xm:f>項目!A4:$CTU$458754</xm:f>
          </x14:formula1>
          <xm:sqref>CUD458757:CUD458780</xm:sqref>
        </x14:dataValidation>
        <x14:dataValidation type="list" allowBlank="1" showInputMessage="1" showErrorMessage="1" xr:uid="{00000000-0002-0000-0300-00008A210000}">
          <x14:formula1>
            <xm:f>項目!A4:$DDQ$458754</xm:f>
          </x14:formula1>
          <xm:sqref>DDZ458757:DDZ458780</xm:sqref>
        </x14:dataValidation>
        <x14:dataValidation type="list" allowBlank="1" showInputMessage="1" showErrorMessage="1" xr:uid="{00000000-0002-0000-0300-00008B210000}">
          <x14:formula1>
            <xm:f>項目!A4:$DNM$458754</xm:f>
          </x14:formula1>
          <xm:sqref>DNV458757:DNV458780</xm:sqref>
        </x14:dataValidation>
        <x14:dataValidation type="list" allowBlank="1" showInputMessage="1" showErrorMessage="1" xr:uid="{00000000-0002-0000-0300-00008C210000}">
          <x14:formula1>
            <xm:f>項目!A4:$DXI$458754</xm:f>
          </x14:formula1>
          <xm:sqref>DXR458757:DXR458780</xm:sqref>
        </x14:dataValidation>
        <x14:dataValidation type="list" allowBlank="1" showInputMessage="1" showErrorMessage="1" xr:uid="{00000000-0002-0000-0300-00008D210000}">
          <x14:formula1>
            <xm:f>項目!A4:$EHE$458754</xm:f>
          </x14:formula1>
          <xm:sqref>EHN458757:EHN458780</xm:sqref>
        </x14:dataValidation>
        <x14:dataValidation type="list" allowBlank="1" showInputMessage="1" showErrorMessage="1" xr:uid="{00000000-0002-0000-0300-00008E210000}">
          <x14:formula1>
            <xm:f>項目!A4:$ERA$458754</xm:f>
          </x14:formula1>
          <xm:sqref>ERJ458757:ERJ458780</xm:sqref>
        </x14:dataValidation>
        <x14:dataValidation type="list" allowBlank="1" showInputMessage="1" showErrorMessage="1" xr:uid="{00000000-0002-0000-0300-00008F210000}">
          <x14:formula1>
            <xm:f>項目!A4:$FAW$458754</xm:f>
          </x14:formula1>
          <xm:sqref>FBF458757:FBF458780</xm:sqref>
        </x14:dataValidation>
        <x14:dataValidation type="list" allowBlank="1" showInputMessage="1" showErrorMessage="1" xr:uid="{00000000-0002-0000-0300-000090210000}">
          <x14:formula1>
            <xm:f>項目!A4:$FKS$458754</xm:f>
          </x14:formula1>
          <xm:sqref>FLB458757:FLB458780</xm:sqref>
        </x14:dataValidation>
        <x14:dataValidation type="list" allowBlank="1" showInputMessage="1" showErrorMessage="1" xr:uid="{00000000-0002-0000-0300-000091210000}">
          <x14:formula1>
            <xm:f>項目!A4:$FUO$458754</xm:f>
          </x14:formula1>
          <xm:sqref>FUX458757:FUX458780</xm:sqref>
        </x14:dataValidation>
        <x14:dataValidation type="list" allowBlank="1" showInputMessage="1" showErrorMessage="1" xr:uid="{00000000-0002-0000-0300-000092210000}">
          <x14:formula1>
            <xm:f>項目!A4:$GEK$458754</xm:f>
          </x14:formula1>
          <xm:sqref>GET458757:GET458780</xm:sqref>
        </x14:dataValidation>
        <x14:dataValidation type="list" allowBlank="1" showInputMessage="1" showErrorMessage="1" xr:uid="{00000000-0002-0000-0300-000093210000}">
          <x14:formula1>
            <xm:f>項目!A4:$GOG$458754</xm:f>
          </x14:formula1>
          <xm:sqref>GOP458757:GOP458780</xm:sqref>
        </x14:dataValidation>
        <x14:dataValidation type="list" allowBlank="1" showInputMessage="1" showErrorMessage="1" xr:uid="{00000000-0002-0000-0300-000094210000}">
          <x14:formula1>
            <xm:f>項目!A4:$GYC$458754</xm:f>
          </x14:formula1>
          <xm:sqref>GYL458757:GYL458780</xm:sqref>
        </x14:dataValidation>
        <x14:dataValidation type="list" allowBlank="1" showInputMessage="1" showErrorMessage="1" xr:uid="{00000000-0002-0000-0300-000095210000}">
          <x14:formula1>
            <xm:f>項目!A4:$HHY$458754</xm:f>
          </x14:formula1>
          <xm:sqref>HIH458757:HIH458780</xm:sqref>
        </x14:dataValidation>
        <x14:dataValidation type="list" allowBlank="1" showInputMessage="1" showErrorMessage="1" xr:uid="{00000000-0002-0000-0300-000096210000}">
          <x14:formula1>
            <xm:f>項目!A4:$HRU$458754</xm:f>
          </x14:formula1>
          <xm:sqref>HSD458757:HSD458780</xm:sqref>
        </x14:dataValidation>
        <x14:dataValidation type="list" allowBlank="1" showInputMessage="1" showErrorMessage="1" xr:uid="{00000000-0002-0000-0300-000097210000}">
          <x14:formula1>
            <xm:f>項目!A4:$IBQ$458754</xm:f>
          </x14:formula1>
          <xm:sqref>IBZ458757:IBZ458780</xm:sqref>
        </x14:dataValidation>
        <x14:dataValidation type="list" allowBlank="1" showInputMessage="1" showErrorMessage="1" xr:uid="{00000000-0002-0000-0300-000098210000}">
          <x14:formula1>
            <xm:f>項目!A4:$ILM$458754</xm:f>
          </x14:formula1>
          <xm:sqref>ILV458757:ILV458780</xm:sqref>
        </x14:dataValidation>
        <x14:dataValidation type="list" allowBlank="1" showInputMessage="1" showErrorMessage="1" xr:uid="{00000000-0002-0000-0300-000099210000}">
          <x14:formula1>
            <xm:f>項目!A4:$IVI$458754</xm:f>
          </x14:formula1>
          <xm:sqref>IVR458757:IVR458780</xm:sqref>
        </x14:dataValidation>
        <x14:dataValidation type="list" allowBlank="1" showInputMessage="1" showErrorMessage="1" xr:uid="{00000000-0002-0000-0300-00009A210000}">
          <x14:formula1>
            <xm:f>項目!A4:$JFE$458754</xm:f>
          </x14:formula1>
          <xm:sqref>JFN458757:JFN458780</xm:sqref>
        </x14:dataValidation>
        <x14:dataValidation type="list" allowBlank="1" showInputMessage="1" showErrorMessage="1" xr:uid="{00000000-0002-0000-0300-00009B210000}">
          <x14:formula1>
            <xm:f>項目!A4:$JPA$458754</xm:f>
          </x14:formula1>
          <xm:sqref>JPJ458757:JPJ458780</xm:sqref>
        </x14:dataValidation>
        <x14:dataValidation type="list" allowBlank="1" showInputMessage="1" showErrorMessage="1" xr:uid="{00000000-0002-0000-0300-00009C210000}">
          <x14:formula1>
            <xm:f>項目!A4:$JYW$458754</xm:f>
          </x14:formula1>
          <xm:sqref>JZF458757:JZF458780</xm:sqref>
        </x14:dataValidation>
        <x14:dataValidation type="list" allowBlank="1" showInputMessage="1" showErrorMessage="1" xr:uid="{00000000-0002-0000-0300-00009D210000}">
          <x14:formula1>
            <xm:f>項目!A4:$KIS$458754</xm:f>
          </x14:formula1>
          <xm:sqref>KJB458757:KJB458780</xm:sqref>
        </x14:dataValidation>
        <x14:dataValidation type="list" allowBlank="1" showInputMessage="1" showErrorMessage="1" xr:uid="{00000000-0002-0000-0300-00009E210000}">
          <x14:formula1>
            <xm:f>項目!A4:$KSO$458754</xm:f>
          </x14:formula1>
          <xm:sqref>KSX458757:KSX458780</xm:sqref>
        </x14:dataValidation>
        <x14:dataValidation type="list" allowBlank="1" showInputMessage="1" showErrorMessage="1" xr:uid="{00000000-0002-0000-0300-00009F210000}">
          <x14:formula1>
            <xm:f>項目!A4:$LCK$458754</xm:f>
          </x14:formula1>
          <xm:sqref>LCT458757:LCT458780</xm:sqref>
        </x14:dataValidation>
        <x14:dataValidation type="list" allowBlank="1" showInputMessage="1" showErrorMessage="1" xr:uid="{00000000-0002-0000-0300-0000A0210000}">
          <x14:formula1>
            <xm:f>項目!A4:$LMG$458754</xm:f>
          </x14:formula1>
          <xm:sqref>LMP458757:LMP458780</xm:sqref>
        </x14:dataValidation>
        <x14:dataValidation type="list" allowBlank="1" showInputMessage="1" showErrorMessage="1" xr:uid="{00000000-0002-0000-0300-0000A1210000}">
          <x14:formula1>
            <xm:f>項目!A4:$LWC$458754</xm:f>
          </x14:formula1>
          <xm:sqref>LWL458757:LWL458780</xm:sqref>
        </x14:dataValidation>
        <x14:dataValidation type="list" allowBlank="1" showInputMessage="1" showErrorMessage="1" xr:uid="{00000000-0002-0000-0300-0000A2210000}">
          <x14:formula1>
            <xm:f>項目!A4:$MFY$458754</xm:f>
          </x14:formula1>
          <xm:sqref>MGH458757:MGH458780</xm:sqref>
        </x14:dataValidation>
        <x14:dataValidation type="list" allowBlank="1" showInputMessage="1" showErrorMessage="1" xr:uid="{00000000-0002-0000-0300-0000A3210000}">
          <x14:formula1>
            <xm:f>項目!A4:$MPU$458754</xm:f>
          </x14:formula1>
          <xm:sqref>MQD458757:MQD458780</xm:sqref>
        </x14:dataValidation>
        <x14:dataValidation type="list" allowBlank="1" showInputMessage="1" showErrorMessage="1" xr:uid="{00000000-0002-0000-0300-0000A4210000}">
          <x14:formula1>
            <xm:f>項目!A4:$MZQ$458754</xm:f>
          </x14:formula1>
          <xm:sqref>MZZ458757:MZZ458780</xm:sqref>
        </x14:dataValidation>
        <x14:dataValidation type="list" allowBlank="1" showInputMessage="1" showErrorMessage="1" xr:uid="{00000000-0002-0000-0300-0000A5210000}">
          <x14:formula1>
            <xm:f>項目!A4:$NJM$458754</xm:f>
          </x14:formula1>
          <xm:sqref>NJV458757:NJV458780</xm:sqref>
        </x14:dataValidation>
        <x14:dataValidation type="list" allowBlank="1" showInputMessage="1" showErrorMessage="1" xr:uid="{00000000-0002-0000-0300-0000A6210000}">
          <x14:formula1>
            <xm:f>項目!A4:$NTI$458754</xm:f>
          </x14:formula1>
          <xm:sqref>NTR458757:NTR458780</xm:sqref>
        </x14:dataValidation>
        <x14:dataValidation type="list" allowBlank="1" showInputMessage="1" showErrorMessage="1" xr:uid="{00000000-0002-0000-0300-0000A7210000}">
          <x14:formula1>
            <xm:f>項目!A4:$ODE$458754</xm:f>
          </x14:formula1>
          <xm:sqref>ODN458757:ODN458780</xm:sqref>
        </x14:dataValidation>
        <x14:dataValidation type="list" allowBlank="1" showInputMessage="1" showErrorMessage="1" xr:uid="{00000000-0002-0000-0300-0000A8210000}">
          <x14:formula1>
            <xm:f>項目!A4:$ONA$458754</xm:f>
          </x14:formula1>
          <xm:sqref>ONJ458757:ONJ458780</xm:sqref>
        </x14:dataValidation>
        <x14:dataValidation type="list" allowBlank="1" showInputMessage="1" showErrorMessage="1" xr:uid="{00000000-0002-0000-0300-0000A9210000}">
          <x14:formula1>
            <xm:f>項目!A4:$OWW$458754</xm:f>
          </x14:formula1>
          <xm:sqref>OXF458757:OXF458780</xm:sqref>
        </x14:dataValidation>
        <x14:dataValidation type="list" allowBlank="1" showInputMessage="1" showErrorMessage="1" xr:uid="{00000000-0002-0000-0300-0000AA210000}">
          <x14:formula1>
            <xm:f>項目!A4:$PGS$458754</xm:f>
          </x14:formula1>
          <xm:sqref>PHB458757:PHB458780</xm:sqref>
        </x14:dataValidation>
        <x14:dataValidation type="list" allowBlank="1" showInputMessage="1" showErrorMessage="1" xr:uid="{00000000-0002-0000-0300-0000AB210000}">
          <x14:formula1>
            <xm:f>項目!A4:$PQO$458754</xm:f>
          </x14:formula1>
          <xm:sqref>PQX458757:PQX458780</xm:sqref>
        </x14:dataValidation>
        <x14:dataValidation type="list" allowBlank="1" showInputMessage="1" showErrorMessage="1" xr:uid="{00000000-0002-0000-0300-0000AC210000}">
          <x14:formula1>
            <xm:f>項目!A4:$QAK$458754</xm:f>
          </x14:formula1>
          <xm:sqref>QAT458757:QAT458780</xm:sqref>
        </x14:dataValidation>
        <x14:dataValidation type="list" allowBlank="1" showInputMessage="1" showErrorMessage="1" xr:uid="{00000000-0002-0000-0300-0000AD210000}">
          <x14:formula1>
            <xm:f>項目!A4:$QKG$458754</xm:f>
          </x14:formula1>
          <xm:sqref>QKP458757:QKP458780</xm:sqref>
        </x14:dataValidation>
        <x14:dataValidation type="list" allowBlank="1" showInputMessage="1" showErrorMessage="1" xr:uid="{00000000-0002-0000-0300-0000AE210000}">
          <x14:formula1>
            <xm:f>項目!A4:$QUC$458754</xm:f>
          </x14:formula1>
          <xm:sqref>QUL458757:QUL458780</xm:sqref>
        </x14:dataValidation>
        <x14:dataValidation type="list" allowBlank="1" showInputMessage="1" showErrorMessage="1" xr:uid="{00000000-0002-0000-0300-0000AF210000}">
          <x14:formula1>
            <xm:f>項目!A4:$RDY$458754</xm:f>
          </x14:formula1>
          <xm:sqref>REH458757:REH458780</xm:sqref>
        </x14:dataValidation>
        <x14:dataValidation type="list" allowBlank="1" showInputMessage="1" showErrorMessage="1" xr:uid="{00000000-0002-0000-0300-0000B0210000}">
          <x14:formula1>
            <xm:f>項目!A4:$RNU$458754</xm:f>
          </x14:formula1>
          <xm:sqref>ROD458757:ROD458780</xm:sqref>
        </x14:dataValidation>
        <x14:dataValidation type="list" allowBlank="1" showInputMessage="1" showErrorMessage="1" xr:uid="{00000000-0002-0000-0300-0000B1210000}">
          <x14:formula1>
            <xm:f>項目!A4:$RXQ$458754</xm:f>
          </x14:formula1>
          <xm:sqref>RXZ458757:RXZ458780</xm:sqref>
        </x14:dataValidation>
        <x14:dataValidation type="list" allowBlank="1" showInputMessage="1" showErrorMessage="1" xr:uid="{00000000-0002-0000-0300-0000B2210000}">
          <x14:formula1>
            <xm:f>項目!A4:$SHM$458754</xm:f>
          </x14:formula1>
          <xm:sqref>SHV458757:SHV458780</xm:sqref>
        </x14:dataValidation>
        <x14:dataValidation type="list" allowBlank="1" showInputMessage="1" showErrorMessage="1" xr:uid="{00000000-0002-0000-0300-0000B3210000}">
          <x14:formula1>
            <xm:f>項目!A4:$SRI$458754</xm:f>
          </x14:formula1>
          <xm:sqref>SRR458757:SRR458780</xm:sqref>
        </x14:dataValidation>
        <x14:dataValidation type="list" allowBlank="1" showInputMessage="1" showErrorMessage="1" xr:uid="{00000000-0002-0000-0300-0000B4210000}">
          <x14:formula1>
            <xm:f>項目!A4:$TBE$458754</xm:f>
          </x14:formula1>
          <xm:sqref>TBN458757:TBN458780</xm:sqref>
        </x14:dataValidation>
        <x14:dataValidation type="list" allowBlank="1" showInputMessage="1" showErrorMessage="1" xr:uid="{00000000-0002-0000-0300-0000B5210000}">
          <x14:formula1>
            <xm:f>項目!A4:$TLA$458754</xm:f>
          </x14:formula1>
          <xm:sqref>TLJ458757:TLJ458780</xm:sqref>
        </x14:dataValidation>
        <x14:dataValidation type="list" allowBlank="1" showInputMessage="1" showErrorMessage="1" xr:uid="{00000000-0002-0000-0300-0000B6210000}">
          <x14:formula1>
            <xm:f>項目!A4:$TUW$458754</xm:f>
          </x14:formula1>
          <xm:sqref>TVF458757:TVF458780</xm:sqref>
        </x14:dataValidation>
        <x14:dataValidation type="list" allowBlank="1" showInputMessage="1" showErrorMessage="1" xr:uid="{00000000-0002-0000-0300-0000B7210000}">
          <x14:formula1>
            <xm:f>項目!A4:$UES$458754</xm:f>
          </x14:formula1>
          <xm:sqref>UFB458757:UFB458780</xm:sqref>
        </x14:dataValidation>
        <x14:dataValidation type="list" allowBlank="1" showInputMessage="1" showErrorMessage="1" xr:uid="{00000000-0002-0000-0300-0000B8210000}">
          <x14:formula1>
            <xm:f>項目!A4:$UOO$458754</xm:f>
          </x14:formula1>
          <xm:sqref>UOX458757:UOX458780</xm:sqref>
        </x14:dataValidation>
        <x14:dataValidation type="list" allowBlank="1" showInputMessage="1" showErrorMessage="1" xr:uid="{00000000-0002-0000-0300-0000B9210000}">
          <x14:formula1>
            <xm:f>項目!A4:$UYK$458754</xm:f>
          </x14:formula1>
          <xm:sqref>UYT458757:UYT458780</xm:sqref>
        </x14:dataValidation>
        <x14:dataValidation type="list" allowBlank="1" showInputMessage="1" showErrorMessage="1" xr:uid="{00000000-0002-0000-0300-0000BA210000}">
          <x14:formula1>
            <xm:f>項目!A4:$VIG$458754</xm:f>
          </x14:formula1>
          <xm:sqref>VIP458757:VIP458780</xm:sqref>
        </x14:dataValidation>
        <x14:dataValidation type="list" allowBlank="1" showInputMessage="1" showErrorMessage="1" xr:uid="{00000000-0002-0000-0300-0000BB210000}">
          <x14:formula1>
            <xm:f>項目!A4:$VSC$458754</xm:f>
          </x14:formula1>
          <xm:sqref>VSL458757:VSL458780</xm:sqref>
        </x14:dataValidation>
        <x14:dataValidation type="list" allowBlank="1" showInputMessage="1" showErrorMessage="1" xr:uid="{00000000-0002-0000-0300-0000BC210000}">
          <x14:formula1>
            <xm:f>項目!A4:$WBY$458754</xm:f>
          </x14:formula1>
          <xm:sqref>WCH458757:WCH458780</xm:sqref>
        </x14:dataValidation>
        <x14:dataValidation type="list" allowBlank="1" showInputMessage="1" showErrorMessage="1" xr:uid="{00000000-0002-0000-0300-0000BD210000}">
          <x14:formula1>
            <xm:f>項目!A4:$WLU$458754</xm:f>
          </x14:formula1>
          <xm:sqref>WMD458757:WMD458780</xm:sqref>
        </x14:dataValidation>
        <x14:dataValidation type="list" allowBlank="1" showInputMessage="1" showErrorMessage="1" xr:uid="{00000000-0002-0000-0300-0000BE210000}">
          <x14:formula1>
            <xm:f>項目!A4:$WVQ$458754</xm:f>
          </x14:formula1>
          <xm:sqref>WVZ458757:WVZ458780</xm:sqref>
        </x14:dataValidation>
        <x14:dataValidation type="list" allowBlank="1" showInputMessage="1" showErrorMessage="1" xr:uid="{00000000-0002-0000-0300-0000BF210000}">
          <x14:formula1>
            <xm:f>項目!A4:$K$524290</xm:f>
          </x14:formula1>
          <xm:sqref>R524293:R524316</xm:sqref>
        </x14:dataValidation>
        <x14:dataValidation type="list" allowBlank="1" showInputMessage="1" showErrorMessage="1" xr:uid="{00000000-0002-0000-0300-0000C0210000}">
          <x14:formula1>
            <xm:f>項目!A4:$JE$524290</xm:f>
          </x14:formula1>
          <xm:sqref>JN524293:JN524316</xm:sqref>
        </x14:dataValidation>
        <x14:dataValidation type="list" allowBlank="1" showInputMessage="1" showErrorMessage="1" xr:uid="{00000000-0002-0000-0300-0000C1210000}">
          <x14:formula1>
            <xm:f>項目!A4:$TA$524290</xm:f>
          </x14:formula1>
          <xm:sqref>TJ524293:TJ524316</xm:sqref>
        </x14:dataValidation>
        <x14:dataValidation type="list" allowBlank="1" showInputMessage="1" showErrorMessage="1" xr:uid="{00000000-0002-0000-0300-0000C2210000}">
          <x14:formula1>
            <xm:f>項目!A4:$ACW$524290</xm:f>
          </x14:formula1>
          <xm:sqref>ADF524293:ADF524316</xm:sqref>
        </x14:dataValidation>
        <x14:dataValidation type="list" allowBlank="1" showInputMessage="1" showErrorMessage="1" xr:uid="{00000000-0002-0000-0300-0000C3210000}">
          <x14:formula1>
            <xm:f>項目!A4:$AMS$524290</xm:f>
          </x14:formula1>
          <xm:sqref>ANB524293:ANB524316</xm:sqref>
        </x14:dataValidation>
        <x14:dataValidation type="list" allowBlank="1" showInputMessage="1" showErrorMessage="1" xr:uid="{00000000-0002-0000-0300-0000C4210000}">
          <x14:formula1>
            <xm:f>項目!A4:$AWO$524290</xm:f>
          </x14:formula1>
          <xm:sqref>AWX524293:AWX524316</xm:sqref>
        </x14:dataValidation>
        <x14:dataValidation type="list" allowBlank="1" showInputMessage="1" showErrorMessage="1" xr:uid="{00000000-0002-0000-0300-0000C5210000}">
          <x14:formula1>
            <xm:f>項目!A4:$BGK$524290</xm:f>
          </x14:formula1>
          <xm:sqref>BGT524293:BGT524316</xm:sqref>
        </x14:dataValidation>
        <x14:dataValidation type="list" allowBlank="1" showInputMessage="1" showErrorMessage="1" xr:uid="{00000000-0002-0000-0300-0000C6210000}">
          <x14:formula1>
            <xm:f>項目!A4:$BQG$524290</xm:f>
          </x14:formula1>
          <xm:sqref>BQP524293:BQP524316</xm:sqref>
        </x14:dataValidation>
        <x14:dataValidation type="list" allowBlank="1" showInputMessage="1" showErrorMessage="1" xr:uid="{00000000-0002-0000-0300-0000C7210000}">
          <x14:formula1>
            <xm:f>項目!A4:$CAC$524290</xm:f>
          </x14:formula1>
          <xm:sqref>CAL524293:CAL524316</xm:sqref>
        </x14:dataValidation>
        <x14:dataValidation type="list" allowBlank="1" showInputMessage="1" showErrorMessage="1" xr:uid="{00000000-0002-0000-0300-0000C8210000}">
          <x14:formula1>
            <xm:f>項目!A4:$CJY$524290</xm:f>
          </x14:formula1>
          <xm:sqref>CKH524293:CKH524316</xm:sqref>
        </x14:dataValidation>
        <x14:dataValidation type="list" allowBlank="1" showInputMessage="1" showErrorMessage="1" xr:uid="{00000000-0002-0000-0300-0000C9210000}">
          <x14:formula1>
            <xm:f>項目!A4:$CTU$524290</xm:f>
          </x14:formula1>
          <xm:sqref>CUD524293:CUD524316</xm:sqref>
        </x14:dataValidation>
        <x14:dataValidation type="list" allowBlank="1" showInputMessage="1" showErrorMessage="1" xr:uid="{00000000-0002-0000-0300-0000CA210000}">
          <x14:formula1>
            <xm:f>項目!A4:$DDQ$524290</xm:f>
          </x14:formula1>
          <xm:sqref>DDZ524293:DDZ524316</xm:sqref>
        </x14:dataValidation>
        <x14:dataValidation type="list" allowBlank="1" showInputMessage="1" showErrorMessage="1" xr:uid="{00000000-0002-0000-0300-0000CB210000}">
          <x14:formula1>
            <xm:f>項目!A4:$DNM$524290</xm:f>
          </x14:formula1>
          <xm:sqref>DNV524293:DNV524316</xm:sqref>
        </x14:dataValidation>
        <x14:dataValidation type="list" allowBlank="1" showInputMessage="1" showErrorMessage="1" xr:uid="{00000000-0002-0000-0300-0000CC210000}">
          <x14:formula1>
            <xm:f>項目!A4:$DXI$524290</xm:f>
          </x14:formula1>
          <xm:sqref>DXR524293:DXR524316</xm:sqref>
        </x14:dataValidation>
        <x14:dataValidation type="list" allowBlank="1" showInputMessage="1" showErrorMessage="1" xr:uid="{00000000-0002-0000-0300-0000CD210000}">
          <x14:formula1>
            <xm:f>項目!A4:$EHE$524290</xm:f>
          </x14:formula1>
          <xm:sqref>EHN524293:EHN524316</xm:sqref>
        </x14:dataValidation>
        <x14:dataValidation type="list" allowBlank="1" showInputMessage="1" showErrorMessage="1" xr:uid="{00000000-0002-0000-0300-0000CE210000}">
          <x14:formula1>
            <xm:f>項目!A4:$ERA$524290</xm:f>
          </x14:formula1>
          <xm:sqref>ERJ524293:ERJ524316</xm:sqref>
        </x14:dataValidation>
        <x14:dataValidation type="list" allowBlank="1" showInputMessage="1" showErrorMessage="1" xr:uid="{00000000-0002-0000-0300-0000CF210000}">
          <x14:formula1>
            <xm:f>項目!A4:$FAW$524290</xm:f>
          </x14:formula1>
          <xm:sqref>FBF524293:FBF524316</xm:sqref>
        </x14:dataValidation>
        <x14:dataValidation type="list" allowBlank="1" showInputMessage="1" showErrorMessage="1" xr:uid="{00000000-0002-0000-0300-0000D0210000}">
          <x14:formula1>
            <xm:f>項目!A4:$FKS$524290</xm:f>
          </x14:formula1>
          <xm:sqref>FLB524293:FLB524316</xm:sqref>
        </x14:dataValidation>
        <x14:dataValidation type="list" allowBlank="1" showInputMessage="1" showErrorMessage="1" xr:uid="{00000000-0002-0000-0300-0000D1210000}">
          <x14:formula1>
            <xm:f>項目!A4:$FUO$524290</xm:f>
          </x14:formula1>
          <xm:sqref>FUX524293:FUX524316</xm:sqref>
        </x14:dataValidation>
        <x14:dataValidation type="list" allowBlank="1" showInputMessage="1" showErrorMessage="1" xr:uid="{00000000-0002-0000-0300-0000D2210000}">
          <x14:formula1>
            <xm:f>項目!A4:$GEK$524290</xm:f>
          </x14:formula1>
          <xm:sqref>GET524293:GET524316</xm:sqref>
        </x14:dataValidation>
        <x14:dataValidation type="list" allowBlank="1" showInputMessage="1" showErrorMessage="1" xr:uid="{00000000-0002-0000-0300-0000D3210000}">
          <x14:formula1>
            <xm:f>項目!A4:$GOG$524290</xm:f>
          </x14:formula1>
          <xm:sqref>GOP524293:GOP524316</xm:sqref>
        </x14:dataValidation>
        <x14:dataValidation type="list" allowBlank="1" showInputMessage="1" showErrorMessage="1" xr:uid="{00000000-0002-0000-0300-0000D4210000}">
          <x14:formula1>
            <xm:f>項目!A4:$GYC$524290</xm:f>
          </x14:formula1>
          <xm:sqref>GYL524293:GYL524316</xm:sqref>
        </x14:dataValidation>
        <x14:dataValidation type="list" allowBlank="1" showInputMessage="1" showErrorMessage="1" xr:uid="{00000000-0002-0000-0300-0000D5210000}">
          <x14:formula1>
            <xm:f>項目!A4:$HHY$524290</xm:f>
          </x14:formula1>
          <xm:sqref>HIH524293:HIH524316</xm:sqref>
        </x14:dataValidation>
        <x14:dataValidation type="list" allowBlank="1" showInputMessage="1" showErrorMessage="1" xr:uid="{00000000-0002-0000-0300-0000D6210000}">
          <x14:formula1>
            <xm:f>項目!A4:$HRU$524290</xm:f>
          </x14:formula1>
          <xm:sqref>HSD524293:HSD524316</xm:sqref>
        </x14:dataValidation>
        <x14:dataValidation type="list" allowBlank="1" showInputMessage="1" showErrorMessage="1" xr:uid="{00000000-0002-0000-0300-0000D7210000}">
          <x14:formula1>
            <xm:f>項目!A4:$IBQ$524290</xm:f>
          </x14:formula1>
          <xm:sqref>IBZ524293:IBZ524316</xm:sqref>
        </x14:dataValidation>
        <x14:dataValidation type="list" allowBlank="1" showInputMessage="1" showErrorMessage="1" xr:uid="{00000000-0002-0000-0300-0000D8210000}">
          <x14:formula1>
            <xm:f>項目!A4:$ILM$524290</xm:f>
          </x14:formula1>
          <xm:sqref>ILV524293:ILV524316</xm:sqref>
        </x14:dataValidation>
        <x14:dataValidation type="list" allowBlank="1" showInputMessage="1" showErrorMessage="1" xr:uid="{00000000-0002-0000-0300-0000D9210000}">
          <x14:formula1>
            <xm:f>項目!A4:$IVI$524290</xm:f>
          </x14:formula1>
          <xm:sqref>IVR524293:IVR524316</xm:sqref>
        </x14:dataValidation>
        <x14:dataValidation type="list" allowBlank="1" showInputMessage="1" showErrorMessage="1" xr:uid="{00000000-0002-0000-0300-0000DA210000}">
          <x14:formula1>
            <xm:f>項目!A4:$JFE$524290</xm:f>
          </x14:formula1>
          <xm:sqref>JFN524293:JFN524316</xm:sqref>
        </x14:dataValidation>
        <x14:dataValidation type="list" allowBlank="1" showInputMessage="1" showErrorMessage="1" xr:uid="{00000000-0002-0000-0300-0000DB210000}">
          <x14:formula1>
            <xm:f>項目!A4:$JPA$524290</xm:f>
          </x14:formula1>
          <xm:sqref>JPJ524293:JPJ524316</xm:sqref>
        </x14:dataValidation>
        <x14:dataValidation type="list" allowBlank="1" showInputMessage="1" showErrorMessage="1" xr:uid="{00000000-0002-0000-0300-0000DC210000}">
          <x14:formula1>
            <xm:f>項目!A4:$JYW$524290</xm:f>
          </x14:formula1>
          <xm:sqref>JZF524293:JZF524316</xm:sqref>
        </x14:dataValidation>
        <x14:dataValidation type="list" allowBlank="1" showInputMessage="1" showErrorMessage="1" xr:uid="{00000000-0002-0000-0300-0000DD210000}">
          <x14:formula1>
            <xm:f>項目!A4:$KIS$524290</xm:f>
          </x14:formula1>
          <xm:sqref>KJB524293:KJB524316</xm:sqref>
        </x14:dataValidation>
        <x14:dataValidation type="list" allowBlank="1" showInputMessage="1" showErrorMessage="1" xr:uid="{00000000-0002-0000-0300-0000DE210000}">
          <x14:formula1>
            <xm:f>項目!A4:$KSO$524290</xm:f>
          </x14:formula1>
          <xm:sqref>KSX524293:KSX524316</xm:sqref>
        </x14:dataValidation>
        <x14:dataValidation type="list" allowBlank="1" showInputMessage="1" showErrorMessage="1" xr:uid="{00000000-0002-0000-0300-0000DF210000}">
          <x14:formula1>
            <xm:f>項目!A4:$LCK$524290</xm:f>
          </x14:formula1>
          <xm:sqref>LCT524293:LCT524316</xm:sqref>
        </x14:dataValidation>
        <x14:dataValidation type="list" allowBlank="1" showInputMessage="1" showErrorMessage="1" xr:uid="{00000000-0002-0000-0300-0000E0210000}">
          <x14:formula1>
            <xm:f>項目!A4:$LMG$524290</xm:f>
          </x14:formula1>
          <xm:sqref>LMP524293:LMP524316</xm:sqref>
        </x14:dataValidation>
        <x14:dataValidation type="list" allowBlank="1" showInputMessage="1" showErrorMessage="1" xr:uid="{00000000-0002-0000-0300-0000E1210000}">
          <x14:formula1>
            <xm:f>項目!A4:$LWC$524290</xm:f>
          </x14:formula1>
          <xm:sqref>LWL524293:LWL524316</xm:sqref>
        </x14:dataValidation>
        <x14:dataValidation type="list" allowBlank="1" showInputMessage="1" showErrorMessage="1" xr:uid="{00000000-0002-0000-0300-0000E2210000}">
          <x14:formula1>
            <xm:f>項目!A4:$MFY$524290</xm:f>
          </x14:formula1>
          <xm:sqref>MGH524293:MGH524316</xm:sqref>
        </x14:dataValidation>
        <x14:dataValidation type="list" allowBlank="1" showInputMessage="1" showErrorMessage="1" xr:uid="{00000000-0002-0000-0300-0000E3210000}">
          <x14:formula1>
            <xm:f>項目!A4:$MPU$524290</xm:f>
          </x14:formula1>
          <xm:sqref>MQD524293:MQD524316</xm:sqref>
        </x14:dataValidation>
        <x14:dataValidation type="list" allowBlank="1" showInputMessage="1" showErrorMessage="1" xr:uid="{00000000-0002-0000-0300-0000E4210000}">
          <x14:formula1>
            <xm:f>項目!A4:$MZQ$524290</xm:f>
          </x14:formula1>
          <xm:sqref>MZZ524293:MZZ524316</xm:sqref>
        </x14:dataValidation>
        <x14:dataValidation type="list" allowBlank="1" showInputMessage="1" showErrorMessage="1" xr:uid="{00000000-0002-0000-0300-0000E5210000}">
          <x14:formula1>
            <xm:f>項目!A4:$NJM$524290</xm:f>
          </x14:formula1>
          <xm:sqref>NJV524293:NJV524316</xm:sqref>
        </x14:dataValidation>
        <x14:dataValidation type="list" allowBlank="1" showInputMessage="1" showErrorMessage="1" xr:uid="{00000000-0002-0000-0300-0000E6210000}">
          <x14:formula1>
            <xm:f>項目!A4:$NTI$524290</xm:f>
          </x14:formula1>
          <xm:sqref>NTR524293:NTR524316</xm:sqref>
        </x14:dataValidation>
        <x14:dataValidation type="list" allowBlank="1" showInputMessage="1" showErrorMessage="1" xr:uid="{00000000-0002-0000-0300-0000E7210000}">
          <x14:formula1>
            <xm:f>項目!A4:$ODE$524290</xm:f>
          </x14:formula1>
          <xm:sqref>ODN524293:ODN524316</xm:sqref>
        </x14:dataValidation>
        <x14:dataValidation type="list" allowBlank="1" showInputMessage="1" showErrorMessage="1" xr:uid="{00000000-0002-0000-0300-0000E8210000}">
          <x14:formula1>
            <xm:f>項目!A4:$ONA$524290</xm:f>
          </x14:formula1>
          <xm:sqref>ONJ524293:ONJ524316</xm:sqref>
        </x14:dataValidation>
        <x14:dataValidation type="list" allowBlank="1" showInputMessage="1" showErrorMessage="1" xr:uid="{00000000-0002-0000-0300-0000E9210000}">
          <x14:formula1>
            <xm:f>項目!A4:$OWW$524290</xm:f>
          </x14:formula1>
          <xm:sqref>OXF524293:OXF524316</xm:sqref>
        </x14:dataValidation>
        <x14:dataValidation type="list" allowBlank="1" showInputMessage="1" showErrorMessage="1" xr:uid="{00000000-0002-0000-0300-0000EA210000}">
          <x14:formula1>
            <xm:f>項目!A4:$PGS$524290</xm:f>
          </x14:formula1>
          <xm:sqref>PHB524293:PHB524316</xm:sqref>
        </x14:dataValidation>
        <x14:dataValidation type="list" allowBlank="1" showInputMessage="1" showErrorMessage="1" xr:uid="{00000000-0002-0000-0300-0000EB210000}">
          <x14:formula1>
            <xm:f>項目!A4:$PQO$524290</xm:f>
          </x14:formula1>
          <xm:sqref>PQX524293:PQX524316</xm:sqref>
        </x14:dataValidation>
        <x14:dataValidation type="list" allowBlank="1" showInputMessage="1" showErrorMessage="1" xr:uid="{00000000-0002-0000-0300-0000EC210000}">
          <x14:formula1>
            <xm:f>項目!A4:$QAK$524290</xm:f>
          </x14:formula1>
          <xm:sqref>QAT524293:QAT524316</xm:sqref>
        </x14:dataValidation>
        <x14:dataValidation type="list" allowBlank="1" showInputMessage="1" showErrorMessage="1" xr:uid="{00000000-0002-0000-0300-0000ED210000}">
          <x14:formula1>
            <xm:f>項目!A4:$QKG$524290</xm:f>
          </x14:formula1>
          <xm:sqref>QKP524293:QKP524316</xm:sqref>
        </x14:dataValidation>
        <x14:dataValidation type="list" allowBlank="1" showInputMessage="1" showErrorMessage="1" xr:uid="{00000000-0002-0000-0300-0000EE210000}">
          <x14:formula1>
            <xm:f>項目!A4:$QUC$524290</xm:f>
          </x14:formula1>
          <xm:sqref>QUL524293:QUL524316</xm:sqref>
        </x14:dataValidation>
        <x14:dataValidation type="list" allowBlank="1" showInputMessage="1" showErrorMessage="1" xr:uid="{00000000-0002-0000-0300-0000EF210000}">
          <x14:formula1>
            <xm:f>項目!A4:$RDY$524290</xm:f>
          </x14:formula1>
          <xm:sqref>REH524293:REH524316</xm:sqref>
        </x14:dataValidation>
        <x14:dataValidation type="list" allowBlank="1" showInputMessage="1" showErrorMessage="1" xr:uid="{00000000-0002-0000-0300-0000F0210000}">
          <x14:formula1>
            <xm:f>項目!A4:$RNU$524290</xm:f>
          </x14:formula1>
          <xm:sqref>ROD524293:ROD524316</xm:sqref>
        </x14:dataValidation>
        <x14:dataValidation type="list" allowBlank="1" showInputMessage="1" showErrorMessage="1" xr:uid="{00000000-0002-0000-0300-0000F1210000}">
          <x14:formula1>
            <xm:f>項目!A4:$RXQ$524290</xm:f>
          </x14:formula1>
          <xm:sqref>RXZ524293:RXZ524316</xm:sqref>
        </x14:dataValidation>
        <x14:dataValidation type="list" allowBlank="1" showInputMessage="1" showErrorMessage="1" xr:uid="{00000000-0002-0000-0300-0000F2210000}">
          <x14:formula1>
            <xm:f>項目!A4:$SHM$524290</xm:f>
          </x14:formula1>
          <xm:sqref>SHV524293:SHV524316</xm:sqref>
        </x14:dataValidation>
        <x14:dataValidation type="list" allowBlank="1" showInputMessage="1" showErrorMessage="1" xr:uid="{00000000-0002-0000-0300-0000F3210000}">
          <x14:formula1>
            <xm:f>項目!A4:$SRI$524290</xm:f>
          </x14:formula1>
          <xm:sqref>SRR524293:SRR524316</xm:sqref>
        </x14:dataValidation>
        <x14:dataValidation type="list" allowBlank="1" showInputMessage="1" showErrorMessage="1" xr:uid="{00000000-0002-0000-0300-0000F4210000}">
          <x14:formula1>
            <xm:f>項目!A4:$TBE$524290</xm:f>
          </x14:formula1>
          <xm:sqref>TBN524293:TBN524316</xm:sqref>
        </x14:dataValidation>
        <x14:dataValidation type="list" allowBlank="1" showInputMessage="1" showErrorMessage="1" xr:uid="{00000000-0002-0000-0300-0000F5210000}">
          <x14:formula1>
            <xm:f>項目!A4:$TLA$524290</xm:f>
          </x14:formula1>
          <xm:sqref>TLJ524293:TLJ524316</xm:sqref>
        </x14:dataValidation>
        <x14:dataValidation type="list" allowBlank="1" showInputMessage="1" showErrorMessage="1" xr:uid="{00000000-0002-0000-0300-0000F6210000}">
          <x14:formula1>
            <xm:f>項目!A4:$TUW$524290</xm:f>
          </x14:formula1>
          <xm:sqref>TVF524293:TVF524316</xm:sqref>
        </x14:dataValidation>
        <x14:dataValidation type="list" allowBlank="1" showInputMessage="1" showErrorMessage="1" xr:uid="{00000000-0002-0000-0300-0000F7210000}">
          <x14:formula1>
            <xm:f>項目!A4:$UES$524290</xm:f>
          </x14:formula1>
          <xm:sqref>UFB524293:UFB524316</xm:sqref>
        </x14:dataValidation>
        <x14:dataValidation type="list" allowBlank="1" showInputMessage="1" showErrorMessage="1" xr:uid="{00000000-0002-0000-0300-0000F8210000}">
          <x14:formula1>
            <xm:f>項目!A4:$UOO$524290</xm:f>
          </x14:formula1>
          <xm:sqref>UOX524293:UOX524316</xm:sqref>
        </x14:dataValidation>
        <x14:dataValidation type="list" allowBlank="1" showInputMessage="1" showErrorMessage="1" xr:uid="{00000000-0002-0000-0300-0000F9210000}">
          <x14:formula1>
            <xm:f>項目!A4:$UYK$524290</xm:f>
          </x14:formula1>
          <xm:sqref>UYT524293:UYT524316</xm:sqref>
        </x14:dataValidation>
        <x14:dataValidation type="list" allowBlank="1" showInputMessage="1" showErrorMessage="1" xr:uid="{00000000-0002-0000-0300-0000FA210000}">
          <x14:formula1>
            <xm:f>項目!A4:$VIG$524290</xm:f>
          </x14:formula1>
          <xm:sqref>VIP524293:VIP524316</xm:sqref>
        </x14:dataValidation>
        <x14:dataValidation type="list" allowBlank="1" showInputMessage="1" showErrorMessage="1" xr:uid="{00000000-0002-0000-0300-0000FB210000}">
          <x14:formula1>
            <xm:f>項目!A4:$VSC$524290</xm:f>
          </x14:formula1>
          <xm:sqref>VSL524293:VSL524316</xm:sqref>
        </x14:dataValidation>
        <x14:dataValidation type="list" allowBlank="1" showInputMessage="1" showErrorMessage="1" xr:uid="{00000000-0002-0000-0300-0000FC210000}">
          <x14:formula1>
            <xm:f>項目!A4:$WBY$524290</xm:f>
          </x14:formula1>
          <xm:sqref>WCH524293:WCH524316</xm:sqref>
        </x14:dataValidation>
        <x14:dataValidation type="list" allowBlank="1" showInputMessage="1" showErrorMessage="1" xr:uid="{00000000-0002-0000-0300-0000FD210000}">
          <x14:formula1>
            <xm:f>項目!A4:$WLU$524290</xm:f>
          </x14:formula1>
          <xm:sqref>WMD524293:WMD524316</xm:sqref>
        </x14:dataValidation>
        <x14:dataValidation type="list" allowBlank="1" showInputMessage="1" showErrorMessage="1" xr:uid="{00000000-0002-0000-0300-0000FE210000}">
          <x14:formula1>
            <xm:f>項目!A4:$WVQ$524290</xm:f>
          </x14:formula1>
          <xm:sqref>WVZ524293:WVZ524316</xm:sqref>
        </x14:dataValidation>
        <x14:dataValidation type="list" allowBlank="1" showInputMessage="1" showErrorMessage="1" xr:uid="{00000000-0002-0000-0300-0000FF210000}">
          <x14:formula1>
            <xm:f>項目!A4:$K$589826</xm:f>
          </x14:formula1>
          <xm:sqref>R589829:R589852</xm:sqref>
        </x14:dataValidation>
        <x14:dataValidation type="list" allowBlank="1" showInputMessage="1" showErrorMessage="1" xr:uid="{00000000-0002-0000-0300-000000220000}">
          <x14:formula1>
            <xm:f>項目!A4:$JE$589826</xm:f>
          </x14:formula1>
          <xm:sqref>JN589829:JN589852</xm:sqref>
        </x14:dataValidation>
        <x14:dataValidation type="list" allowBlank="1" showInputMessage="1" showErrorMessage="1" xr:uid="{00000000-0002-0000-0300-000001220000}">
          <x14:formula1>
            <xm:f>項目!A4:$TA$589826</xm:f>
          </x14:formula1>
          <xm:sqref>TJ589829:TJ589852</xm:sqref>
        </x14:dataValidation>
        <x14:dataValidation type="list" allowBlank="1" showInputMessage="1" showErrorMessage="1" xr:uid="{00000000-0002-0000-0300-000002220000}">
          <x14:formula1>
            <xm:f>項目!A4:$ACW$589826</xm:f>
          </x14:formula1>
          <xm:sqref>ADF589829:ADF589852</xm:sqref>
        </x14:dataValidation>
        <x14:dataValidation type="list" allowBlank="1" showInputMessage="1" showErrorMessage="1" xr:uid="{00000000-0002-0000-0300-000003220000}">
          <x14:formula1>
            <xm:f>項目!A4:$AMS$589826</xm:f>
          </x14:formula1>
          <xm:sqref>ANB589829:ANB589852</xm:sqref>
        </x14:dataValidation>
        <x14:dataValidation type="list" allowBlank="1" showInputMessage="1" showErrorMessage="1" xr:uid="{00000000-0002-0000-0300-000004220000}">
          <x14:formula1>
            <xm:f>項目!A4:$AWO$589826</xm:f>
          </x14:formula1>
          <xm:sqref>AWX589829:AWX589852</xm:sqref>
        </x14:dataValidation>
        <x14:dataValidation type="list" allowBlank="1" showInputMessage="1" showErrorMessage="1" xr:uid="{00000000-0002-0000-0300-000005220000}">
          <x14:formula1>
            <xm:f>項目!A4:$BGK$589826</xm:f>
          </x14:formula1>
          <xm:sqref>BGT589829:BGT589852</xm:sqref>
        </x14:dataValidation>
        <x14:dataValidation type="list" allowBlank="1" showInputMessage="1" showErrorMessage="1" xr:uid="{00000000-0002-0000-0300-000006220000}">
          <x14:formula1>
            <xm:f>項目!A4:$BQG$589826</xm:f>
          </x14:formula1>
          <xm:sqref>BQP589829:BQP589852</xm:sqref>
        </x14:dataValidation>
        <x14:dataValidation type="list" allowBlank="1" showInputMessage="1" showErrorMessage="1" xr:uid="{00000000-0002-0000-0300-000007220000}">
          <x14:formula1>
            <xm:f>項目!A4:$CAC$589826</xm:f>
          </x14:formula1>
          <xm:sqref>CAL589829:CAL589852</xm:sqref>
        </x14:dataValidation>
        <x14:dataValidation type="list" allowBlank="1" showInputMessage="1" showErrorMessage="1" xr:uid="{00000000-0002-0000-0300-000008220000}">
          <x14:formula1>
            <xm:f>項目!A4:$CJY$589826</xm:f>
          </x14:formula1>
          <xm:sqref>CKH589829:CKH589852</xm:sqref>
        </x14:dataValidation>
        <x14:dataValidation type="list" allowBlank="1" showInputMessage="1" showErrorMessage="1" xr:uid="{00000000-0002-0000-0300-000009220000}">
          <x14:formula1>
            <xm:f>項目!A4:$CTU$589826</xm:f>
          </x14:formula1>
          <xm:sqref>CUD589829:CUD589852</xm:sqref>
        </x14:dataValidation>
        <x14:dataValidation type="list" allowBlank="1" showInputMessage="1" showErrorMessage="1" xr:uid="{00000000-0002-0000-0300-00000A220000}">
          <x14:formula1>
            <xm:f>項目!A4:$DDQ$589826</xm:f>
          </x14:formula1>
          <xm:sqref>DDZ589829:DDZ589852</xm:sqref>
        </x14:dataValidation>
        <x14:dataValidation type="list" allowBlank="1" showInputMessage="1" showErrorMessage="1" xr:uid="{00000000-0002-0000-0300-00000B220000}">
          <x14:formula1>
            <xm:f>項目!A4:$DNM$589826</xm:f>
          </x14:formula1>
          <xm:sqref>DNV589829:DNV589852</xm:sqref>
        </x14:dataValidation>
        <x14:dataValidation type="list" allowBlank="1" showInputMessage="1" showErrorMessage="1" xr:uid="{00000000-0002-0000-0300-00000C220000}">
          <x14:formula1>
            <xm:f>項目!A4:$DXI$589826</xm:f>
          </x14:formula1>
          <xm:sqref>DXR589829:DXR589852</xm:sqref>
        </x14:dataValidation>
        <x14:dataValidation type="list" allowBlank="1" showInputMessage="1" showErrorMessage="1" xr:uid="{00000000-0002-0000-0300-00000D220000}">
          <x14:formula1>
            <xm:f>項目!A4:$EHE$589826</xm:f>
          </x14:formula1>
          <xm:sqref>EHN589829:EHN589852</xm:sqref>
        </x14:dataValidation>
        <x14:dataValidation type="list" allowBlank="1" showInputMessage="1" showErrorMessage="1" xr:uid="{00000000-0002-0000-0300-00000E220000}">
          <x14:formula1>
            <xm:f>項目!A4:$ERA$589826</xm:f>
          </x14:formula1>
          <xm:sqref>ERJ589829:ERJ589852</xm:sqref>
        </x14:dataValidation>
        <x14:dataValidation type="list" allowBlank="1" showInputMessage="1" showErrorMessage="1" xr:uid="{00000000-0002-0000-0300-00000F220000}">
          <x14:formula1>
            <xm:f>項目!A4:$FAW$589826</xm:f>
          </x14:formula1>
          <xm:sqref>FBF589829:FBF589852</xm:sqref>
        </x14:dataValidation>
        <x14:dataValidation type="list" allowBlank="1" showInputMessage="1" showErrorMessage="1" xr:uid="{00000000-0002-0000-0300-000010220000}">
          <x14:formula1>
            <xm:f>項目!A4:$FKS$589826</xm:f>
          </x14:formula1>
          <xm:sqref>FLB589829:FLB589852</xm:sqref>
        </x14:dataValidation>
        <x14:dataValidation type="list" allowBlank="1" showInputMessage="1" showErrorMessage="1" xr:uid="{00000000-0002-0000-0300-000011220000}">
          <x14:formula1>
            <xm:f>項目!A4:$FUO$589826</xm:f>
          </x14:formula1>
          <xm:sqref>FUX589829:FUX589852</xm:sqref>
        </x14:dataValidation>
        <x14:dataValidation type="list" allowBlank="1" showInputMessage="1" showErrorMessage="1" xr:uid="{00000000-0002-0000-0300-000012220000}">
          <x14:formula1>
            <xm:f>項目!A4:$GEK$589826</xm:f>
          </x14:formula1>
          <xm:sqref>GET589829:GET589852</xm:sqref>
        </x14:dataValidation>
        <x14:dataValidation type="list" allowBlank="1" showInputMessage="1" showErrorMessage="1" xr:uid="{00000000-0002-0000-0300-000013220000}">
          <x14:formula1>
            <xm:f>項目!A4:$GOG$589826</xm:f>
          </x14:formula1>
          <xm:sqref>GOP589829:GOP589852</xm:sqref>
        </x14:dataValidation>
        <x14:dataValidation type="list" allowBlank="1" showInputMessage="1" showErrorMessage="1" xr:uid="{00000000-0002-0000-0300-000014220000}">
          <x14:formula1>
            <xm:f>項目!A4:$GYC$589826</xm:f>
          </x14:formula1>
          <xm:sqref>GYL589829:GYL589852</xm:sqref>
        </x14:dataValidation>
        <x14:dataValidation type="list" allowBlank="1" showInputMessage="1" showErrorMessage="1" xr:uid="{00000000-0002-0000-0300-000015220000}">
          <x14:formula1>
            <xm:f>項目!A4:$HHY$589826</xm:f>
          </x14:formula1>
          <xm:sqref>HIH589829:HIH589852</xm:sqref>
        </x14:dataValidation>
        <x14:dataValidation type="list" allowBlank="1" showInputMessage="1" showErrorMessage="1" xr:uid="{00000000-0002-0000-0300-000016220000}">
          <x14:formula1>
            <xm:f>項目!A4:$HRU$589826</xm:f>
          </x14:formula1>
          <xm:sqref>HSD589829:HSD589852</xm:sqref>
        </x14:dataValidation>
        <x14:dataValidation type="list" allowBlank="1" showInputMessage="1" showErrorMessage="1" xr:uid="{00000000-0002-0000-0300-000017220000}">
          <x14:formula1>
            <xm:f>項目!A4:$IBQ$589826</xm:f>
          </x14:formula1>
          <xm:sqref>IBZ589829:IBZ589852</xm:sqref>
        </x14:dataValidation>
        <x14:dataValidation type="list" allowBlank="1" showInputMessage="1" showErrorMessage="1" xr:uid="{00000000-0002-0000-0300-000018220000}">
          <x14:formula1>
            <xm:f>項目!A4:$ILM$589826</xm:f>
          </x14:formula1>
          <xm:sqref>ILV589829:ILV589852</xm:sqref>
        </x14:dataValidation>
        <x14:dataValidation type="list" allowBlank="1" showInputMessage="1" showErrorMessage="1" xr:uid="{00000000-0002-0000-0300-000019220000}">
          <x14:formula1>
            <xm:f>項目!A4:$IVI$589826</xm:f>
          </x14:formula1>
          <xm:sqref>IVR589829:IVR589852</xm:sqref>
        </x14:dataValidation>
        <x14:dataValidation type="list" allowBlank="1" showInputMessage="1" showErrorMessage="1" xr:uid="{00000000-0002-0000-0300-00001A220000}">
          <x14:formula1>
            <xm:f>項目!A4:$JFE$589826</xm:f>
          </x14:formula1>
          <xm:sqref>JFN589829:JFN589852</xm:sqref>
        </x14:dataValidation>
        <x14:dataValidation type="list" allowBlank="1" showInputMessage="1" showErrorMessage="1" xr:uid="{00000000-0002-0000-0300-00001B220000}">
          <x14:formula1>
            <xm:f>項目!A4:$JPA$589826</xm:f>
          </x14:formula1>
          <xm:sqref>JPJ589829:JPJ589852</xm:sqref>
        </x14:dataValidation>
        <x14:dataValidation type="list" allowBlank="1" showInputMessage="1" showErrorMessage="1" xr:uid="{00000000-0002-0000-0300-00001C220000}">
          <x14:formula1>
            <xm:f>項目!A4:$JYW$589826</xm:f>
          </x14:formula1>
          <xm:sqref>JZF589829:JZF589852</xm:sqref>
        </x14:dataValidation>
        <x14:dataValidation type="list" allowBlank="1" showInputMessage="1" showErrorMessage="1" xr:uid="{00000000-0002-0000-0300-00001D220000}">
          <x14:formula1>
            <xm:f>項目!A4:$KIS$589826</xm:f>
          </x14:formula1>
          <xm:sqref>KJB589829:KJB589852</xm:sqref>
        </x14:dataValidation>
        <x14:dataValidation type="list" allowBlank="1" showInputMessage="1" showErrorMessage="1" xr:uid="{00000000-0002-0000-0300-00001E220000}">
          <x14:formula1>
            <xm:f>項目!A4:$KSO$589826</xm:f>
          </x14:formula1>
          <xm:sqref>KSX589829:KSX589852</xm:sqref>
        </x14:dataValidation>
        <x14:dataValidation type="list" allowBlank="1" showInputMessage="1" showErrorMessage="1" xr:uid="{00000000-0002-0000-0300-00001F220000}">
          <x14:formula1>
            <xm:f>項目!A4:$LCK$589826</xm:f>
          </x14:formula1>
          <xm:sqref>LCT589829:LCT589852</xm:sqref>
        </x14:dataValidation>
        <x14:dataValidation type="list" allowBlank="1" showInputMessage="1" showErrorMessage="1" xr:uid="{00000000-0002-0000-0300-000020220000}">
          <x14:formula1>
            <xm:f>項目!A4:$LMG$589826</xm:f>
          </x14:formula1>
          <xm:sqref>LMP589829:LMP589852</xm:sqref>
        </x14:dataValidation>
        <x14:dataValidation type="list" allowBlank="1" showInputMessage="1" showErrorMessage="1" xr:uid="{00000000-0002-0000-0300-000021220000}">
          <x14:formula1>
            <xm:f>項目!A4:$LWC$589826</xm:f>
          </x14:formula1>
          <xm:sqref>LWL589829:LWL589852</xm:sqref>
        </x14:dataValidation>
        <x14:dataValidation type="list" allowBlank="1" showInputMessage="1" showErrorMessage="1" xr:uid="{00000000-0002-0000-0300-000022220000}">
          <x14:formula1>
            <xm:f>項目!A4:$MFY$589826</xm:f>
          </x14:formula1>
          <xm:sqref>MGH589829:MGH589852</xm:sqref>
        </x14:dataValidation>
        <x14:dataValidation type="list" allowBlank="1" showInputMessage="1" showErrorMessage="1" xr:uid="{00000000-0002-0000-0300-000023220000}">
          <x14:formula1>
            <xm:f>項目!A4:$MPU$589826</xm:f>
          </x14:formula1>
          <xm:sqref>MQD589829:MQD589852</xm:sqref>
        </x14:dataValidation>
        <x14:dataValidation type="list" allowBlank="1" showInputMessage="1" showErrorMessage="1" xr:uid="{00000000-0002-0000-0300-000024220000}">
          <x14:formula1>
            <xm:f>項目!A4:$MZQ$589826</xm:f>
          </x14:formula1>
          <xm:sqref>MZZ589829:MZZ589852</xm:sqref>
        </x14:dataValidation>
        <x14:dataValidation type="list" allowBlank="1" showInputMessage="1" showErrorMessage="1" xr:uid="{00000000-0002-0000-0300-000025220000}">
          <x14:formula1>
            <xm:f>項目!A4:$NJM$589826</xm:f>
          </x14:formula1>
          <xm:sqref>NJV589829:NJV589852</xm:sqref>
        </x14:dataValidation>
        <x14:dataValidation type="list" allowBlank="1" showInputMessage="1" showErrorMessage="1" xr:uid="{00000000-0002-0000-0300-000026220000}">
          <x14:formula1>
            <xm:f>項目!A4:$NTI$589826</xm:f>
          </x14:formula1>
          <xm:sqref>NTR589829:NTR589852</xm:sqref>
        </x14:dataValidation>
        <x14:dataValidation type="list" allowBlank="1" showInputMessage="1" showErrorMessage="1" xr:uid="{00000000-0002-0000-0300-000027220000}">
          <x14:formula1>
            <xm:f>項目!A4:$ODE$589826</xm:f>
          </x14:formula1>
          <xm:sqref>ODN589829:ODN589852</xm:sqref>
        </x14:dataValidation>
        <x14:dataValidation type="list" allowBlank="1" showInputMessage="1" showErrorMessage="1" xr:uid="{00000000-0002-0000-0300-000028220000}">
          <x14:formula1>
            <xm:f>項目!A4:$ONA$589826</xm:f>
          </x14:formula1>
          <xm:sqref>ONJ589829:ONJ589852</xm:sqref>
        </x14:dataValidation>
        <x14:dataValidation type="list" allowBlank="1" showInputMessage="1" showErrorMessage="1" xr:uid="{00000000-0002-0000-0300-000029220000}">
          <x14:formula1>
            <xm:f>項目!A4:$OWW$589826</xm:f>
          </x14:formula1>
          <xm:sqref>OXF589829:OXF589852</xm:sqref>
        </x14:dataValidation>
        <x14:dataValidation type="list" allowBlank="1" showInputMessage="1" showErrorMessage="1" xr:uid="{00000000-0002-0000-0300-00002A220000}">
          <x14:formula1>
            <xm:f>項目!A4:$PGS$589826</xm:f>
          </x14:formula1>
          <xm:sqref>PHB589829:PHB589852</xm:sqref>
        </x14:dataValidation>
        <x14:dataValidation type="list" allowBlank="1" showInputMessage="1" showErrorMessage="1" xr:uid="{00000000-0002-0000-0300-00002B220000}">
          <x14:formula1>
            <xm:f>項目!A4:$PQO$589826</xm:f>
          </x14:formula1>
          <xm:sqref>PQX589829:PQX589852</xm:sqref>
        </x14:dataValidation>
        <x14:dataValidation type="list" allowBlank="1" showInputMessage="1" showErrorMessage="1" xr:uid="{00000000-0002-0000-0300-00002C220000}">
          <x14:formula1>
            <xm:f>項目!A4:$QAK$589826</xm:f>
          </x14:formula1>
          <xm:sqref>QAT589829:QAT589852</xm:sqref>
        </x14:dataValidation>
        <x14:dataValidation type="list" allowBlank="1" showInputMessage="1" showErrorMessage="1" xr:uid="{00000000-0002-0000-0300-00002D220000}">
          <x14:formula1>
            <xm:f>項目!A4:$QKG$589826</xm:f>
          </x14:formula1>
          <xm:sqref>QKP589829:QKP589852</xm:sqref>
        </x14:dataValidation>
        <x14:dataValidation type="list" allowBlank="1" showInputMessage="1" showErrorMessage="1" xr:uid="{00000000-0002-0000-0300-00002E220000}">
          <x14:formula1>
            <xm:f>項目!A4:$QUC$589826</xm:f>
          </x14:formula1>
          <xm:sqref>QUL589829:QUL589852</xm:sqref>
        </x14:dataValidation>
        <x14:dataValidation type="list" allowBlank="1" showInputMessage="1" showErrorMessage="1" xr:uid="{00000000-0002-0000-0300-00002F220000}">
          <x14:formula1>
            <xm:f>項目!A4:$RDY$589826</xm:f>
          </x14:formula1>
          <xm:sqref>REH589829:REH589852</xm:sqref>
        </x14:dataValidation>
        <x14:dataValidation type="list" allowBlank="1" showInputMessage="1" showErrorMessage="1" xr:uid="{00000000-0002-0000-0300-000030220000}">
          <x14:formula1>
            <xm:f>項目!A4:$RNU$589826</xm:f>
          </x14:formula1>
          <xm:sqref>ROD589829:ROD589852</xm:sqref>
        </x14:dataValidation>
        <x14:dataValidation type="list" allowBlank="1" showInputMessage="1" showErrorMessage="1" xr:uid="{00000000-0002-0000-0300-000031220000}">
          <x14:formula1>
            <xm:f>項目!A4:$RXQ$589826</xm:f>
          </x14:formula1>
          <xm:sqref>RXZ589829:RXZ589852</xm:sqref>
        </x14:dataValidation>
        <x14:dataValidation type="list" allowBlank="1" showInputMessage="1" showErrorMessage="1" xr:uid="{00000000-0002-0000-0300-000032220000}">
          <x14:formula1>
            <xm:f>項目!A4:$SHM$589826</xm:f>
          </x14:formula1>
          <xm:sqref>SHV589829:SHV589852</xm:sqref>
        </x14:dataValidation>
        <x14:dataValidation type="list" allowBlank="1" showInputMessage="1" showErrorMessage="1" xr:uid="{00000000-0002-0000-0300-000033220000}">
          <x14:formula1>
            <xm:f>項目!A4:$SRI$589826</xm:f>
          </x14:formula1>
          <xm:sqref>SRR589829:SRR589852</xm:sqref>
        </x14:dataValidation>
        <x14:dataValidation type="list" allowBlank="1" showInputMessage="1" showErrorMessage="1" xr:uid="{00000000-0002-0000-0300-000034220000}">
          <x14:formula1>
            <xm:f>項目!A4:$TBE$589826</xm:f>
          </x14:formula1>
          <xm:sqref>TBN589829:TBN589852</xm:sqref>
        </x14:dataValidation>
        <x14:dataValidation type="list" allowBlank="1" showInputMessage="1" showErrorMessage="1" xr:uid="{00000000-0002-0000-0300-000035220000}">
          <x14:formula1>
            <xm:f>項目!A4:$TLA$589826</xm:f>
          </x14:formula1>
          <xm:sqref>TLJ589829:TLJ589852</xm:sqref>
        </x14:dataValidation>
        <x14:dataValidation type="list" allowBlank="1" showInputMessage="1" showErrorMessage="1" xr:uid="{00000000-0002-0000-0300-000036220000}">
          <x14:formula1>
            <xm:f>項目!A4:$TUW$589826</xm:f>
          </x14:formula1>
          <xm:sqref>TVF589829:TVF589852</xm:sqref>
        </x14:dataValidation>
        <x14:dataValidation type="list" allowBlank="1" showInputMessage="1" showErrorMessage="1" xr:uid="{00000000-0002-0000-0300-000037220000}">
          <x14:formula1>
            <xm:f>項目!A4:$UES$589826</xm:f>
          </x14:formula1>
          <xm:sqref>UFB589829:UFB589852</xm:sqref>
        </x14:dataValidation>
        <x14:dataValidation type="list" allowBlank="1" showInputMessage="1" showErrorMessage="1" xr:uid="{00000000-0002-0000-0300-000038220000}">
          <x14:formula1>
            <xm:f>項目!A4:$UOO$589826</xm:f>
          </x14:formula1>
          <xm:sqref>UOX589829:UOX589852</xm:sqref>
        </x14:dataValidation>
        <x14:dataValidation type="list" allowBlank="1" showInputMessage="1" showErrorMessage="1" xr:uid="{00000000-0002-0000-0300-000039220000}">
          <x14:formula1>
            <xm:f>項目!A4:$UYK$589826</xm:f>
          </x14:formula1>
          <xm:sqref>UYT589829:UYT589852</xm:sqref>
        </x14:dataValidation>
        <x14:dataValidation type="list" allowBlank="1" showInputMessage="1" showErrorMessage="1" xr:uid="{00000000-0002-0000-0300-00003A220000}">
          <x14:formula1>
            <xm:f>項目!A4:$VIG$589826</xm:f>
          </x14:formula1>
          <xm:sqref>VIP589829:VIP589852</xm:sqref>
        </x14:dataValidation>
        <x14:dataValidation type="list" allowBlank="1" showInputMessage="1" showErrorMessage="1" xr:uid="{00000000-0002-0000-0300-00003B220000}">
          <x14:formula1>
            <xm:f>項目!A4:$VSC$589826</xm:f>
          </x14:formula1>
          <xm:sqref>VSL589829:VSL589852</xm:sqref>
        </x14:dataValidation>
        <x14:dataValidation type="list" allowBlank="1" showInputMessage="1" showErrorMessage="1" xr:uid="{00000000-0002-0000-0300-00003C220000}">
          <x14:formula1>
            <xm:f>項目!A4:$WBY$589826</xm:f>
          </x14:formula1>
          <xm:sqref>WCH589829:WCH589852</xm:sqref>
        </x14:dataValidation>
        <x14:dataValidation type="list" allowBlank="1" showInputMessage="1" showErrorMessage="1" xr:uid="{00000000-0002-0000-0300-00003D220000}">
          <x14:formula1>
            <xm:f>項目!A4:$WLU$589826</xm:f>
          </x14:formula1>
          <xm:sqref>WMD589829:WMD589852</xm:sqref>
        </x14:dataValidation>
        <x14:dataValidation type="list" allowBlank="1" showInputMessage="1" showErrorMessage="1" xr:uid="{00000000-0002-0000-0300-00003E220000}">
          <x14:formula1>
            <xm:f>項目!A4:$WVQ$589826</xm:f>
          </x14:formula1>
          <xm:sqref>WVZ589829:WVZ589852</xm:sqref>
        </x14:dataValidation>
        <x14:dataValidation type="list" allowBlank="1" showInputMessage="1" showErrorMessage="1" xr:uid="{00000000-0002-0000-0300-00003F220000}">
          <x14:formula1>
            <xm:f>項目!A4:$K$655362</xm:f>
          </x14:formula1>
          <xm:sqref>R655365:R655388</xm:sqref>
        </x14:dataValidation>
        <x14:dataValidation type="list" allowBlank="1" showInputMessage="1" showErrorMessage="1" xr:uid="{00000000-0002-0000-0300-000040220000}">
          <x14:formula1>
            <xm:f>項目!A4:$JE$655362</xm:f>
          </x14:formula1>
          <xm:sqref>JN655365:JN655388</xm:sqref>
        </x14:dataValidation>
        <x14:dataValidation type="list" allowBlank="1" showInputMessage="1" showErrorMessage="1" xr:uid="{00000000-0002-0000-0300-000041220000}">
          <x14:formula1>
            <xm:f>項目!A4:$TA$655362</xm:f>
          </x14:formula1>
          <xm:sqref>TJ655365:TJ655388</xm:sqref>
        </x14:dataValidation>
        <x14:dataValidation type="list" allowBlank="1" showInputMessage="1" showErrorMessage="1" xr:uid="{00000000-0002-0000-0300-000042220000}">
          <x14:formula1>
            <xm:f>項目!A4:$ACW$655362</xm:f>
          </x14:formula1>
          <xm:sqref>ADF655365:ADF655388</xm:sqref>
        </x14:dataValidation>
        <x14:dataValidation type="list" allowBlank="1" showInputMessage="1" showErrorMessage="1" xr:uid="{00000000-0002-0000-0300-000043220000}">
          <x14:formula1>
            <xm:f>項目!A4:$AMS$655362</xm:f>
          </x14:formula1>
          <xm:sqref>ANB655365:ANB655388</xm:sqref>
        </x14:dataValidation>
        <x14:dataValidation type="list" allowBlank="1" showInputMessage="1" showErrorMessage="1" xr:uid="{00000000-0002-0000-0300-000044220000}">
          <x14:formula1>
            <xm:f>項目!A4:$AWO$655362</xm:f>
          </x14:formula1>
          <xm:sqref>AWX655365:AWX655388</xm:sqref>
        </x14:dataValidation>
        <x14:dataValidation type="list" allowBlank="1" showInputMessage="1" showErrorMessage="1" xr:uid="{00000000-0002-0000-0300-000045220000}">
          <x14:formula1>
            <xm:f>項目!A4:$BGK$655362</xm:f>
          </x14:formula1>
          <xm:sqref>BGT655365:BGT655388</xm:sqref>
        </x14:dataValidation>
        <x14:dataValidation type="list" allowBlank="1" showInputMessage="1" showErrorMessage="1" xr:uid="{00000000-0002-0000-0300-000046220000}">
          <x14:formula1>
            <xm:f>項目!A4:$BQG$655362</xm:f>
          </x14:formula1>
          <xm:sqref>BQP655365:BQP655388</xm:sqref>
        </x14:dataValidation>
        <x14:dataValidation type="list" allowBlank="1" showInputMessage="1" showErrorMessage="1" xr:uid="{00000000-0002-0000-0300-000047220000}">
          <x14:formula1>
            <xm:f>項目!A4:$CAC$655362</xm:f>
          </x14:formula1>
          <xm:sqref>CAL655365:CAL655388</xm:sqref>
        </x14:dataValidation>
        <x14:dataValidation type="list" allowBlank="1" showInputMessage="1" showErrorMessage="1" xr:uid="{00000000-0002-0000-0300-000048220000}">
          <x14:formula1>
            <xm:f>項目!A4:$CJY$655362</xm:f>
          </x14:formula1>
          <xm:sqref>CKH655365:CKH655388</xm:sqref>
        </x14:dataValidation>
        <x14:dataValidation type="list" allowBlank="1" showInputMessage="1" showErrorMessage="1" xr:uid="{00000000-0002-0000-0300-000049220000}">
          <x14:formula1>
            <xm:f>項目!A4:$CTU$655362</xm:f>
          </x14:formula1>
          <xm:sqref>CUD655365:CUD655388</xm:sqref>
        </x14:dataValidation>
        <x14:dataValidation type="list" allowBlank="1" showInputMessage="1" showErrorMessage="1" xr:uid="{00000000-0002-0000-0300-00004A220000}">
          <x14:formula1>
            <xm:f>項目!A4:$DDQ$655362</xm:f>
          </x14:formula1>
          <xm:sqref>DDZ655365:DDZ655388</xm:sqref>
        </x14:dataValidation>
        <x14:dataValidation type="list" allowBlank="1" showInputMessage="1" showErrorMessage="1" xr:uid="{00000000-0002-0000-0300-00004B220000}">
          <x14:formula1>
            <xm:f>項目!A4:$DNM$655362</xm:f>
          </x14:formula1>
          <xm:sqref>DNV655365:DNV655388</xm:sqref>
        </x14:dataValidation>
        <x14:dataValidation type="list" allowBlank="1" showInputMessage="1" showErrorMessage="1" xr:uid="{00000000-0002-0000-0300-00004C220000}">
          <x14:formula1>
            <xm:f>項目!A4:$DXI$655362</xm:f>
          </x14:formula1>
          <xm:sqref>DXR655365:DXR655388</xm:sqref>
        </x14:dataValidation>
        <x14:dataValidation type="list" allowBlank="1" showInputMessage="1" showErrorMessage="1" xr:uid="{00000000-0002-0000-0300-00004D220000}">
          <x14:formula1>
            <xm:f>項目!A4:$EHE$655362</xm:f>
          </x14:formula1>
          <xm:sqref>EHN655365:EHN655388</xm:sqref>
        </x14:dataValidation>
        <x14:dataValidation type="list" allowBlank="1" showInputMessage="1" showErrorMessage="1" xr:uid="{00000000-0002-0000-0300-00004E220000}">
          <x14:formula1>
            <xm:f>項目!A4:$ERA$655362</xm:f>
          </x14:formula1>
          <xm:sqref>ERJ655365:ERJ655388</xm:sqref>
        </x14:dataValidation>
        <x14:dataValidation type="list" allowBlank="1" showInputMessage="1" showErrorMessage="1" xr:uid="{00000000-0002-0000-0300-00004F220000}">
          <x14:formula1>
            <xm:f>項目!A4:$FAW$655362</xm:f>
          </x14:formula1>
          <xm:sqref>FBF655365:FBF655388</xm:sqref>
        </x14:dataValidation>
        <x14:dataValidation type="list" allowBlank="1" showInputMessage="1" showErrorMessage="1" xr:uid="{00000000-0002-0000-0300-000050220000}">
          <x14:formula1>
            <xm:f>項目!A4:$FKS$655362</xm:f>
          </x14:formula1>
          <xm:sqref>FLB655365:FLB655388</xm:sqref>
        </x14:dataValidation>
        <x14:dataValidation type="list" allowBlank="1" showInputMessage="1" showErrorMessage="1" xr:uid="{00000000-0002-0000-0300-000051220000}">
          <x14:formula1>
            <xm:f>項目!A4:$FUO$655362</xm:f>
          </x14:formula1>
          <xm:sqref>FUX655365:FUX655388</xm:sqref>
        </x14:dataValidation>
        <x14:dataValidation type="list" allowBlank="1" showInputMessage="1" showErrorMessage="1" xr:uid="{00000000-0002-0000-0300-000052220000}">
          <x14:formula1>
            <xm:f>項目!A4:$GEK$655362</xm:f>
          </x14:formula1>
          <xm:sqref>GET655365:GET655388</xm:sqref>
        </x14:dataValidation>
        <x14:dataValidation type="list" allowBlank="1" showInputMessage="1" showErrorMessage="1" xr:uid="{00000000-0002-0000-0300-000053220000}">
          <x14:formula1>
            <xm:f>項目!A4:$GOG$655362</xm:f>
          </x14:formula1>
          <xm:sqref>GOP655365:GOP655388</xm:sqref>
        </x14:dataValidation>
        <x14:dataValidation type="list" allowBlank="1" showInputMessage="1" showErrorMessage="1" xr:uid="{00000000-0002-0000-0300-000054220000}">
          <x14:formula1>
            <xm:f>項目!A4:$GYC$655362</xm:f>
          </x14:formula1>
          <xm:sqref>GYL655365:GYL655388</xm:sqref>
        </x14:dataValidation>
        <x14:dataValidation type="list" allowBlank="1" showInputMessage="1" showErrorMessage="1" xr:uid="{00000000-0002-0000-0300-000055220000}">
          <x14:formula1>
            <xm:f>項目!A4:$HHY$655362</xm:f>
          </x14:formula1>
          <xm:sqref>HIH655365:HIH655388</xm:sqref>
        </x14:dataValidation>
        <x14:dataValidation type="list" allowBlank="1" showInputMessage="1" showErrorMessage="1" xr:uid="{00000000-0002-0000-0300-000056220000}">
          <x14:formula1>
            <xm:f>項目!A4:$HRU$655362</xm:f>
          </x14:formula1>
          <xm:sqref>HSD655365:HSD655388</xm:sqref>
        </x14:dataValidation>
        <x14:dataValidation type="list" allowBlank="1" showInputMessage="1" showErrorMessage="1" xr:uid="{00000000-0002-0000-0300-000057220000}">
          <x14:formula1>
            <xm:f>項目!A4:$IBQ$655362</xm:f>
          </x14:formula1>
          <xm:sqref>IBZ655365:IBZ655388</xm:sqref>
        </x14:dataValidation>
        <x14:dataValidation type="list" allowBlank="1" showInputMessage="1" showErrorMessage="1" xr:uid="{00000000-0002-0000-0300-000058220000}">
          <x14:formula1>
            <xm:f>項目!A4:$ILM$655362</xm:f>
          </x14:formula1>
          <xm:sqref>ILV655365:ILV655388</xm:sqref>
        </x14:dataValidation>
        <x14:dataValidation type="list" allowBlank="1" showInputMessage="1" showErrorMessage="1" xr:uid="{00000000-0002-0000-0300-000059220000}">
          <x14:formula1>
            <xm:f>項目!A4:$IVI$655362</xm:f>
          </x14:formula1>
          <xm:sqref>IVR655365:IVR655388</xm:sqref>
        </x14:dataValidation>
        <x14:dataValidation type="list" allowBlank="1" showInputMessage="1" showErrorMessage="1" xr:uid="{00000000-0002-0000-0300-00005A220000}">
          <x14:formula1>
            <xm:f>項目!A4:$JFE$655362</xm:f>
          </x14:formula1>
          <xm:sqref>JFN655365:JFN655388</xm:sqref>
        </x14:dataValidation>
        <x14:dataValidation type="list" allowBlank="1" showInputMessage="1" showErrorMessage="1" xr:uid="{00000000-0002-0000-0300-00005B220000}">
          <x14:formula1>
            <xm:f>項目!A4:$JPA$655362</xm:f>
          </x14:formula1>
          <xm:sqref>JPJ655365:JPJ655388</xm:sqref>
        </x14:dataValidation>
        <x14:dataValidation type="list" allowBlank="1" showInputMessage="1" showErrorMessage="1" xr:uid="{00000000-0002-0000-0300-00005C220000}">
          <x14:formula1>
            <xm:f>項目!A4:$JYW$655362</xm:f>
          </x14:formula1>
          <xm:sqref>JZF655365:JZF655388</xm:sqref>
        </x14:dataValidation>
        <x14:dataValidation type="list" allowBlank="1" showInputMessage="1" showErrorMessage="1" xr:uid="{00000000-0002-0000-0300-00005D220000}">
          <x14:formula1>
            <xm:f>項目!A4:$KIS$655362</xm:f>
          </x14:formula1>
          <xm:sqref>KJB655365:KJB655388</xm:sqref>
        </x14:dataValidation>
        <x14:dataValidation type="list" allowBlank="1" showInputMessage="1" showErrorMessage="1" xr:uid="{00000000-0002-0000-0300-00005E220000}">
          <x14:formula1>
            <xm:f>項目!A4:$KSO$655362</xm:f>
          </x14:formula1>
          <xm:sqref>KSX655365:KSX655388</xm:sqref>
        </x14:dataValidation>
        <x14:dataValidation type="list" allowBlank="1" showInputMessage="1" showErrorMessage="1" xr:uid="{00000000-0002-0000-0300-00005F220000}">
          <x14:formula1>
            <xm:f>項目!A4:$LCK$655362</xm:f>
          </x14:formula1>
          <xm:sqref>LCT655365:LCT655388</xm:sqref>
        </x14:dataValidation>
        <x14:dataValidation type="list" allowBlank="1" showInputMessage="1" showErrorMessage="1" xr:uid="{00000000-0002-0000-0300-000060220000}">
          <x14:formula1>
            <xm:f>項目!A4:$LMG$655362</xm:f>
          </x14:formula1>
          <xm:sqref>LMP655365:LMP655388</xm:sqref>
        </x14:dataValidation>
        <x14:dataValidation type="list" allowBlank="1" showInputMessage="1" showErrorMessage="1" xr:uid="{00000000-0002-0000-0300-000061220000}">
          <x14:formula1>
            <xm:f>項目!A4:$LWC$655362</xm:f>
          </x14:formula1>
          <xm:sqref>LWL655365:LWL655388</xm:sqref>
        </x14:dataValidation>
        <x14:dataValidation type="list" allowBlank="1" showInputMessage="1" showErrorMessage="1" xr:uid="{00000000-0002-0000-0300-000062220000}">
          <x14:formula1>
            <xm:f>項目!A4:$MFY$655362</xm:f>
          </x14:formula1>
          <xm:sqref>MGH655365:MGH655388</xm:sqref>
        </x14:dataValidation>
        <x14:dataValidation type="list" allowBlank="1" showInputMessage="1" showErrorMessage="1" xr:uid="{00000000-0002-0000-0300-000063220000}">
          <x14:formula1>
            <xm:f>項目!A4:$MPU$655362</xm:f>
          </x14:formula1>
          <xm:sqref>MQD655365:MQD655388</xm:sqref>
        </x14:dataValidation>
        <x14:dataValidation type="list" allowBlank="1" showInputMessage="1" showErrorMessage="1" xr:uid="{00000000-0002-0000-0300-000064220000}">
          <x14:formula1>
            <xm:f>項目!A4:$MZQ$655362</xm:f>
          </x14:formula1>
          <xm:sqref>MZZ655365:MZZ655388</xm:sqref>
        </x14:dataValidation>
        <x14:dataValidation type="list" allowBlank="1" showInputMessage="1" showErrorMessage="1" xr:uid="{00000000-0002-0000-0300-000065220000}">
          <x14:formula1>
            <xm:f>項目!A4:$NJM$655362</xm:f>
          </x14:formula1>
          <xm:sqref>NJV655365:NJV655388</xm:sqref>
        </x14:dataValidation>
        <x14:dataValidation type="list" allowBlank="1" showInputMessage="1" showErrorMessage="1" xr:uid="{00000000-0002-0000-0300-000066220000}">
          <x14:formula1>
            <xm:f>項目!A4:$NTI$655362</xm:f>
          </x14:formula1>
          <xm:sqref>NTR655365:NTR655388</xm:sqref>
        </x14:dataValidation>
        <x14:dataValidation type="list" allowBlank="1" showInputMessage="1" showErrorMessage="1" xr:uid="{00000000-0002-0000-0300-000067220000}">
          <x14:formula1>
            <xm:f>項目!A4:$ODE$655362</xm:f>
          </x14:formula1>
          <xm:sqref>ODN655365:ODN655388</xm:sqref>
        </x14:dataValidation>
        <x14:dataValidation type="list" allowBlank="1" showInputMessage="1" showErrorMessage="1" xr:uid="{00000000-0002-0000-0300-000068220000}">
          <x14:formula1>
            <xm:f>項目!A4:$ONA$655362</xm:f>
          </x14:formula1>
          <xm:sqref>ONJ655365:ONJ655388</xm:sqref>
        </x14:dataValidation>
        <x14:dataValidation type="list" allowBlank="1" showInputMessage="1" showErrorMessage="1" xr:uid="{00000000-0002-0000-0300-000069220000}">
          <x14:formula1>
            <xm:f>項目!A4:$OWW$655362</xm:f>
          </x14:formula1>
          <xm:sqref>OXF655365:OXF655388</xm:sqref>
        </x14:dataValidation>
        <x14:dataValidation type="list" allowBlank="1" showInputMessage="1" showErrorMessage="1" xr:uid="{00000000-0002-0000-0300-00006A220000}">
          <x14:formula1>
            <xm:f>項目!A4:$PGS$655362</xm:f>
          </x14:formula1>
          <xm:sqref>PHB655365:PHB655388</xm:sqref>
        </x14:dataValidation>
        <x14:dataValidation type="list" allowBlank="1" showInputMessage="1" showErrorMessage="1" xr:uid="{00000000-0002-0000-0300-00006B220000}">
          <x14:formula1>
            <xm:f>項目!A4:$PQO$655362</xm:f>
          </x14:formula1>
          <xm:sqref>PQX655365:PQX655388</xm:sqref>
        </x14:dataValidation>
        <x14:dataValidation type="list" allowBlank="1" showInputMessage="1" showErrorMessage="1" xr:uid="{00000000-0002-0000-0300-00006C220000}">
          <x14:formula1>
            <xm:f>項目!A4:$QAK$655362</xm:f>
          </x14:formula1>
          <xm:sqref>QAT655365:QAT655388</xm:sqref>
        </x14:dataValidation>
        <x14:dataValidation type="list" allowBlank="1" showInputMessage="1" showErrorMessage="1" xr:uid="{00000000-0002-0000-0300-00006D220000}">
          <x14:formula1>
            <xm:f>項目!A4:$QKG$655362</xm:f>
          </x14:formula1>
          <xm:sqref>QKP655365:QKP655388</xm:sqref>
        </x14:dataValidation>
        <x14:dataValidation type="list" allowBlank="1" showInputMessage="1" showErrorMessage="1" xr:uid="{00000000-0002-0000-0300-00006E220000}">
          <x14:formula1>
            <xm:f>項目!A4:$QUC$655362</xm:f>
          </x14:formula1>
          <xm:sqref>QUL655365:QUL655388</xm:sqref>
        </x14:dataValidation>
        <x14:dataValidation type="list" allowBlank="1" showInputMessage="1" showErrorMessage="1" xr:uid="{00000000-0002-0000-0300-00006F220000}">
          <x14:formula1>
            <xm:f>項目!A4:$RDY$655362</xm:f>
          </x14:formula1>
          <xm:sqref>REH655365:REH655388</xm:sqref>
        </x14:dataValidation>
        <x14:dataValidation type="list" allowBlank="1" showInputMessage="1" showErrorMessage="1" xr:uid="{00000000-0002-0000-0300-000070220000}">
          <x14:formula1>
            <xm:f>項目!A4:$RNU$655362</xm:f>
          </x14:formula1>
          <xm:sqref>ROD655365:ROD655388</xm:sqref>
        </x14:dataValidation>
        <x14:dataValidation type="list" allowBlank="1" showInputMessage="1" showErrorMessage="1" xr:uid="{00000000-0002-0000-0300-000071220000}">
          <x14:formula1>
            <xm:f>項目!A4:$RXQ$655362</xm:f>
          </x14:formula1>
          <xm:sqref>RXZ655365:RXZ655388</xm:sqref>
        </x14:dataValidation>
        <x14:dataValidation type="list" allowBlank="1" showInputMessage="1" showErrorMessage="1" xr:uid="{00000000-0002-0000-0300-000072220000}">
          <x14:formula1>
            <xm:f>項目!A4:$SHM$655362</xm:f>
          </x14:formula1>
          <xm:sqref>SHV655365:SHV655388</xm:sqref>
        </x14:dataValidation>
        <x14:dataValidation type="list" allowBlank="1" showInputMessage="1" showErrorMessage="1" xr:uid="{00000000-0002-0000-0300-000073220000}">
          <x14:formula1>
            <xm:f>項目!A4:$SRI$655362</xm:f>
          </x14:formula1>
          <xm:sqref>SRR655365:SRR655388</xm:sqref>
        </x14:dataValidation>
        <x14:dataValidation type="list" allowBlank="1" showInputMessage="1" showErrorMessage="1" xr:uid="{00000000-0002-0000-0300-000074220000}">
          <x14:formula1>
            <xm:f>項目!A4:$TBE$655362</xm:f>
          </x14:formula1>
          <xm:sqref>TBN655365:TBN655388</xm:sqref>
        </x14:dataValidation>
        <x14:dataValidation type="list" allowBlank="1" showInputMessage="1" showErrorMessage="1" xr:uid="{00000000-0002-0000-0300-000075220000}">
          <x14:formula1>
            <xm:f>項目!A4:$TLA$655362</xm:f>
          </x14:formula1>
          <xm:sqref>TLJ655365:TLJ655388</xm:sqref>
        </x14:dataValidation>
        <x14:dataValidation type="list" allowBlank="1" showInputMessage="1" showErrorMessage="1" xr:uid="{00000000-0002-0000-0300-000076220000}">
          <x14:formula1>
            <xm:f>項目!A4:$TUW$655362</xm:f>
          </x14:formula1>
          <xm:sqref>TVF655365:TVF655388</xm:sqref>
        </x14:dataValidation>
        <x14:dataValidation type="list" allowBlank="1" showInputMessage="1" showErrorMessage="1" xr:uid="{00000000-0002-0000-0300-000077220000}">
          <x14:formula1>
            <xm:f>項目!A4:$UES$655362</xm:f>
          </x14:formula1>
          <xm:sqref>UFB655365:UFB655388</xm:sqref>
        </x14:dataValidation>
        <x14:dataValidation type="list" allowBlank="1" showInputMessage="1" showErrorMessage="1" xr:uid="{00000000-0002-0000-0300-000078220000}">
          <x14:formula1>
            <xm:f>項目!A4:$UOO$655362</xm:f>
          </x14:formula1>
          <xm:sqref>UOX655365:UOX655388</xm:sqref>
        </x14:dataValidation>
        <x14:dataValidation type="list" allowBlank="1" showInputMessage="1" showErrorMessage="1" xr:uid="{00000000-0002-0000-0300-000079220000}">
          <x14:formula1>
            <xm:f>項目!A4:$UYK$655362</xm:f>
          </x14:formula1>
          <xm:sqref>UYT655365:UYT655388</xm:sqref>
        </x14:dataValidation>
        <x14:dataValidation type="list" allowBlank="1" showInputMessage="1" showErrorMessage="1" xr:uid="{00000000-0002-0000-0300-00007A220000}">
          <x14:formula1>
            <xm:f>項目!A4:$VIG$655362</xm:f>
          </x14:formula1>
          <xm:sqref>VIP655365:VIP655388</xm:sqref>
        </x14:dataValidation>
        <x14:dataValidation type="list" allowBlank="1" showInputMessage="1" showErrorMessage="1" xr:uid="{00000000-0002-0000-0300-00007B220000}">
          <x14:formula1>
            <xm:f>項目!A4:$VSC$655362</xm:f>
          </x14:formula1>
          <xm:sqref>VSL655365:VSL655388</xm:sqref>
        </x14:dataValidation>
        <x14:dataValidation type="list" allowBlank="1" showInputMessage="1" showErrorMessage="1" xr:uid="{00000000-0002-0000-0300-00007C220000}">
          <x14:formula1>
            <xm:f>項目!A4:$WBY$655362</xm:f>
          </x14:formula1>
          <xm:sqref>WCH655365:WCH655388</xm:sqref>
        </x14:dataValidation>
        <x14:dataValidation type="list" allowBlank="1" showInputMessage="1" showErrorMessage="1" xr:uid="{00000000-0002-0000-0300-00007D220000}">
          <x14:formula1>
            <xm:f>項目!A4:$WLU$655362</xm:f>
          </x14:formula1>
          <xm:sqref>WMD655365:WMD655388</xm:sqref>
        </x14:dataValidation>
        <x14:dataValidation type="list" allowBlank="1" showInputMessage="1" showErrorMessage="1" xr:uid="{00000000-0002-0000-0300-00007E220000}">
          <x14:formula1>
            <xm:f>項目!A4:$WVQ$655362</xm:f>
          </x14:formula1>
          <xm:sqref>WVZ655365:WVZ655388</xm:sqref>
        </x14:dataValidation>
        <x14:dataValidation type="list" allowBlank="1" showInputMessage="1" showErrorMessage="1" xr:uid="{00000000-0002-0000-0300-00007F220000}">
          <x14:formula1>
            <xm:f>項目!A4:$K$720898</xm:f>
          </x14:formula1>
          <xm:sqref>R720901:R720924</xm:sqref>
        </x14:dataValidation>
        <x14:dataValidation type="list" allowBlank="1" showInputMessage="1" showErrorMessage="1" xr:uid="{00000000-0002-0000-0300-000080220000}">
          <x14:formula1>
            <xm:f>項目!A4:$JE$720898</xm:f>
          </x14:formula1>
          <xm:sqref>JN720901:JN720924</xm:sqref>
        </x14:dataValidation>
        <x14:dataValidation type="list" allowBlank="1" showInputMessage="1" showErrorMessage="1" xr:uid="{00000000-0002-0000-0300-000081220000}">
          <x14:formula1>
            <xm:f>項目!A4:$TA$720898</xm:f>
          </x14:formula1>
          <xm:sqref>TJ720901:TJ720924</xm:sqref>
        </x14:dataValidation>
        <x14:dataValidation type="list" allowBlank="1" showInputMessage="1" showErrorMessage="1" xr:uid="{00000000-0002-0000-0300-000082220000}">
          <x14:formula1>
            <xm:f>項目!A4:$ACW$720898</xm:f>
          </x14:formula1>
          <xm:sqref>ADF720901:ADF720924</xm:sqref>
        </x14:dataValidation>
        <x14:dataValidation type="list" allowBlank="1" showInputMessage="1" showErrorMessage="1" xr:uid="{00000000-0002-0000-0300-000083220000}">
          <x14:formula1>
            <xm:f>項目!A4:$AMS$720898</xm:f>
          </x14:formula1>
          <xm:sqref>ANB720901:ANB720924</xm:sqref>
        </x14:dataValidation>
        <x14:dataValidation type="list" allowBlank="1" showInputMessage="1" showErrorMessage="1" xr:uid="{00000000-0002-0000-0300-000084220000}">
          <x14:formula1>
            <xm:f>項目!A4:$AWO$720898</xm:f>
          </x14:formula1>
          <xm:sqref>AWX720901:AWX720924</xm:sqref>
        </x14:dataValidation>
        <x14:dataValidation type="list" allowBlank="1" showInputMessage="1" showErrorMessage="1" xr:uid="{00000000-0002-0000-0300-000085220000}">
          <x14:formula1>
            <xm:f>項目!A4:$BGK$720898</xm:f>
          </x14:formula1>
          <xm:sqref>BGT720901:BGT720924</xm:sqref>
        </x14:dataValidation>
        <x14:dataValidation type="list" allowBlank="1" showInputMessage="1" showErrorMessage="1" xr:uid="{00000000-0002-0000-0300-000086220000}">
          <x14:formula1>
            <xm:f>項目!A4:$BQG$720898</xm:f>
          </x14:formula1>
          <xm:sqref>BQP720901:BQP720924</xm:sqref>
        </x14:dataValidation>
        <x14:dataValidation type="list" allowBlank="1" showInputMessage="1" showErrorMessage="1" xr:uid="{00000000-0002-0000-0300-000087220000}">
          <x14:formula1>
            <xm:f>項目!A4:$CAC$720898</xm:f>
          </x14:formula1>
          <xm:sqref>CAL720901:CAL720924</xm:sqref>
        </x14:dataValidation>
        <x14:dataValidation type="list" allowBlank="1" showInputMessage="1" showErrorMessage="1" xr:uid="{00000000-0002-0000-0300-000088220000}">
          <x14:formula1>
            <xm:f>項目!A4:$CJY$720898</xm:f>
          </x14:formula1>
          <xm:sqref>CKH720901:CKH720924</xm:sqref>
        </x14:dataValidation>
        <x14:dataValidation type="list" allowBlank="1" showInputMessage="1" showErrorMessage="1" xr:uid="{00000000-0002-0000-0300-000089220000}">
          <x14:formula1>
            <xm:f>項目!A4:$CTU$720898</xm:f>
          </x14:formula1>
          <xm:sqref>CUD720901:CUD720924</xm:sqref>
        </x14:dataValidation>
        <x14:dataValidation type="list" allowBlank="1" showInputMessage="1" showErrorMessage="1" xr:uid="{00000000-0002-0000-0300-00008A220000}">
          <x14:formula1>
            <xm:f>項目!A4:$DDQ$720898</xm:f>
          </x14:formula1>
          <xm:sqref>DDZ720901:DDZ720924</xm:sqref>
        </x14:dataValidation>
        <x14:dataValidation type="list" allowBlank="1" showInputMessage="1" showErrorMessage="1" xr:uid="{00000000-0002-0000-0300-00008B220000}">
          <x14:formula1>
            <xm:f>項目!A4:$DNM$720898</xm:f>
          </x14:formula1>
          <xm:sqref>DNV720901:DNV720924</xm:sqref>
        </x14:dataValidation>
        <x14:dataValidation type="list" allowBlank="1" showInputMessage="1" showErrorMessage="1" xr:uid="{00000000-0002-0000-0300-00008C220000}">
          <x14:formula1>
            <xm:f>項目!A4:$DXI$720898</xm:f>
          </x14:formula1>
          <xm:sqref>DXR720901:DXR720924</xm:sqref>
        </x14:dataValidation>
        <x14:dataValidation type="list" allowBlank="1" showInputMessage="1" showErrorMessage="1" xr:uid="{00000000-0002-0000-0300-00008D220000}">
          <x14:formula1>
            <xm:f>項目!A4:$EHE$720898</xm:f>
          </x14:formula1>
          <xm:sqref>EHN720901:EHN720924</xm:sqref>
        </x14:dataValidation>
        <x14:dataValidation type="list" allowBlank="1" showInputMessage="1" showErrorMessage="1" xr:uid="{00000000-0002-0000-0300-00008E220000}">
          <x14:formula1>
            <xm:f>項目!A4:$ERA$720898</xm:f>
          </x14:formula1>
          <xm:sqref>ERJ720901:ERJ720924</xm:sqref>
        </x14:dataValidation>
        <x14:dataValidation type="list" allowBlank="1" showInputMessage="1" showErrorMessage="1" xr:uid="{00000000-0002-0000-0300-00008F220000}">
          <x14:formula1>
            <xm:f>項目!A4:$FAW$720898</xm:f>
          </x14:formula1>
          <xm:sqref>FBF720901:FBF720924</xm:sqref>
        </x14:dataValidation>
        <x14:dataValidation type="list" allowBlank="1" showInputMessage="1" showErrorMessage="1" xr:uid="{00000000-0002-0000-0300-000090220000}">
          <x14:formula1>
            <xm:f>項目!A4:$FKS$720898</xm:f>
          </x14:formula1>
          <xm:sqref>FLB720901:FLB720924</xm:sqref>
        </x14:dataValidation>
        <x14:dataValidation type="list" allowBlank="1" showInputMessage="1" showErrorMessage="1" xr:uid="{00000000-0002-0000-0300-000091220000}">
          <x14:formula1>
            <xm:f>項目!A4:$FUO$720898</xm:f>
          </x14:formula1>
          <xm:sqref>FUX720901:FUX720924</xm:sqref>
        </x14:dataValidation>
        <x14:dataValidation type="list" allowBlank="1" showInputMessage="1" showErrorMessage="1" xr:uid="{00000000-0002-0000-0300-000092220000}">
          <x14:formula1>
            <xm:f>項目!A4:$GEK$720898</xm:f>
          </x14:formula1>
          <xm:sqref>GET720901:GET720924</xm:sqref>
        </x14:dataValidation>
        <x14:dataValidation type="list" allowBlank="1" showInputMessage="1" showErrorMessage="1" xr:uid="{00000000-0002-0000-0300-000093220000}">
          <x14:formula1>
            <xm:f>項目!A4:$GOG$720898</xm:f>
          </x14:formula1>
          <xm:sqref>GOP720901:GOP720924</xm:sqref>
        </x14:dataValidation>
        <x14:dataValidation type="list" allowBlank="1" showInputMessage="1" showErrorMessage="1" xr:uid="{00000000-0002-0000-0300-000094220000}">
          <x14:formula1>
            <xm:f>項目!A4:$GYC$720898</xm:f>
          </x14:formula1>
          <xm:sqref>GYL720901:GYL720924</xm:sqref>
        </x14:dataValidation>
        <x14:dataValidation type="list" allowBlank="1" showInputMessage="1" showErrorMessage="1" xr:uid="{00000000-0002-0000-0300-000095220000}">
          <x14:formula1>
            <xm:f>項目!A4:$HHY$720898</xm:f>
          </x14:formula1>
          <xm:sqref>HIH720901:HIH720924</xm:sqref>
        </x14:dataValidation>
        <x14:dataValidation type="list" allowBlank="1" showInputMessage="1" showErrorMessage="1" xr:uid="{00000000-0002-0000-0300-000096220000}">
          <x14:formula1>
            <xm:f>項目!A4:$HRU$720898</xm:f>
          </x14:formula1>
          <xm:sqref>HSD720901:HSD720924</xm:sqref>
        </x14:dataValidation>
        <x14:dataValidation type="list" allowBlank="1" showInputMessage="1" showErrorMessage="1" xr:uid="{00000000-0002-0000-0300-000097220000}">
          <x14:formula1>
            <xm:f>項目!A4:$IBQ$720898</xm:f>
          </x14:formula1>
          <xm:sqref>IBZ720901:IBZ720924</xm:sqref>
        </x14:dataValidation>
        <x14:dataValidation type="list" allowBlank="1" showInputMessage="1" showErrorMessage="1" xr:uid="{00000000-0002-0000-0300-000098220000}">
          <x14:formula1>
            <xm:f>項目!A4:$ILM$720898</xm:f>
          </x14:formula1>
          <xm:sqref>ILV720901:ILV720924</xm:sqref>
        </x14:dataValidation>
        <x14:dataValidation type="list" allowBlank="1" showInputMessage="1" showErrorMessage="1" xr:uid="{00000000-0002-0000-0300-000099220000}">
          <x14:formula1>
            <xm:f>項目!A4:$IVI$720898</xm:f>
          </x14:formula1>
          <xm:sqref>IVR720901:IVR720924</xm:sqref>
        </x14:dataValidation>
        <x14:dataValidation type="list" allowBlank="1" showInputMessage="1" showErrorMessage="1" xr:uid="{00000000-0002-0000-0300-00009A220000}">
          <x14:formula1>
            <xm:f>項目!A4:$JFE$720898</xm:f>
          </x14:formula1>
          <xm:sqref>JFN720901:JFN720924</xm:sqref>
        </x14:dataValidation>
        <x14:dataValidation type="list" allowBlank="1" showInputMessage="1" showErrorMessage="1" xr:uid="{00000000-0002-0000-0300-00009B220000}">
          <x14:formula1>
            <xm:f>項目!A4:$JPA$720898</xm:f>
          </x14:formula1>
          <xm:sqref>JPJ720901:JPJ720924</xm:sqref>
        </x14:dataValidation>
        <x14:dataValidation type="list" allowBlank="1" showInputMessage="1" showErrorMessage="1" xr:uid="{00000000-0002-0000-0300-00009C220000}">
          <x14:formula1>
            <xm:f>項目!A4:$JYW$720898</xm:f>
          </x14:formula1>
          <xm:sqref>JZF720901:JZF720924</xm:sqref>
        </x14:dataValidation>
        <x14:dataValidation type="list" allowBlank="1" showInputMessage="1" showErrorMessage="1" xr:uid="{00000000-0002-0000-0300-00009D220000}">
          <x14:formula1>
            <xm:f>項目!A4:$KIS$720898</xm:f>
          </x14:formula1>
          <xm:sqref>KJB720901:KJB720924</xm:sqref>
        </x14:dataValidation>
        <x14:dataValidation type="list" allowBlank="1" showInputMessage="1" showErrorMessage="1" xr:uid="{00000000-0002-0000-0300-00009E220000}">
          <x14:formula1>
            <xm:f>項目!A4:$KSO$720898</xm:f>
          </x14:formula1>
          <xm:sqref>KSX720901:KSX720924</xm:sqref>
        </x14:dataValidation>
        <x14:dataValidation type="list" allowBlank="1" showInputMessage="1" showErrorMessage="1" xr:uid="{00000000-0002-0000-0300-00009F220000}">
          <x14:formula1>
            <xm:f>項目!A4:$LCK$720898</xm:f>
          </x14:formula1>
          <xm:sqref>LCT720901:LCT720924</xm:sqref>
        </x14:dataValidation>
        <x14:dataValidation type="list" allowBlank="1" showInputMessage="1" showErrorMessage="1" xr:uid="{00000000-0002-0000-0300-0000A0220000}">
          <x14:formula1>
            <xm:f>項目!A4:$LMG$720898</xm:f>
          </x14:formula1>
          <xm:sqref>LMP720901:LMP720924</xm:sqref>
        </x14:dataValidation>
        <x14:dataValidation type="list" allowBlank="1" showInputMessage="1" showErrorMessage="1" xr:uid="{00000000-0002-0000-0300-0000A1220000}">
          <x14:formula1>
            <xm:f>項目!A4:$LWC$720898</xm:f>
          </x14:formula1>
          <xm:sqref>LWL720901:LWL720924</xm:sqref>
        </x14:dataValidation>
        <x14:dataValidation type="list" allowBlank="1" showInputMessage="1" showErrorMessage="1" xr:uid="{00000000-0002-0000-0300-0000A2220000}">
          <x14:formula1>
            <xm:f>項目!A4:$MFY$720898</xm:f>
          </x14:formula1>
          <xm:sqref>MGH720901:MGH720924</xm:sqref>
        </x14:dataValidation>
        <x14:dataValidation type="list" allowBlank="1" showInputMessage="1" showErrorMessage="1" xr:uid="{00000000-0002-0000-0300-0000A3220000}">
          <x14:formula1>
            <xm:f>項目!A4:$MPU$720898</xm:f>
          </x14:formula1>
          <xm:sqref>MQD720901:MQD720924</xm:sqref>
        </x14:dataValidation>
        <x14:dataValidation type="list" allowBlank="1" showInputMessage="1" showErrorMessage="1" xr:uid="{00000000-0002-0000-0300-0000A4220000}">
          <x14:formula1>
            <xm:f>項目!A4:$MZQ$720898</xm:f>
          </x14:formula1>
          <xm:sqref>MZZ720901:MZZ720924</xm:sqref>
        </x14:dataValidation>
        <x14:dataValidation type="list" allowBlank="1" showInputMessage="1" showErrorMessage="1" xr:uid="{00000000-0002-0000-0300-0000A5220000}">
          <x14:formula1>
            <xm:f>項目!A4:$NJM$720898</xm:f>
          </x14:formula1>
          <xm:sqref>NJV720901:NJV720924</xm:sqref>
        </x14:dataValidation>
        <x14:dataValidation type="list" allowBlank="1" showInputMessage="1" showErrorMessage="1" xr:uid="{00000000-0002-0000-0300-0000A6220000}">
          <x14:formula1>
            <xm:f>項目!A4:$NTI$720898</xm:f>
          </x14:formula1>
          <xm:sqref>NTR720901:NTR720924</xm:sqref>
        </x14:dataValidation>
        <x14:dataValidation type="list" allowBlank="1" showInputMessage="1" showErrorMessage="1" xr:uid="{00000000-0002-0000-0300-0000A7220000}">
          <x14:formula1>
            <xm:f>項目!A4:$ODE$720898</xm:f>
          </x14:formula1>
          <xm:sqref>ODN720901:ODN720924</xm:sqref>
        </x14:dataValidation>
        <x14:dataValidation type="list" allowBlank="1" showInputMessage="1" showErrorMessage="1" xr:uid="{00000000-0002-0000-0300-0000A8220000}">
          <x14:formula1>
            <xm:f>項目!A4:$ONA$720898</xm:f>
          </x14:formula1>
          <xm:sqref>ONJ720901:ONJ720924</xm:sqref>
        </x14:dataValidation>
        <x14:dataValidation type="list" allowBlank="1" showInputMessage="1" showErrorMessage="1" xr:uid="{00000000-0002-0000-0300-0000A9220000}">
          <x14:formula1>
            <xm:f>項目!A4:$OWW$720898</xm:f>
          </x14:formula1>
          <xm:sqref>OXF720901:OXF720924</xm:sqref>
        </x14:dataValidation>
        <x14:dataValidation type="list" allowBlank="1" showInputMessage="1" showErrorMessage="1" xr:uid="{00000000-0002-0000-0300-0000AA220000}">
          <x14:formula1>
            <xm:f>項目!A4:$PGS$720898</xm:f>
          </x14:formula1>
          <xm:sqref>PHB720901:PHB720924</xm:sqref>
        </x14:dataValidation>
        <x14:dataValidation type="list" allowBlank="1" showInputMessage="1" showErrorMessage="1" xr:uid="{00000000-0002-0000-0300-0000AB220000}">
          <x14:formula1>
            <xm:f>項目!A4:$PQO$720898</xm:f>
          </x14:formula1>
          <xm:sqref>PQX720901:PQX720924</xm:sqref>
        </x14:dataValidation>
        <x14:dataValidation type="list" allowBlank="1" showInputMessage="1" showErrorMessage="1" xr:uid="{00000000-0002-0000-0300-0000AC220000}">
          <x14:formula1>
            <xm:f>項目!A4:$QAK$720898</xm:f>
          </x14:formula1>
          <xm:sqref>QAT720901:QAT720924</xm:sqref>
        </x14:dataValidation>
        <x14:dataValidation type="list" allowBlank="1" showInputMessage="1" showErrorMessage="1" xr:uid="{00000000-0002-0000-0300-0000AD220000}">
          <x14:formula1>
            <xm:f>項目!A4:$QKG$720898</xm:f>
          </x14:formula1>
          <xm:sqref>QKP720901:QKP720924</xm:sqref>
        </x14:dataValidation>
        <x14:dataValidation type="list" allowBlank="1" showInputMessage="1" showErrorMessage="1" xr:uid="{00000000-0002-0000-0300-0000AE220000}">
          <x14:formula1>
            <xm:f>項目!A4:$QUC$720898</xm:f>
          </x14:formula1>
          <xm:sqref>QUL720901:QUL720924</xm:sqref>
        </x14:dataValidation>
        <x14:dataValidation type="list" allowBlank="1" showInputMessage="1" showErrorMessage="1" xr:uid="{00000000-0002-0000-0300-0000AF220000}">
          <x14:formula1>
            <xm:f>項目!A4:$RDY$720898</xm:f>
          </x14:formula1>
          <xm:sqref>REH720901:REH720924</xm:sqref>
        </x14:dataValidation>
        <x14:dataValidation type="list" allowBlank="1" showInputMessage="1" showErrorMessage="1" xr:uid="{00000000-0002-0000-0300-0000B0220000}">
          <x14:formula1>
            <xm:f>項目!A4:$RNU$720898</xm:f>
          </x14:formula1>
          <xm:sqref>ROD720901:ROD720924</xm:sqref>
        </x14:dataValidation>
        <x14:dataValidation type="list" allowBlank="1" showInputMessage="1" showErrorMessage="1" xr:uid="{00000000-0002-0000-0300-0000B1220000}">
          <x14:formula1>
            <xm:f>項目!A4:$RXQ$720898</xm:f>
          </x14:formula1>
          <xm:sqref>RXZ720901:RXZ720924</xm:sqref>
        </x14:dataValidation>
        <x14:dataValidation type="list" allowBlank="1" showInputMessage="1" showErrorMessage="1" xr:uid="{00000000-0002-0000-0300-0000B2220000}">
          <x14:formula1>
            <xm:f>項目!A4:$SHM$720898</xm:f>
          </x14:formula1>
          <xm:sqref>SHV720901:SHV720924</xm:sqref>
        </x14:dataValidation>
        <x14:dataValidation type="list" allowBlank="1" showInputMessage="1" showErrorMessage="1" xr:uid="{00000000-0002-0000-0300-0000B3220000}">
          <x14:formula1>
            <xm:f>項目!A4:$SRI$720898</xm:f>
          </x14:formula1>
          <xm:sqref>SRR720901:SRR720924</xm:sqref>
        </x14:dataValidation>
        <x14:dataValidation type="list" allowBlank="1" showInputMessage="1" showErrorMessage="1" xr:uid="{00000000-0002-0000-0300-0000B4220000}">
          <x14:formula1>
            <xm:f>項目!A4:$TBE$720898</xm:f>
          </x14:formula1>
          <xm:sqref>TBN720901:TBN720924</xm:sqref>
        </x14:dataValidation>
        <x14:dataValidation type="list" allowBlank="1" showInputMessage="1" showErrorMessage="1" xr:uid="{00000000-0002-0000-0300-0000B5220000}">
          <x14:formula1>
            <xm:f>項目!A4:$TLA$720898</xm:f>
          </x14:formula1>
          <xm:sqref>TLJ720901:TLJ720924</xm:sqref>
        </x14:dataValidation>
        <x14:dataValidation type="list" allowBlank="1" showInputMessage="1" showErrorMessage="1" xr:uid="{00000000-0002-0000-0300-0000B6220000}">
          <x14:formula1>
            <xm:f>項目!A4:$TUW$720898</xm:f>
          </x14:formula1>
          <xm:sqref>TVF720901:TVF720924</xm:sqref>
        </x14:dataValidation>
        <x14:dataValidation type="list" allowBlank="1" showInputMessage="1" showErrorMessage="1" xr:uid="{00000000-0002-0000-0300-0000B7220000}">
          <x14:formula1>
            <xm:f>項目!A4:$UES$720898</xm:f>
          </x14:formula1>
          <xm:sqref>UFB720901:UFB720924</xm:sqref>
        </x14:dataValidation>
        <x14:dataValidation type="list" allowBlank="1" showInputMessage="1" showErrorMessage="1" xr:uid="{00000000-0002-0000-0300-0000B8220000}">
          <x14:formula1>
            <xm:f>項目!A4:$UOO$720898</xm:f>
          </x14:formula1>
          <xm:sqref>UOX720901:UOX720924</xm:sqref>
        </x14:dataValidation>
        <x14:dataValidation type="list" allowBlank="1" showInputMessage="1" showErrorMessage="1" xr:uid="{00000000-0002-0000-0300-0000B9220000}">
          <x14:formula1>
            <xm:f>項目!A4:$UYK$720898</xm:f>
          </x14:formula1>
          <xm:sqref>UYT720901:UYT720924</xm:sqref>
        </x14:dataValidation>
        <x14:dataValidation type="list" allowBlank="1" showInputMessage="1" showErrorMessage="1" xr:uid="{00000000-0002-0000-0300-0000BA220000}">
          <x14:formula1>
            <xm:f>項目!A4:$VIG$720898</xm:f>
          </x14:formula1>
          <xm:sqref>VIP720901:VIP720924</xm:sqref>
        </x14:dataValidation>
        <x14:dataValidation type="list" allowBlank="1" showInputMessage="1" showErrorMessage="1" xr:uid="{00000000-0002-0000-0300-0000BB220000}">
          <x14:formula1>
            <xm:f>項目!A4:$VSC$720898</xm:f>
          </x14:formula1>
          <xm:sqref>VSL720901:VSL720924</xm:sqref>
        </x14:dataValidation>
        <x14:dataValidation type="list" allowBlank="1" showInputMessage="1" showErrorMessage="1" xr:uid="{00000000-0002-0000-0300-0000BC220000}">
          <x14:formula1>
            <xm:f>項目!A4:$WBY$720898</xm:f>
          </x14:formula1>
          <xm:sqref>WCH720901:WCH720924</xm:sqref>
        </x14:dataValidation>
        <x14:dataValidation type="list" allowBlank="1" showInputMessage="1" showErrorMessage="1" xr:uid="{00000000-0002-0000-0300-0000BD220000}">
          <x14:formula1>
            <xm:f>項目!A4:$WLU$720898</xm:f>
          </x14:formula1>
          <xm:sqref>WMD720901:WMD720924</xm:sqref>
        </x14:dataValidation>
        <x14:dataValidation type="list" allowBlank="1" showInputMessage="1" showErrorMessage="1" xr:uid="{00000000-0002-0000-0300-0000BE220000}">
          <x14:formula1>
            <xm:f>項目!A4:$WVQ$720898</xm:f>
          </x14:formula1>
          <xm:sqref>WVZ720901:WVZ720924</xm:sqref>
        </x14:dataValidation>
        <x14:dataValidation type="list" allowBlank="1" showInputMessage="1" showErrorMessage="1" xr:uid="{00000000-0002-0000-0300-0000BF220000}">
          <x14:formula1>
            <xm:f>項目!A4:$K$786434</xm:f>
          </x14:formula1>
          <xm:sqref>R786437:R786460</xm:sqref>
        </x14:dataValidation>
        <x14:dataValidation type="list" allowBlank="1" showInputMessage="1" showErrorMessage="1" xr:uid="{00000000-0002-0000-0300-0000C0220000}">
          <x14:formula1>
            <xm:f>項目!A4:$JE$786434</xm:f>
          </x14:formula1>
          <xm:sqref>JN786437:JN786460</xm:sqref>
        </x14:dataValidation>
        <x14:dataValidation type="list" allowBlank="1" showInputMessage="1" showErrorMessage="1" xr:uid="{00000000-0002-0000-0300-0000C1220000}">
          <x14:formula1>
            <xm:f>項目!A4:$TA$786434</xm:f>
          </x14:formula1>
          <xm:sqref>TJ786437:TJ786460</xm:sqref>
        </x14:dataValidation>
        <x14:dataValidation type="list" allowBlank="1" showInputMessage="1" showErrorMessage="1" xr:uid="{00000000-0002-0000-0300-0000C2220000}">
          <x14:formula1>
            <xm:f>項目!A4:$ACW$786434</xm:f>
          </x14:formula1>
          <xm:sqref>ADF786437:ADF786460</xm:sqref>
        </x14:dataValidation>
        <x14:dataValidation type="list" allowBlank="1" showInputMessage="1" showErrorMessage="1" xr:uid="{00000000-0002-0000-0300-0000C3220000}">
          <x14:formula1>
            <xm:f>項目!A4:$AMS$786434</xm:f>
          </x14:formula1>
          <xm:sqref>ANB786437:ANB786460</xm:sqref>
        </x14:dataValidation>
        <x14:dataValidation type="list" allowBlank="1" showInputMessage="1" showErrorMessage="1" xr:uid="{00000000-0002-0000-0300-0000C4220000}">
          <x14:formula1>
            <xm:f>項目!A4:$AWO$786434</xm:f>
          </x14:formula1>
          <xm:sqref>AWX786437:AWX786460</xm:sqref>
        </x14:dataValidation>
        <x14:dataValidation type="list" allowBlank="1" showInputMessage="1" showErrorMessage="1" xr:uid="{00000000-0002-0000-0300-0000C5220000}">
          <x14:formula1>
            <xm:f>項目!A4:$BGK$786434</xm:f>
          </x14:formula1>
          <xm:sqref>BGT786437:BGT786460</xm:sqref>
        </x14:dataValidation>
        <x14:dataValidation type="list" allowBlank="1" showInputMessage="1" showErrorMessage="1" xr:uid="{00000000-0002-0000-0300-0000C6220000}">
          <x14:formula1>
            <xm:f>項目!A4:$BQG$786434</xm:f>
          </x14:formula1>
          <xm:sqref>BQP786437:BQP786460</xm:sqref>
        </x14:dataValidation>
        <x14:dataValidation type="list" allowBlank="1" showInputMessage="1" showErrorMessage="1" xr:uid="{00000000-0002-0000-0300-0000C7220000}">
          <x14:formula1>
            <xm:f>項目!A4:$CAC$786434</xm:f>
          </x14:formula1>
          <xm:sqref>CAL786437:CAL786460</xm:sqref>
        </x14:dataValidation>
        <x14:dataValidation type="list" allowBlank="1" showInputMessage="1" showErrorMessage="1" xr:uid="{00000000-0002-0000-0300-0000C8220000}">
          <x14:formula1>
            <xm:f>項目!A4:$CJY$786434</xm:f>
          </x14:formula1>
          <xm:sqref>CKH786437:CKH786460</xm:sqref>
        </x14:dataValidation>
        <x14:dataValidation type="list" allowBlank="1" showInputMessage="1" showErrorMessage="1" xr:uid="{00000000-0002-0000-0300-0000C9220000}">
          <x14:formula1>
            <xm:f>項目!A4:$CTU$786434</xm:f>
          </x14:formula1>
          <xm:sqref>CUD786437:CUD786460</xm:sqref>
        </x14:dataValidation>
        <x14:dataValidation type="list" allowBlank="1" showInputMessage="1" showErrorMessage="1" xr:uid="{00000000-0002-0000-0300-0000CA220000}">
          <x14:formula1>
            <xm:f>項目!A4:$DDQ$786434</xm:f>
          </x14:formula1>
          <xm:sqref>DDZ786437:DDZ786460</xm:sqref>
        </x14:dataValidation>
        <x14:dataValidation type="list" allowBlank="1" showInputMessage="1" showErrorMessage="1" xr:uid="{00000000-0002-0000-0300-0000CB220000}">
          <x14:formula1>
            <xm:f>項目!A4:$DNM$786434</xm:f>
          </x14:formula1>
          <xm:sqref>DNV786437:DNV786460</xm:sqref>
        </x14:dataValidation>
        <x14:dataValidation type="list" allowBlank="1" showInputMessage="1" showErrorMessage="1" xr:uid="{00000000-0002-0000-0300-0000CC220000}">
          <x14:formula1>
            <xm:f>項目!A4:$DXI$786434</xm:f>
          </x14:formula1>
          <xm:sqref>DXR786437:DXR786460</xm:sqref>
        </x14:dataValidation>
        <x14:dataValidation type="list" allowBlank="1" showInputMessage="1" showErrorMessage="1" xr:uid="{00000000-0002-0000-0300-0000CD220000}">
          <x14:formula1>
            <xm:f>項目!A4:$EHE$786434</xm:f>
          </x14:formula1>
          <xm:sqref>EHN786437:EHN786460</xm:sqref>
        </x14:dataValidation>
        <x14:dataValidation type="list" allowBlank="1" showInputMessage="1" showErrorMessage="1" xr:uid="{00000000-0002-0000-0300-0000CE220000}">
          <x14:formula1>
            <xm:f>項目!A4:$ERA$786434</xm:f>
          </x14:formula1>
          <xm:sqref>ERJ786437:ERJ786460</xm:sqref>
        </x14:dataValidation>
        <x14:dataValidation type="list" allowBlank="1" showInputMessage="1" showErrorMessage="1" xr:uid="{00000000-0002-0000-0300-0000CF220000}">
          <x14:formula1>
            <xm:f>項目!A4:$FAW$786434</xm:f>
          </x14:formula1>
          <xm:sqref>FBF786437:FBF786460</xm:sqref>
        </x14:dataValidation>
        <x14:dataValidation type="list" allowBlank="1" showInputMessage="1" showErrorMessage="1" xr:uid="{00000000-0002-0000-0300-0000D0220000}">
          <x14:formula1>
            <xm:f>項目!A4:$FKS$786434</xm:f>
          </x14:formula1>
          <xm:sqref>FLB786437:FLB786460</xm:sqref>
        </x14:dataValidation>
        <x14:dataValidation type="list" allowBlank="1" showInputMessage="1" showErrorMessage="1" xr:uid="{00000000-0002-0000-0300-0000D1220000}">
          <x14:formula1>
            <xm:f>項目!A4:$FUO$786434</xm:f>
          </x14:formula1>
          <xm:sqref>FUX786437:FUX786460</xm:sqref>
        </x14:dataValidation>
        <x14:dataValidation type="list" allowBlank="1" showInputMessage="1" showErrorMessage="1" xr:uid="{00000000-0002-0000-0300-0000D2220000}">
          <x14:formula1>
            <xm:f>項目!A4:$GEK$786434</xm:f>
          </x14:formula1>
          <xm:sqref>GET786437:GET786460</xm:sqref>
        </x14:dataValidation>
        <x14:dataValidation type="list" allowBlank="1" showInputMessage="1" showErrorMessage="1" xr:uid="{00000000-0002-0000-0300-0000D3220000}">
          <x14:formula1>
            <xm:f>項目!A4:$GOG$786434</xm:f>
          </x14:formula1>
          <xm:sqref>GOP786437:GOP786460</xm:sqref>
        </x14:dataValidation>
        <x14:dataValidation type="list" allowBlank="1" showInputMessage="1" showErrorMessage="1" xr:uid="{00000000-0002-0000-0300-0000D4220000}">
          <x14:formula1>
            <xm:f>項目!A4:$GYC$786434</xm:f>
          </x14:formula1>
          <xm:sqref>GYL786437:GYL786460</xm:sqref>
        </x14:dataValidation>
        <x14:dataValidation type="list" allowBlank="1" showInputMessage="1" showErrorMessage="1" xr:uid="{00000000-0002-0000-0300-0000D5220000}">
          <x14:formula1>
            <xm:f>項目!A4:$HHY$786434</xm:f>
          </x14:formula1>
          <xm:sqref>HIH786437:HIH786460</xm:sqref>
        </x14:dataValidation>
        <x14:dataValidation type="list" allowBlank="1" showInputMessage="1" showErrorMessage="1" xr:uid="{00000000-0002-0000-0300-0000D6220000}">
          <x14:formula1>
            <xm:f>項目!A4:$HRU$786434</xm:f>
          </x14:formula1>
          <xm:sqref>HSD786437:HSD786460</xm:sqref>
        </x14:dataValidation>
        <x14:dataValidation type="list" allowBlank="1" showInputMessage="1" showErrorMessage="1" xr:uid="{00000000-0002-0000-0300-0000D7220000}">
          <x14:formula1>
            <xm:f>項目!A4:$IBQ$786434</xm:f>
          </x14:formula1>
          <xm:sqref>IBZ786437:IBZ786460</xm:sqref>
        </x14:dataValidation>
        <x14:dataValidation type="list" allowBlank="1" showInputMessage="1" showErrorMessage="1" xr:uid="{00000000-0002-0000-0300-0000D8220000}">
          <x14:formula1>
            <xm:f>項目!A4:$ILM$786434</xm:f>
          </x14:formula1>
          <xm:sqref>ILV786437:ILV786460</xm:sqref>
        </x14:dataValidation>
        <x14:dataValidation type="list" allowBlank="1" showInputMessage="1" showErrorMessage="1" xr:uid="{00000000-0002-0000-0300-0000D9220000}">
          <x14:formula1>
            <xm:f>項目!A4:$IVI$786434</xm:f>
          </x14:formula1>
          <xm:sqref>IVR786437:IVR786460</xm:sqref>
        </x14:dataValidation>
        <x14:dataValidation type="list" allowBlank="1" showInputMessage="1" showErrorMessage="1" xr:uid="{00000000-0002-0000-0300-0000DA220000}">
          <x14:formula1>
            <xm:f>項目!A4:$JFE$786434</xm:f>
          </x14:formula1>
          <xm:sqref>JFN786437:JFN786460</xm:sqref>
        </x14:dataValidation>
        <x14:dataValidation type="list" allowBlank="1" showInputMessage="1" showErrorMessage="1" xr:uid="{00000000-0002-0000-0300-0000DB220000}">
          <x14:formula1>
            <xm:f>項目!A4:$JPA$786434</xm:f>
          </x14:formula1>
          <xm:sqref>JPJ786437:JPJ786460</xm:sqref>
        </x14:dataValidation>
        <x14:dataValidation type="list" allowBlank="1" showInputMessage="1" showErrorMessage="1" xr:uid="{00000000-0002-0000-0300-0000DC220000}">
          <x14:formula1>
            <xm:f>項目!A4:$JYW$786434</xm:f>
          </x14:formula1>
          <xm:sqref>JZF786437:JZF786460</xm:sqref>
        </x14:dataValidation>
        <x14:dataValidation type="list" allowBlank="1" showInputMessage="1" showErrorMessage="1" xr:uid="{00000000-0002-0000-0300-0000DD220000}">
          <x14:formula1>
            <xm:f>項目!A4:$KIS$786434</xm:f>
          </x14:formula1>
          <xm:sqref>KJB786437:KJB786460</xm:sqref>
        </x14:dataValidation>
        <x14:dataValidation type="list" allowBlank="1" showInputMessage="1" showErrorMessage="1" xr:uid="{00000000-0002-0000-0300-0000DE220000}">
          <x14:formula1>
            <xm:f>項目!A4:$KSO$786434</xm:f>
          </x14:formula1>
          <xm:sqref>KSX786437:KSX786460</xm:sqref>
        </x14:dataValidation>
        <x14:dataValidation type="list" allowBlank="1" showInputMessage="1" showErrorMessage="1" xr:uid="{00000000-0002-0000-0300-0000DF220000}">
          <x14:formula1>
            <xm:f>項目!A4:$LCK$786434</xm:f>
          </x14:formula1>
          <xm:sqref>LCT786437:LCT786460</xm:sqref>
        </x14:dataValidation>
        <x14:dataValidation type="list" allowBlank="1" showInputMessage="1" showErrorMessage="1" xr:uid="{00000000-0002-0000-0300-0000E0220000}">
          <x14:formula1>
            <xm:f>項目!A4:$LMG$786434</xm:f>
          </x14:formula1>
          <xm:sqref>LMP786437:LMP786460</xm:sqref>
        </x14:dataValidation>
        <x14:dataValidation type="list" allowBlank="1" showInputMessage="1" showErrorMessage="1" xr:uid="{00000000-0002-0000-0300-0000E1220000}">
          <x14:formula1>
            <xm:f>項目!A4:$LWC$786434</xm:f>
          </x14:formula1>
          <xm:sqref>LWL786437:LWL786460</xm:sqref>
        </x14:dataValidation>
        <x14:dataValidation type="list" allowBlank="1" showInputMessage="1" showErrorMessage="1" xr:uid="{00000000-0002-0000-0300-0000E2220000}">
          <x14:formula1>
            <xm:f>項目!A4:$MFY$786434</xm:f>
          </x14:formula1>
          <xm:sqref>MGH786437:MGH786460</xm:sqref>
        </x14:dataValidation>
        <x14:dataValidation type="list" allowBlank="1" showInputMessage="1" showErrorMessage="1" xr:uid="{00000000-0002-0000-0300-0000E3220000}">
          <x14:formula1>
            <xm:f>項目!A4:$MPU$786434</xm:f>
          </x14:formula1>
          <xm:sqref>MQD786437:MQD786460</xm:sqref>
        </x14:dataValidation>
        <x14:dataValidation type="list" allowBlank="1" showInputMessage="1" showErrorMessage="1" xr:uid="{00000000-0002-0000-0300-0000E4220000}">
          <x14:formula1>
            <xm:f>項目!A4:$MZQ$786434</xm:f>
          </x14:formula1>
          <xm:sqref>MZZ786437:MZZ786460</xm:sqref>
        </x14:dataValidation>
        <x14:dataValidation type="list" allowBlank="1" showInputMessage="1" showErrorMessage="1" xr:uid="{00000000-0002-0000-0300-0000E5220000}">
          <x14:formula1>
            <xm:f>項目!A4:$NJM$786434</xm:f>
          </x14:formula1>
          <xm:sqref>NJV786437:NJV786460</xm:sqref>
        </x14:dataValidation>
        <x14:dataValidation type="list" allowBlank="1" showInputMessage="1" showErrorMessage="1" xr:uid="{00000000-0002-0000-0300-0000E6220000}">
          <x14:formula1>
            <xm:f>項目!A4:$NTI$786434</xm:f>
          </x14:formula1>
          <xm:sqref>NTR786437:NTR786460</xm:sqref>
        </x14:dataValidation>
        <x14:dataValidation type="list" allowBlank="1" showInputMessage="1" showErrorMessage="1" xr:uid="{00000000-0002-0000-0300-0000E7220000}">
          <x14:formula1>
            <xm:f>項目!A4:$ODE$786434</xm:f>
          </x14:formula1>
          <xm:sqref>ODN786437:ODN786460</xm:sqref>
        </x14:dataValidation>
        <x14:dataValidation type="list" allowBlank="1" showInputMessage="1" showErrorMessage="1" xr:uid="{00000000-0002-0000-0300-0000E8220000}">
          <x14:formula1>
            <xm:f>項目!A4:$ONA$786434</xm:f>
          </x14:formula1>
          <xm:sqref>ONJ786437:ONJ786460</xm:sqref>
        </x14:dataValidation>
        <x14:dataValidation type="list" allowBlank="1" showInputMessage="1" showErrorMessage="1" xr:uid="{00000000-0002-0000-0300-0000E9220000}">
          <x14:formula1>
            <xm:f>項目!A4:$OWW$786434</xm:f>
          </x14:formula1>
          <xm:sqref>OXF786437:OXF786460</xm:sqref>
        </x14:dataValidation>
        <x14:dataValidation type="list" allowBlank="1" showInputMessage="1" showErrorMessage="1" xr:uid="{00000000-0002-0000-0300-0000EA220000}">
          <x14:formula1>
            <xm:f>項目!A4:$PGS$786434</xm:f>
          </x14:formula1>
          <xm:sqref>PHB786437:PHB786460</xm:sqref>
        </x14:dataValidation>
        <x14:dataValidation type="list" allowBlank="1" showInputMessage="1" showErrorMessage="1" xr:uid="{00000000-0002-0000-0300-0000EB220000}">
          <x14:formula1>
            <xm:f>項目!A4:$PQO$786434</xm:f>
          </x14:formula1>
          <xm:sqref>PQX786437:PQX786460</xm:sqref>
        </x14:dataValidation>
        <x14:dataValidation type="list" allowBlank="1" showInputMessage="1" showErrorMessage="1" xr:uid="{00000000-0002-0000-0300-0000EC220000}">
          <x14:formula1>
            <xm:f>項目!A4:$QAK$786434</xm:f>
          </x14:formula1>
          <xm:sqref>QAT786437:QAT786460</xm:sqref>
        </x14:dataValidation>
        <x14:dataValidation type="list" allowBlank="1" showInputMessage="1" showErrorMessage="1" xr:uid="{00000000-0002-0000-0300-0000ED220000}">
          <x14:formula1>
            <xm:f>項目!A4:$QKG$786434</xm:f>
          </x14:formula1>
          <xm:sqref>QKP786437:QKP786460</xm:sqref>
        </x14:dataValidation>
        <x14:dataValidation type="list" allowBlank="1" showInputMessage="1" showErrorMessage="1" xr:uid="{00000000-0002-0000-0300-0000EE220000}">
          <x14:formula1>
            <xm:f>項目!A4:$QUC$786434</xm:f>
          </x14:formula1>
          <xm:sqref>QUL786437:QUL786460</xm:sqref>
        </x14:dataValidation>
        <x14:dataValidation type="list" allowBlank="1" showInputMessage="1" showErrorMessage="1" xr:uid="{00000000-0002-0000-0300-0000EF220000}">
          <x14:formula1>
            <xm:f>項目!A4:$RDY$786434</xm:f>
          </x14:formula1>
          <xm:sqref>REH786437:REH786460</xm:sqref>
        </x14:dataValidation>
        <x14:dataValidation type="list" allowBlank="1" showInputMessage="1" showErrorMessage="1" xr:uid="{00000000-0002-0000-0300-0000F0220000}">
          <x14:formula1>
            <xm:f>項目!A4:$RNU$786434</xm:f>
          </x14:formula1>
          <xm:sqref>ROD786437:ROD786460</xm:sqref>
        </x14:dataValidation>
        <x14:dataValidation type="list" allowBlank="1" showInputMessage="1" showErrorMessage="1" xr:uid="{00000000-0002-0000-0300-0000F1220000}">
          <x14:formula1>
            <xm:f>項目!A4:$RXQ$786434</xm:f>
          </x14:formula1>
          <xm:sqref>RXZ786437:RXZ786460</xm:sqref>
        </x14:dataValidation>
        <x14:dataValidation type="list" allowBlank="1" showInputMessage="1" showErrorMessage="1" xr:uid="{00000000-0002-0000-0300-0000F2220000}">
          <x14:formula1>
            <xm:f>項目!A4:$SHM$786434</xm:f>
          </x14:formula1>
          <xm:sqref>SHV786437:SHV786460</xm:sqref>
        </x14:dataValidation>
        <x14:dataValidation type="list" allowBlank="1" showInputMessage="1" showErrorMessage="1" xr:uid="{00000000-0002-0000-0300-0000F3220000}">
          <x14:formula1>
            <xm:f>項目!A4:$SRI$786434</xm:f>
          </x14:formula1>
          <xm:sqref>SRR786437:SRR786460</xm:sqref>
        </x14:dataValidation>
        <x14:dataValidation type="list" allowBlank="1" showInputMessage="1" showErrorMessage="1" xr:uid="{00000000-0002-0000-0300-0000F4220000}">
          <x14:formula1>
            <xm:f>項目!A4:$TBE$786434</xm:f>
          </x14:formula1>
          <xm:sqref>TBN786437:TBN786460</xm:sqref>
        </x14:dataValidation>
        <x14:dataValidation type="list" allowBlank="1" showInputMessage="1" showErrorMessage="1" xr:uid="{00000000-0002-0000-0300-0000F5220000}">
          <x14:formula1>
            <xm:f>項目!A4:$TLA$786434</xm:f>
          </x14:formula1>
          <xm:sqref>TLJ786437:TLJ786460</xm:sqref>
        </x14:dataValidation>
        <x14:dataValidation type="list" allowBlank="1" showInputMessage="1" showErrorMessage="1" xr:uid="{00000000-0002-0000-0300-0000F6220000}">
          <x14:formula1>
            <xm:f>項目!A4:$TUW$786434</xm:f>
          </x14:formula1>
          <xm:sqref>TVF786437:TVF786460</xm:sqref>
        </x14:dataValidation>
        <x14:dataValidation type="list" allowBlank="1" showInputMessage="1" showErrorMessage="1" xr:uid="{00000000-0002-0000-0300-0000F7220000}">
          <x14:formula1>
            <xm:f>項目!A4:$UES$786434</xm:f>
          </x14:formula1>
          <xm:sqref>UFB786437:UFB786460</xm:sqref>
        </x14:dataValidation>
        <x14:dataValidation type="list" allowBlank="1" showInputMessage="1" showErrorMessage="1" xr:uid="{00000000-0002-0000-0300-0000F8220000}">
          <x14:formula1>
            <xm:f>項目!A4:$UOO$786434</xm:f>
          </x14:formula1>
          <xm:sqref>UOX786437:UOX786460</xm:sqref>
        </x14:dataValidation>
        <x14:dataValidation type="list" allowBlank="1" showInputMessage="1" showErrorMessage="1" xr:uid="{00000000-0002-0000-0300-0000F9220000}">
          <x14:formula1>
            <xm:f>項目!A4:$UYK$786434</xm:f>
          </x14:formula1>
          <xm:sqref>UYT786437:UYT786460</xm:sqref>
        </x14:dataValidation>
        <x14:dataValidation type="list" allowBlank="1" showInputMessage="1" showErrorMessage="1" xr:uid="{00000000-0002-0000-0300-0000FA220000}">
          <x14:formula1>
            <xm:f>項目!A4:$VIG$786434</xm:f>
          </x14:formula1>
          <xm:sqref>VIP786437:VIP786460</xm:sqref>
        </x14:dataValidation>
        <x14:dataValidation type="list" allowBlank="1" showInputMessage="1" showErrorMessage="1" xr:uid="{00000000-0002-0000-0300-0000FB220000}">
          <x14:formula1>
            <xm:f>項目!A4:$VSC$786434</xm:f>
          </x14:formula1>
          <xm:sqref>VSL786437:VSL786460</xm:sqref>
        </x14:dataValidation>
        <x14:dataValidation type="list" allowBlank="1" showInputMessage="1" showErrorMessage="1" xr:uid="{00000000-0002-0000-0300-0000FC220000}">
          <x14:formula1>
            <xm:f>項目!A4:$WBY$786434</xm:f>
          </x14:formula1>
          <xm:sqref>WCH786437:WCH786460</xm:sqref>
        </x14:dataValidation>
        <x14:dataValidation type="list" allowBlank="1" showInputMessage="1" showErrorMessage="1" xr:uid="{00000000-0002-0000-0300-0000FD220000}">
          <x14:formula1>
            <xm:f>項目!A4:$WLU$786434</xm:f>
          </x14:formula1>
          <xm:sqref>WMD786437:WMD786460</xm:sqref>
        </x14:dataValidation>
        <x14:dataValidation type="list" allowBlank="1" showInputMessage="1" showErrorMessage="1" xr:uid="{00000000-0002-0000-0300-0000FE220000}">
          <x14:formula1>
            <xm:f>項目!A4:$WVQ$786434</xm:f>
          </x14:formula1>
          <xm:sqref>WVZ786437:WVZ786460</xm:sqref>
        </x14:dataValidation>
        <x14:dataValidation type="list" allowBlank="1" showInputMessage="1" showErrorMessage="1" xr:uid="{00000000-0002-0000-0300-0000FF220000}">
          <x14:formula1>
            <xm:f>項目!A4:$K$851970</xm:f>
          </x14:formula1>
          <xm:sqref>R851973:R851996</xm:sqref>
        </x14:dataValidation>
        <x14:dataValidation type="list" allowBlank="1" showInputMessage="1" showErrorMessage="1" xr:uid="{00000000-0002-0000-0300-000000230000}">
          <x14:formula1>
            <xm:f>項目!A4:$JE$851970</xm:f>
          </x14:formula1>
          <xm:sqref>JN851973:JN851996</xm:sqref>
        </x14:dataValidation>
        <x14:dataValidation type="list" allowBlank="1" showInputMessage="1" showErrorMessage="1" xr:uid="{00000000-0002-0000-0300-000001230000}">
          <x14:formula1>
            <xm:f>項目!A4:$TA$851970</xm:f>
          </x14:formula1>
          <xm:sqref>TJ851973:TJ851996</xm:sqref>
        </x14:dataValidation>
        <x14:dataValidation type="list" allowBlank="1" showInputMessage="1" showErrorMessage="1" xr:uid="{00000000-0002-0000-0300-000002230000}">
          <x14:formula1>
            <xm:f>項目!A4:$ACW$851970</xm:f>
          </x14:formula1>
          <xm:sqref>ADF851973:ADF851996</xm:sqref>
        </x14:dataValidation>
        <x14:dataValidation type="list" allowBlank="1" showInputMessage="1" showErrorMessage="1" xr:uid="{00000000-0002-0000-0300-000003230000}">
          <x14:formula1>
            <xm:f>項目!A4:$AMS$851970</xm:f>
          </x14:formula1>
          <xm:sqref>ANB851973:ANB851996</xm:sqref>
        </x14:dataValidation>
        <x14:dataValidation type="list" allowBlank="1" showInputMessage="1" showErrorMessage="1" xr:uid="{00000000-0002-0000-0300-000004230000}">
          <x14:formula1>
            <xm:f>項目!A4:$AWO$851970</xm:f>
          </x14:formula1>
          <xm:sqref>AWX851973:AWX851996</xm:sqref>
        </x14:dataValidation>
        <x14:dataValidation type="list" allowBlank="1" showInputMessage="1" showErrorMessage="1" xr:uid="{00000000-0002-0000-0300-000005230000}">
          <x14:formula1>
            <xm:f>項目!A4:$BGK$851970</xm:f>
          </x14:formula1>
          <xm:sqref>BGT851973:BGT851996</xm:sqref>
        </x14:dataValidation>
        <x14:dataValidation type="list" allowBlank="1" showInputMessage="1" showErrorMessage="1" xr:uid="{00000000-0002-0000-0300-000006230000}">
          <x14:formula1>
            <xm:f>項目!A4:$BQG$851970</xm:f>
          </x14:formula1>
          <xm:sqref>BQP851973:BQP851996</xm:sqref>
        </x14:dataValidation>
        <x14:dataValidation type="list" allowBlank="1" showInputMessage="1" showErrorMessage="1" xr:uid="{00000000-0002-0000-0300-000007230000}">
          <x14:formula1>
            <xm:f>項目!A4:$CAC$851970</xm:f>
          </x14:formula1>
          <xm:sqref>CAL851973:CAL851996</xm:sqref>
        </x14:dataValidation>
        <x14:dataValidation type="list" allowBlank="1" showInputMessage="1" showErrorMessage="1" xr:uid="{00000000-0002-0000-0300-000008230000}">
          <x14:formula1>
            <xm:f>項目!A4:$CJY$851970</xm:f>
          </x14:formula1>
          <xm:sqref>CKH851973:CKH851996</xm:sqref>
        </x14:dataValidation>
        <x14:dataValidation type="list" allowBlank="1" showInputMessage="1" showErrorMessage="1" xr:uid="{00000000-0002-0000-0300-000009230000}">
          <x14:formula1>
            <xm:f>項目!A4:$CTU$851970</xm:f>
          </x14:formula1>
          <xm:sqref>CUD851973:CUD851996</xm:sqref>
        </x14:dataValidation>
        <x14:dataValidation type="list" allowBlank="1" showInputMessage="1" showErrorMessage="1" xr:uid="{00000000-0002-0000-0300-00000A230000}">
          <x14:formula1>
            <xm:f>項目!A4:$DDQ$851970</xm:f>
          </x14:formula1>
          <xm:sqref>DDZ851973:DDZ851996</xm:sqref>
        </x14:dataValidation>
        <x14:dataValidation type="list" allowBlank="1" showInputMessage="1" showErrorMessage="1" xr:uid="{00000000-0002-0000-0300-00000B230000}">
          <x14:formula1>
            <xm:f>項目!A4:$DNM$851970</xm:f>
          </x14:formula1>
          <xm:sqref>DNV851973:DNV851996</xm:sqref>
        </x14:dataValidation>
        <x14:dataValidation type="list" allowBlank="1" showInputMessage="1" showErrorMessage="1" xr:uid="{00000000-0002-0000-0300-00000C230000}">
          <x14:formula1>
            <xm:f>項目!A4:$DXI$851970</xm:f>
          </x14:formula1>
          <xm:sqref>DXR851973:DXR851996</xm:sqref>
        </x14:dataValidation>
        <x14:dataValidation type="list" allowBlank="1" showInputMessage="1" showErrorMessage="1" xr:uid="{00000000-0002-0000-0300-00000D230000}">
          <x14:formula1>
            <xm:f>項目!A4:$EHE$851970</xm:f>
          </x14:formula1>
          <xm:sqref>EHN851973:EHN851996</xm:sqref>
        </x14:dataValidation>
        <x14:dataValidation type="list" allowBlank="1" showInputMessage="1" showErrorMessage="1" xr:uid="{00000000-0002-0000-0300-00000E230000}">
          <x14:formula1>
            <xm:f>項目!A4:$ERA$851970</xm:f>
          </x14:formula1>
          <xm:sqref>ERJ851973:ERJ851996</xm:sqref>
        </x14:dataValidation>
        <x14:dataValidation type="list" allowBlank="1" showInputMessage="1" showErrorMessage="1" xr:uid="{00000000-0002-0000-0300-00000F230000}">
          <x14:formula1>
            <xm:f>項目!A4:$FAW$851970</xm:f>
          </x14:formula1>
          <xm:sqref>FBF851973:FBF851996</xm:sqref>
        </x14:dataValidation>
        <x14:dataValidation type="list" allowBlank="1" showInputMessage="1" showErrorMessage="1" xr:uid="{00000000-0002-0000-0300-000010230000}">
          <x14:formula1>
            <xm:f>項目!A4:$FKS$851970</xm:f>
          </x14:formula1>
          <xm:sqref>FLB851973:FLB851996</xm:sqref>
        </x14:dataValidation>
        <x14:dataValidation type="list" allowBlank="1" showInputMessage="1" showErrorMessage="1" xr:uid="{00000000-0002-0000-0300-000011230000}">
          <x14:formula1>
            <xm:f>項目!A4:$FUO$851970</xm:f>
          </x14:formula1>
          <xm:sqref>FUX851973:FUX851996</xm:sqref>
        </x14:dataValidation>
        <x14:dataValidation type="list" allowBlank="1" showInputMessage="1" showErrorMessage="1" xr:uid="{00000000-0002-0000-0300-000012230000}">
          <x14:formula1>
            <xm:f>項目!A4:$GEK$851970</xm:f>
          </x14:formula1>
          <xm:sqref>GET851973:GET851996</xm:sqref>
        </x14:dataValidation>
        <x14:dataValidation type="list" allowBlank="1" showInputMessage="1" showErrorMessage="1" xr:uid="{00000000-0002-0000-0300-000013230000}">
          <x14:formula1>
            <xm:f>項目!A4:$GOG$851970</xm:f>
          </x14:formula1>
          <xm:sqref>GOP851973:GOP851996</xm:sqref>
        </x14:dataValidation>
        <x14:dataValidation type="list" allowBlank="1" showInputMessage="1" showErrorMessage="1" xr:uid="{00000000-0002-0000-0300-000014230000}">
          <x14:formula1>
            <xm:f>項目!A4:$GYC$851970</xm:f>
          </x14:formula1>
          <xm:sqref>GYL851973:GYL851996</xm:sqref>
        </x14:dataValidation>
        <x14:dataValidation type="list" allowBlank="1" showInputMessage="1" showErrorMessage="1" xr:uid="{00000000-0002-0000-0300-000015230000}">
          <x14:formula1>
            <xm:f>項目!A4:$HHY$851970</xm:f>
          </x14:formula1>
          <xm:sqref>HIH851973:HIH851996</xm:sqref>
        </x14:dataValidation>
        <x14:dataValidation type="list" allowBlank="1" showInputMessage="1" showErrorMessage="1" xr:uid="{00000000-0002-0000-0300-000016230000}">
          <x14:formula1>
            <xm:f>項目!A4:$HRU$851970</xm:f>
          </x14:formula1>
          <xm:sqref>HSD851973:HSD851996</xm:sqref>
        </x14:dataValidation>
        <x14:dataValidation type="list" allowBlank="1" showInputMessage="1" showErrorMessage="1" xr:uid="{00000000-0002-0000-0300-000017230000}">
          <x14:formula1>
            <xm:f>項目!A4:$IBQ$851970</xm:f>
          </x14:formula1>
          <xm:sqref>IBZ851973:IBZ851996</xm:sqref>
        </x14:dataValidation>
        <x14:dataValidation type="list" allowBlank="1" showInputMessage="1" showErrorMessage="1" xr:uid="{00000000-0002-0000-0300-000018230000}">
          <x14:formula1>
            <xm:f>項目!A4:$ILM$851970</xm:f>
          </x14:formula1>
          <xm:sqref>ILV851973:ILV851996</xm:sqref>
        </x14:dataValidation>
        <x14:dataValidation type="list" allowBlank="1" showInputMessage="1" showErrorMessage="1" xr:uid="{00000000-0002-0000-0300-000019230000}">
          <x14:formula1>
            <xm:f>項目!A4:$IVI$851970</xm:f>
          </x14:formula1>
          <xm:sqref>IVR851973:IVR851996</xm:sqref>
        </x14:dataValidation>
        <x14:dataValidation type="list" allowBlank="1" showInputMessage="1" showErrorMessage="1" xr:uid="{00000000-0002-0000-0300-00001A230000}">
          <x14:formula1>
            <xm:f>項目!A4:$JFE$851970</xm:f>
          </x14:formula1>
          <xm:sqref>JFN851973:JFN851996</xm:sqref>
        </x14:dataValidation>
        <x14:dataValidation type="list" allowBlank="1" showInputMessage="1" showErrorMessage="1" xr:uid="{00000000-0002-0000-0300-00001B230000}">
          <x14:formula1>
            <xm:f>項目!A4:$JPA$851970</xm:f>
          </x14:formula1>
          <xm:sqref>JPJ851973:JPJ851996</xm:sqref>
        </x14:dataValidation>
        <x14:dataValidation type="list" allowBlank="1" showInputMessage="1" showErrorMessage="1" xr:uid="{00000000-0002-0000-0300-00001C230000}">
          <x14:formula1>
            <xm:f>項目!A4:$JYW$851970</xm:f>
          </x14:formula1>
          <xm:sqref>JZF851973:JZF851996</xm:sqref>
        </x14:dataValidation>
        <x14:dataValidation type="list" allowBlank="1" showInputMessage="1" showErrorMessage="1" xr:uid="{00000000-0002-0000-0300-00001D230000}">
          <x14:formula1>
            <xm:f>項目!A4:$KIS$851970</xm:f>
          </x14:formula1>
          <xm:sqref>KJB851973:KJB851996</xm:sqref>
        </x14:dataValidation>
        <x14:dataValidation type="list" allowBlank="1" showInputMessage="1" showErrorMessage="1" xr:uid="{00000000-0002-0000-0300-00001E230000}">
          <x14:formula1>
            <xm:f>項目!A4:$KSO$851970</xm:f>
          </x14:formula1>
          <xm:sqref>KSX851973:KSX851996</xm:sqref>
        </x14:dataValidation>
        <x14:dataValidation type="list" allowBlank="1" showInputMessage="1" showErrorMessage="1" xr:uid="{00000000-0002-0000-0300-00001F230000}">
          <x14:formula1>
            <xm:f>項目!A4:$LCK$851970</xm:f>
          </x14:formula1>
          <xm:sqref>LCT851973:LCT851996</xm:sqref>
        </x14:dataValidation>
        <x14:dataValidation type="list" allowBlank="1" showInputMessage="1" showErrorMessage="1" xr:uid="{00000000-0002-0000-0300-000020230000}">
          <x14:formula1>
            <xm:f>項目!A4:$LMG$851970</xm:f>
          </x14:formula1>
          <xm:sqref>LMP851973:LMP851996</xm:sqref>
        </x14:dataValidation>
        <x14:dataValidation type="list" allowBlank="1" showInputMessage="1" showErrorMessage="1" xr:uid="{00000000-0002-0000-0300-000021230000}">
          <x14:formula1>
            <xm:f>項目!A4:$LWC$851970</xm:f>
          </x14:formula1>
          <xm:sqref>LWL851973:LWL851996</xm:sqref>
        </x14:dataValidation>
        <x14:dataValidation type="list" allowBlank="1" showInputMessage="1" showErrorMessage="1" xr:uid="{00000000-0002-0000-0300-000022230000}">
          <x14:formula1>
            <xm:f>項目!A4:$MFY$851970</xm:f>
          </x14:formula1>
          <xm:sqref>MGH851973:MGH851996</xm:sqref>
        </x14:dataValidation>
        <x14:dataValidation type="list" allowBlank="1" showInputMessage="1" showErrorMessage="1" xr:uid="{00000000-0002-0000-0300-000023230000}">
          <x14:formula1>
            <xm:f>項目!A4:$MPU$851970</xm:f>
          </x14:formula1>
          <xm:sqref>MQD851973:MQD851996</xm:sqref>
        </x14:dataValidation>
        <x14:dataValidation type="list" allowBlank="1" showInputMessage="1" showErrorMessage="1" xr:uid="{00000000-0002-0000-0300-000024230000}">
          <x14:formula1>
            <xm:f>項目!A4:$MZQ$851970</xm:f>
          </x14:formula1>
          <xm:sqref>MZZ851973:MZZ851996</xm:sqref>
        </x14:dataValidation>
        <x14:dataValidation type="list" allowBlank="1" showInputMessage="1" showErrorMessage="1" xr:uid="{00000000-0002-0000-0300-000025230000}">
          <x14:formula1>
            <xm:f>項目!A4:$NJM$851970</xm:f>
          </x14:formula1>
          <xm:sqref>NJV851973:NJV851996</xm:sqref>
        </x14:dataValidation>
        <x14:dataValidation type="list" allowBlank="1" showInputMessage="1" showErrorMessage="1" xr:uid="{00000000-0002-0000-0300-000026230000}">
          <x14:formula1>
            <xm:f>項目!A4:$NTI$851970</xm:f>
          </x14:formula1>
          <xm:sqref>NTR851973:NTR851996</xm:sqref>
        </x14:dataValidation>
        <x14:dataValidation type="list" allowBlank="1" showInputMessage="1" showErrorMessage="1" xr:uid="{00000000-0002-0000-0300-000027230000}">
          <x14:formula1>
            <xm:f>項目!A4:$ODE$851970</xm:f>
          </x14:formula1>
          <xm:sqref>ODN851973:ODN851996</xm:sqref>
        </x14:dataValidation>
        <x14:dataValidation type="list" allowBlank="1" showInputMessage="1" showErrorMessage="1" xr:uid="{00000000-0002-0000-0300-000028230000}">
          <x14:formula1>
            <xm:f>項目!A4:$ONA$851970</xm:f>
          </x14:formula1>
          <xm:sqref>ONJ851973:ONJ851996</xm:sqref>
        </x14:dataValidation>
        <x14:dataValidation type="list" allowBlank="1" showInputMessage="1" showErrorMessage="1" xr:uid="{00000000-0002-0000-0300-000029230000}">
          <x14:formula1>
            <xm:f>項目!A4:$OWW$851970</xm:f>
          </x14:formula1>
          <xm:sqref>OXF851973:OXF851996</xm:sqref>
        </x14:dataValidation>
        <x14:dataValidation type="list" allowBlank="1" showInputMessage="1" showErrorMessage="1" xr:uid="{00000000-0002-0000-0300-00002A230000}">
          <x14:formula1>
            <xm:f>項目!A4:$PGS$851970</xm:f>
          </x14:formula1>
          <xm:sqref>PHB851973:PHB851996</xm:sqref>
        </x14:dataValidation>
        <x14:dataValidation type="list" allowBlank="1" showInputMessage="1" showErrorMessage="1" xr:uid="{00000000-0002-0000-0300-00002B230000}">
          <x14:formula1>
            <xm:f>項目!A4:$PQO$851970</xm:f>
          </x14:formula1>
          <xm:sqref>PQX851973:PQX851996</xm:sqref>
        </x14:dataValidation>
        <x14:dataValidation type="list" allowBlank="1" showInputMessage="1" showErrorMessage="1" xr:uid="{00000000-0002-0000-0300-00002C230000}">
          <x14:formula1>
            <xm:f>項目!A4:$QAK$851970</xm:f>
          </x14:formula1>
          <xm:sqref>QAT851973:QAT851996</xm:sqref>
        </x14:dataValidation>
        <x14:dataValidation type="list" allowBlank="1" showInputMessage="1" showErrorMessage="1" xr:uid="{00000000-0002-0000-0300-00002D230000}">
          <x14:formula1>
            <xm:f>項目!A4:$QKG$851970</xm:f>
          </x14:formula1>
          <xm:sqref>QKP851973:QKP851996</xm:sqref>
        </x14:dataValidation>
        <x14:dataValidation type="list" allowBlank="1" showInputMessage="1" showErrorMessage="1" xr:uid="{00000000-0002-0000-0300-00002E230000}">
          <x14:formula1>
            <xm:f>項目!A4:$QUC$851970</xm:f>
          </x14:formula1>
          <xm:sqref>QUL851973:QUL851996</xm:sqref>
        </x14:dataValidation>
        <x14:dataValidation type="list" allowBlank="1" showInputMessage="1" showErrorMessage="1" xr:uid="{00000000-0002-0000-0300-00002F230000}">
          <x14:formula1>
            <xm:f>項目!A4:$RDY$851970</xm:f>
          </x14:formula1>
          <xm:sqref>REH851973:REH851996</xm:sqref>
        </x14:dataValidation>
        <x14:dataValidation type="list" allowBlank="1" showInputMessage="1" showErrorMessage="1" xr:uid="{00000000-0002-0000-0300-000030230000}">
          <x14:formula1>
            <xm:f>項目!A4:$RNU$851970</xm:f>
          </x14:formula1>
          <xm:sqref>ROD851973:ROD851996</xm:sqref>
        </x14:dataValidation>
        <x14:dataValidation type="list" allowBlank="1" showInputMessage="1" showErrorMessage="1" xr:uid="{00000000-0002-0000-0300-000031230000}">
          <x14:formula1>
            <xm:f>項目!A4:$RXQ$851970</xm:f>
          </x14:formula1>
          <xm:sqref>RXZ851973:RXZ851996</xm:sqref>
        </x14:dataValidation>
        <x14:dataValidation type="list" allowBlank="1" showInputMessage="1" showErrorMessage="1" xr:uid="{00000000-0002-0000-0300-000032230000}">
          <x14:formula1>
            <xm:f>項目!A4:$SHM$851970</xm:f>
          </x14:formula1>
          <xm:sqref>SHV851973:SHV851996</xm:sqref>
        </x14:dataValidation>
        <x14:dataValidation type="list" allowBlank="1" showInputMessage="1" showErrorMessage="1" xr:uid="{00000000-0002-0000-0300-000033230000}">
          <x14:formula1>
            <xm:f>項目!A4:$SRI$851970</xm:f>
          </x14:formula1>
          <xm:sqref>SRR851973:SRR851996</xm:sqref>
        </x14:dataValidation>
        <x14:dataValidation type="list" allowBlank="1" showInputMessage="1" showErrorMessage="1" xr:uid="{00000000-0002-0000-0300-000034230000}">
          <x14:formula1>
            <xm:f>項目!A4:$TBE$851970</xm:f>
          </x14:formula1>
          <xm:sqref>TBN851973:TBN851996</xm:sqref>
        </x14:dataValidation>
        <x14:dataValidation type="list" allowBlank="1" showInputMessage="1" showErrorMessage="1" xr:uid="{00000000-0002-0000-0300-000035230000}">
          <x14:formula1>
            <xm:f>項目!A4:$TLA$851970</xm:f>
          </x14:formula1>
          <xm:sqref>TLJ851973:TLJ851996</xm:sqref>
        </x14:dataValidation>
        <x14:dataValidation type="list" allowBlank="1" showInputMessage="1" showErrorMessage="1" xr:uid="{00000000-0002-0000-0300-000036230000}">
          <x14:formula1>
            <xm:f>項目!A4:$TUW$851970</xm:f>
          </x14:formula1>
          <xm:sqref>TVF851973:TVF851996</xm:sqref>
        </x14:dataValidation>
        <x14:dataValidation type="list" allowBlank="1" showInputMessage="1" showErrorMessage="1" xr:uid="{00000000-0002-0000-0300-000037230000}">
          <x14:formula1>
            <xm:f>項目!A4:$UES$851970</xm:f>
          </x14:formula1>
          <xm:sqref>UFB851973:UFB851996</xm:sqref>
        </x14:dataValidation>
        <x14:dataValidation type="list" allowBlank="1" showInputMessage="1" showErrorMessage="1" xr:uid="{00000000-0002-0000-0300-000038230000}">
          <x14:formula1>
            <xm:f>項目!A4:$UOO$851970</xm:f>
          </x14:formula1>
          <xm:sqref>UOX851973:UOX851996</xm:sqref>
        </x14:dataValidation>
        <x14:dataValidation type="list" allowBlank="1" showInputMessage="1" showErrorMessage="1" xr:uid="{00000000-0002-0000-0300-000039230000}">
          <x14:formula1>
            <xm:f>項目!A4:$UYK$851970</xm:f>
          </x14:formula1>
          <xm:sqref>UYT851973:UYT851996</xm:sqref>
        </x14:dataValidation>
        <x14:dataValidation type="list" allowBlank="1" showInputMessage="1" showErrorMessage="1" xr:uid="{00000000-0002-0000-0300-00003A230000}">
          <x14:formula1>
            <xm:f>項目!A4:$VIG$851970</xm:f>
          </x14:formula1>
          <xm:sqref>VIP851973:VIP851996</xm:sqref>
        </x14:dataValidation>
        <x14:dataValidation type="list" allowBlank="1" showInputMessage="1" showErrorMessage="1" xr:uid="{00000000-0002-0000-0300-00003B230000}">
          <x14:formula1>
            <xm:f>項目!A4:$VSC$851970</xm:f>
          </x14:formula1>
          <xm:sqref>VSL851973:VSL851996</xm:sqref>
        </x14:dataValidation>
        <x14:dataValidation type="list" allowBlank="1" showInputMessage="1" showErrorMessage="1" xr:uid="{00000000-0002-0000-0300-00003C230000}">
          <x14:formula1>
            <xm:f>項目!A4:$WBY$851970</xm:f>
          </x14:formula1>
          <xm:sqref>WCH851973:WCH851996</xm:sqref>
        </x14:dataValidation>
        <x14:dataValidation type="list" allowBlank="1" showInputMessage="1" showErrorMessage="1" xr:uid="{00000000-0002-0000-0300-00003D230000}">
          <x14:formula1>
            <xm:f>項目!A4:$WLU$851970</xm:f>
          </x14:formula1>
          <xm:sqref>WMD851973:WMD851996</xm:sqref>
        </x14:dataValidation>
        <x14:dataValidation type="list" allowBlank="1" showInputMessage="1" showErrorMessage="1" xr:uid="{00000000-0002-0000-0300-00003E230000}">
          <x14:formula1>
            <xm:f>項目!A4:$WVQ$851970</xm:f>
          </x14:formula1>
          <xm:sqref>WVZ851973:WVZ851996</xm:sqref>
        </x14:dataValidation>
        <x14:dataValidation type="list" allowBlank="1" showInputMessage="1" showErrorMessage="1" xr:uid="{00000000-0002-0000-0300-00003F230000}">
          <x14:formula1>
            <xm:f>項目!A4:$K$917506</xm:f>
          </x14:formula1>
          <xm:sqref>R917509:R917532</xm:sqref>
        </x14:dataValidation>
        <x14:dataValidation type="list" allowBlank="1" showInputMessage="1" showErrorMessage="1" xr:uid="{00000000-0002-0000-0300-000040230000}">
          <x14:formula1>
            <xm:f>項目!A4:$JE$917506</xm:f>
          </x14:formula1>
          <xm:sqref>JN917509:JN917532</xm:sqref>
        </x14:dataValidation>
        <x14:dataValidation type="list" allowBlank="1" showInputMessage="1" showErrorMessage="1" xr:uid="{00000000-0002-0000-0300-000041230000}">
          <x14:formula1>
            <xm:f>項目!A4:$TA$917506</xm:f>
          </x14:formula1>
          <xm:sqref>TJ917509:TJ917532</xm:sqref>
        </x14:dataValidation>
        <x14:dataValidation type="list" allowBlank="1" showInputMessage="1" showErrorMessage="1" xr:uid="{00000000-0002-0000-0300-000042230000}">
          <x14:formula1>
            <xm:f>項目!A4:$ACW$917506</xm:f>
          </x14:formula1>
          <xm:sqref>ADF917509:ADF917532</xm:sqref>
        </x14:dataValidation>
        <x14:dataValidation type="list" allowBlank="1" showInputMessage="1" showErrorMessage="1" xr:uid="{00000000-0002-0000-0300-000043230000}">
          <x14:formula1>
            <xm:f>項目!A4:$AMS$917506</xm:f>
          </x14:formula1>
          <xm:sqref>ANB917509:ANB917532</xm:sqref>
        </x14:dataValidation>
        <x14:dataValidation type="list" allowBlank="1" showInputMessage="1" showErrorMessage="1" xr:uid="{00000000-0002-0000-0300-000044230000}">
          <x14:formula1>
            <xm:f>項目!A4:$AWO$917506</xm:f>
          </x14:formula1>
          <xm:sqref>AWX917509:AWX917532</xm:sqref>
        </x14:dataValidation>
        <x14:dataValidation type="list" allowBlank="1" showInputMessage="1" showErrorMessage="1" xr:uid="{00000000-0002-0000-0300-000045230000}">
          <x14:formula1>
            <xm:f>項目!A4:$BGK$917506</xm:f>
          </x14:formula1>
          <xm:sqref>BGT917509:BGT917532</xm:sqref>
        </x14:dataValidation>
        <x14:dataValidation type="list" allowBlank="1" showInputMessage="1" showErrorMessage="1" xr:uid="{00000000-0002-0000-0300-000046230000}">
          <x14:formula1>
            <xm:f>項目!A4:$BQG$917506</xm:f>
          </x14:formula1>
          <xm:sqref>BQP917509:BQP917532</xm:sqref>
        </x14:dataValidation>
        <x14:dataValidation type="list" allowBlank="1" showInputMessage="1" showErrorMessage="1" xr:uid="{00000000-0002-0000-0300-000047230000}">
          <x14:formula1>
            <xm:f>項目!A4:$CAC$917506</xm:f>
          </x14:formula1>
          <xm:sqref>CAL917509:CAL917532</xm:sqref>
        </x14:dataValidation>
        <x14:dataValidation type="list" allowBlank="1" showInputMessage="1" showErrorMessage="1" xr:uid="{00000000-0002-0000-0300-000048230000}">
          <x14:formula1>
            <xm:f>項目!A4:$CJY$917506</xm:f>
          </x14:formula1>
          <xm:sqref>CKH917509:CKH917532</xm:sqref>
        </x14:dataValidation>
        <x14:dataValidation type="list" allowBlank="1" showInputMessage="1" showErrorMessage="1" xr:uid="{00000000-0002-0000-0300-000049230000}">
          <x14:formula1>
            <xm:f>項目!A4:$CTU$917506</xm:f>
          </x14:formula1>
          <xm:sqref>CUD917509:CUD917532</xm:sqref>
        </x14:dataValidation>
        <x14:dataValidation type="list" allowBlank="1" showInputMessage="1" showErrorMessage="1" xr:uid="{00000000-0002-0000-0300-00004A230000}">
          <x14:formula1>
            <xm:f>項目!A4:$DDQ$917506</xm:f>
          </x14:formula1>
          <xm:sqref>DDZ917509:DDZ917532</xm:sqref>
        </x14:dataValidation>
        <x14:dataValidation type="list" allowBlank="1" showInputMessage="1" showErrorMessage="1" xr:uid="{00000000-0002-0000-0300-00004B230000}">
          <x14:formula1>
            <xm:f>項目!A4:$DNM$917506</xm:f>
          </x14:formula1>
          <xm:sqref>DNV917509:DNV917532</xm:sqref>
        </x14:dataValidation>
        <x14:dataValidation type="list" allowBlank="1" showInputMessage="1" showErrorMessage="1" xr:uid="{00000000-0002-0000-0300-00004C230000}">
          <x14:formula1>
            <xm:f>項目!A4:$DXI$917506</xm:f>
          </x14:formula1>
          <xm:sqref>DXR917509:DXR917532</xm:sqref>
        </x14:dataValidation>
        <x14:dataValidation type="list" allowBlank="1" showInputMessage="1" showErrorMessage="1" xr:uid="{00000000-0002-0000-0300-00004D230000}">
          <x14:formula1>
            <xm:f>項目!A4:$EHE$917506</xm:f>
          </x14:formula1>
          <xm:sqref>EHN917509:EHN917532</xm:sqref>
        </x14:dataValidation>
        <x14:dataValidation type="list" allowBlank="1" showInputMessage="1" showErrorMessage="1" xr:uid="{00000000-0002-0000-0300-00004E230000}">
          <x14:formula1>
            <xm:f>項目!A4:$ERA$917506</xm:f>
          </x14:formula1>
          <xm:sqref>ERJ917509:ERJ917532</xm:sqref>
        </x14:dataValidation>
        <x14:dataValidation type="list" allowBlank="1" showInputMessage="1" showErrorMessage="1" xr:uid="{00000000-0002-0000-0300-00004F230000}">
          <x14:formula1>
            <xm:f>項目!A4:$FAW$917506</xm:f>
          </x14:formula1>
          <xm:sqref>FBF917509:FBF917532</xm:sqref>
        </x14:dataValidation>
        <x14:dataValidation type="list" allowBlank="1" showInputMessage="1" showErrorMessage="1" xr:uid="{00000000-0002-0000-0300-000050230000}">
          <x14:formula1>
            <xm:f>項目!A4:$FKS$917506</xm:f>
          </x14:formula1>
          <xm:sqref>FLB917509:FLB917532</xm:sqref>
        </x14:dataValidation>
        <x14:dataValidation type="list" allowBlank="1" showInputMessage="1" showErrorMessage="1" xr:uid="{00000000-0002-0000-0300-000051230000}">
          <x14:formula1>
            <xm:f>項目!A4:$FUO$917506</xm:f>
          </x14:formula1>
          <xm:sqref>FUX917509:FUX917532</xm:sqref>
        </x14:dataValidation>
        <x14:dataValidation type="list" allowBlank="1" showInputMessage="1" showErrorMessage="1" xr:uid="{00000000-0002-0000-0300-000052230000}">
          <x14:formula1>
            <xm:f>項目!A4:$GEK$917506</xm:f>
          </x14:formula1>
          <xm:sqref>GET917509:GET917532</xm:sqref>
        </x14:dataValidation>
        <x14:dataValidation type="list" allowBlank="1" showInputMessage="1" showErrorMessage="1" xr:uid="{00000000-0002-0000-0300-000053230000}">
          <x14:formula1>
            <xm:f>項目!A4:$GOG$917506</xm:f>
          </x14:formula1>
          <xm:sqref>GOP917509:GOP917532</xm:sqref>
        </x14:dataValidation>
        <x14:dataValidation type="list" allowBlank="1" showInputMessage="1" showErrorMessage="1" xr:uid="{00000000-0002-0000-0300-000054230000}">
          <x14:formula1>
            <xm:f>項目!A4:$GYC$917506</xm:f>
          </x14:formula1>
          <xm:sqref>GYL917509:GYL917532</xm:sqref>
        </x14:dataValidation>
        <x14:dataValidation type="list" allowBlank="1" showInputMessage="1" showErrorMessage="1" xr:uid="{00000000-0002-0000-0300-000055230000}">
          <x14:formula1>
            <xm:f>項目!A4:$HHY$917506</xm:f>
          </x14:formula1>
          <xm:sqref>HIH917509:HIH917532</xm:sqref>
        </x14:dataValidation>
        <x14:dataValidation type="list" allowBlank="1" showInputMessage="1" showErrorMessage="1" xr:uid="{00000000-0002-0000-0300-000056230000}">
          <x14:formula1>
            <xm:f>項目!A4:$HRU$917506</xm:f>
          </x14:formula1>
          <xm:sqref>HSD917509:HSD917532</xm:sqref>
        </x14:dataValidation>
        <x14:dataValidation type="list" allowBlank="1" showInputMessage="1" showErrorMessage="1" xr:uid="{00000000-0002-0000-0300-000057230000}">
          <x14:formula1>
            <xm:f>項目!A4:$IBQ$917506</xm:f>
          </x14:formula1>
          <xm:sqref>IBZ917509:IBZ917532</xm:sqref>
        </x14:dataValidation>
        <x14:dataValidation type="list" allowBlank="1" showInputMessage="1" showErrorMessage="1" xr:uid="{00000000-0002-0000-0300-000058230000}">
          <x14:formula1>
            <xm:f>項目!A4:$ILM$917506</xm:f>
          </x14:formula1>
          <xm:sqref>ILV917509:ILV917532</xm:sqref>
        </x14:dataValidation>
        <x14:dataValidation type="list" allowBlank="1" showInputMessage="1" showErrorMessage="1" xr:uid="{00000000-0002-0000-0300-000059230000}">
          <x14:formula1>
            <xm:f>項目!A4:$IVI$917506</xm:f>
          </x14:formula1>
          <xm:sqref>IVR917509:IVR917532</xm:sqref>
        </x14:dataValidation>
        <x14:dataValidation type="list" allowBlank="1" showInputMessage="1" showErrorMessage="1" xr:uid="{00000000-0002-0000-0300-00005A230000}">
          <x14:formula1>
            <xm:f>項目!A4:$JFE$917506</xm:f>
          </x14:formula1>
          <xm:sqref>JFN917509:JFN917532</xm:sqref>
        </x14:dataValidation>
        <x14:dataValidation type="list" allowBlank="1" showInputMessage="1" showErrorMessage="1" xr:uid="{00000000-0002-0000-0300-00005B230000}">
          <x14:formula1>
            <xm:f>項目!A4:$JPA$917506</xm:f>
          </x14:formula1>
          <xm:sqref>JPJ917509:JPJ917532</xm:sqref>
        </x14:dataValidation>
        <x14:dataValidation type="list" allowBlank="1" showInputMessage="1" showErrorMessage="1" xr:uid="{00000000-0002-0000-0300-00005C230000}">
          <x14:formula1>
            <xm:f>項目!A4:$JYW$917506</xm:f>
          </x14:formula1>
          <xm:sqref>JZF917509:JZF917532</xm:sqref>
        </x14:dataValidation>
        <x14:dataValidation type="list" allowBlank="1" showInputMessage="1" showErrorMessage="1" xr:uid="{00000000-0002-0000-0300-00005D230000}">
          <x14:formula1>
            <xm:f>項目!A4:$KIS$917506</xm:f>
          </x14:formula1>
          <xm:sqref>KJB917509:KJB917532</xm:sqref>
        </x14:dataValidation>
        <x14:dataValidation type="list" allowBlank="1" showInputMessage="1" showErrorMessage="1" xr:uid="{00000000-0002-0000-0300-00005E230000}">
          <x14:formula1>
            <xm:f>項目!A4:$KSO$917506</xm:f>
          </x14:formula1>
          <xm:sqref>KSX917509:KSX917532</xm:sqref>
        </x14:dataValidation>
        <x14:dataValidation type="list" allowBlank="1" showInputMessage="1" showErrorMessage="1" xr:uid="{00000000-0002-0000-0300-00005F230000}">
          <x14:formula1>
            <xm:f>項目!A4:$LCK$917506</xm:f>
          </x14:formula1>
          <xm:sqref>LCT917509:LCT917532</xm:sqref>
        </x14:dataValidation>
        <x14:dataValidation type="list" allowBlank="1" showInputMessage="1" showErrorMessage="1" xr:uid="{00000000-0002-0000-0300-000060230000}">
          <x14:formula1>
            <xm:f>項目!A4:$LMG$917506</xm:f>
          </x14:formula1>
          <xm:sqref>LMP917509:LMP917532</xm:sqref>
        </x14:dataValidation>
        <x14:dataValidation type="list" allowBlank="1" showInputMessage="1" showErrorMessage="1" xr:uid="{00000000-0002-0000-0300-000061230000}">
          <x14:formula1>
            <xm:f>項目!A4:$LWC$917506</xm:f>
          </x14:formula1>
          <xm:sqref>LWL917509:LWL917532</xm:sqref>
        </x14:dataValidation>
        <x14:dataValidation type="list" allowBlank="1" showInputMessage="1" showErrorMessage="1" xr:uid="{00000000-0002-0000-0300-000062230000}">
          <x14:formula1>
            <xm:f>項目!A4:$MFY$917506</xm:f>
          </x14:formula1>
          <xm:sqref>MGH917509:MGH917532</xm:sqref>
        </x14:dataValidation>
        <x14:dataValidation type="list" allowBlank="1" showInputMessage="1" showErrorMessage="1" xr:uid="{00000000-0002-0000-0300-000063230000}">
          <x14:formula1>
            <xm:f>項目!A4:$MPU$917506</xm:f>
          </x14:formula1>
          <xm:sqref>MQD917509:MQD917532</xm:sqref>
        </x14:dataValidation>
        <x14:dataValidation type="list" allowBlank="1" showInputMessage="1" showErrorMessage="1" xr:uid="{00000000-0002-0000-0300-000064230000}">
          <x14:formula1>
            <xm:f>項目!A4:$MZQ$917506</xm:f>
          </x14:formula1>
          <xm:sqref>MZZ917509:MZZ917532</xm:sqref>
        </x14:dataValidation>
        <x14:dataValidation type="list" allowBlank="1" showInputMessage="1" showErrorMessage="1" xr:uid="{00000000-0002-0000-0300-000065230000}">
          <x14:formula1>
            <xm:f>項目!A4:$NJM$917506</xm:f>
          </x14:formula1>
          <xm:sqref>NJV917509:NJV917532</xm:sqref>
        </x14:dataValidation>
        <x14:dataValidation type="list" allowBlank="1" showInputMessage="1" showErrorMessage="1" xr:uid="{00000000-0002-0000-0300-000066230000}">
          <x14:formula1>
            <xm:f>項目!A4:$NTI$917506</xm:f>
          </x14:formula1>
          <xm:sqref>NTR917509:NTR917532</xm:sqref>
        </x14:dataValidation>
        <x14:dataValidation type="list" allowBlank="1" showInputMessage="1" showErrorMessage="1" xr:uid="{00000000-0002-0000-0300-000067230000}">
          <x14:formula1>
            <xm:f>項目!A4:$ODE$917506</xm:f>
          </x14:formula1>
          <xm:sqref>ODN917509:ODN917532</xm:sqref>
        </x14:dataValidation>
        <x14:dataValidation type="list" allowBlank="1" showInputMessage="1" showErrorMessage="1" xr:uid="{00000000-0002-0000-0300-000068230000}">
          <x14:formula1>
            <xm:f>項目!A4:$ONA$917506</xm:f>
          </x14:formula1>
          <xm:sqref>ONJ917509:ONJ917532</xm:sqref>
        </x14:dataValidation>
        <x14:dataValidation type="list" allowBlank="1" showInputMessage="1" showErrorMessage="1" xr:uid="{00000000-0002-0000-0300-000069230000}">
          <x14:formula1>
            <xm:f>項目!A4:$OWW$917506</xm:f>
          </x14:formula1>
          <xm:sqref>OXF917509:OXF917532</xm:sqref>
        </x14:dataValidation>
        <x14:dataValidation type="list" allowBlank="1" showInputMessage="1" showErrorMessage="1" xr:uid="{00000000-0002-0000-0300-00006A230000}">
          <x14:formula1>
            <xm:f>項目!A4:$PGS$917506</xm:f>
          </x14:formula1>
          <xm:sqref>PHB917509:PHB917532</xm:sqref>
        </x14:dataValidation>
        <x14:dataValidation type="list" allowBlank="1" showInputMessage="1" showErrorMessage="1" xr:uid="{00000000-0002-0000-0300-00006B230000}">
          <x14:formula1>
            <xm:f>項目!A4:$PQO$917506</xm:f>
          </x14:formula1>
          <xm:sqref>PQX917509:PQX917532</xm:sqref>
        </x14:dataValidation>
        <x14:dataValidation type="list" allowBlank="1" showInputMessage="1" showErrorMessage="1" xr:uid="{00000000-0002-0000-0300-00006C230000}">
          <x14:formula1>
            <xm:f>項目!A4:$QAK$917506</xm:f>
          </x14:formula1>
          <xm:sqref>QAT917509:QAT917532</xm:sqref>
        </x14:dataValidation>
        <x14:dataValidation type="list" allowBlank="1" showInputMessage="1" showErrorMessage="1" xr:uid="{00000000-0002-0000-0300-00006D230000}">
          <x14:formula1>
            <xm:f>項目!A4:$QKG$917506</xm:f>
          </x14:formula1>
          <xm:sqref>QKP917509:QKP917532</xm:sqref>
        </x14:dataValidation>
        <x14:dataValidation type="list" allowBlank="1" showInputMessage="1" showErrorMessage="1" xr:uid="{00000000-0002-0000-0300-00006E230000}">
          <x14:formula1>
            <xm:f>項目!A4:$QUC$917506</xm:f>
          </x14:formula1>
          <xm:sqref>QUL917509:QUL917532</xm:sqref>
        </x14:dataValidation>
        <x14:dataValidation type="list" allowBlank="1" showInputMessage="1" showErrorMessage="1" xr:uid="{00000000-0002-0000-0300-00006F230000}">
          <x14:formula1>
            <xm:f>項目!A4:$RDY$917506</xm:f>
          </x14:formula1>
          <xm:sqref>REH917509:REH917532</xm:sqref>
        </x14:dataValidation>
        <x14:dataValidation type="list" allowBlank="1" showInputMessage="1" showErrorMessage="1" xr:uid="{00000000-0002-0000-0300-000070230000}">
          <x14:formula1>
            <xm:f>項目!A4:$RNU$917506</xm:f>
          </x14:formula1>
          <xm:sqref>ROD917509:ROD917532</xm:sqref>
        </x14:dataValidation>
        <x14:dataValidation type="list" allowBlank="1" showInputMessage="1" showErrorMessage="1" xr:uid="{00000000-0002-0000-0300-000071230000}">
          <x14:formula1>
            <xm:f>項目!A4:$RXQ$917506</xm:f>
          </x14:formula1>
          <xm:sqref>RXZ917509:RXZ917532</xm:sqref>
        </x14:dataValidation>
        <x14:dataValidation type="list" allowBlank="1" showInputMessage="1" showErrorMessage="1" xr:uid="{00000000-0002-0000-0300-000072230000}">
          <x14:formula1>
            <xm:f>項目!A4:$SHM$917506</xm:f>
          </x14:formula1>
          <xm:sqref>SHV917509:SHV917532</xm:sqref>
        </x14:dataValidation>
        <x14:dataValidation type="list" allowBlank="1" showInputMessage="1" showErrorMessage="1" xr:uid="{00000000-0002-0000-0300-000073230000}">
          <x14:formula1>
            <xm:f>項目!A4:$SRI$917506</xm:f>
          </x14:formula1>
          <xm:sqref>SRR917509:SRR917532</xm:sqref>
        </x14:dataValidation>
        <x14:dataValidation type="list" allowBlank="1" showInputMessage="1" showErrorMessage="1" xr:uid="{00000000-0002-0000-0300-000074230000}">
          <x14:formula1>
            <xm:f>項目!A4:$TBE$917506</xm:f>
          </x14:formula1>
          <xm:sqref>TBN917509:TBN917532</xm:sqref>
        </x14:dataValidation>
        <x14:dataValidation type="list" allowBlank="1" showInputMessage="1" showErrorMessage="1" xr:uid="{00000000-0002-0000-0300-000075230000}">
          <x14:formula1>
            <xm:f>項目!A4:$TLA$917506</xm:f>
          </x14:formula1>
          <xm:sqref>TLJ917509:TLJ917532</xm:sqref>
        </x14:dataValidation>
        <x14:dataValidation type="list" allowBlank="1" showInputMessage="1" showErrorMessage="1" xr:uid="{00000000-0002-0000-0300-000076230000}">
          <x14:formula1>
            <xm:f>項目!A4:$TUW$917506</xm:f>
          </x14:formula1>
          <xm:sqref>TVF917509:TVF917532</xm:sqref>
        </x14:dataValidation>
        <x14:dataValidation type="list" allowBlank="1" showInputMessage="1" showErrorMessage="1" xr:uid="{00000000-0002-0000-0300-000077230000}">
          <x14:formula1>
            <xm:f>項目!A4:$UES$917506</xm:f>
          </x14:formula1>
          <xm:sqref>UFB917509:UFB917532</xm:sqref>
        </x14:dataValidation>
        <x14:dataValidation type="list" allowBlank="1" showInputMessage="1" showErrorMessage="1" xr:uid="{00000000-0002-0000-0300-000078230000}">
          <x14:formula1>
            <xm:f>項目!A4:$UOO$917506</xm:f>
          </x14:formula1>
          <xm:sqref>UOX917509:UOX917532</xm:sqref>
        </x14:dataValidation>
        <x14:dataValidation type="list" allowBlank="1" showInputMessage="1" showErrorMessage="1" xr:uid="{00000000-0002-0000-0300-000079230000}">
          <x14:formula1>
            <xm:f>項目!A4:$UYK$917506</xm:f>
          </x14:formula1>
          <xm:sqref>UYT917509:UYT917532</xm:sqref>
        </x14:dataValidation>
        <x14:dataValidation type="list" allowBlank="1" showInputMessage="1" showErrorMessage="1" xr:uid="{00000000-0002-0000-0300-00007A230000}">
          <x14:formula1>
            <xm:f>項目!A4:$VIG$917506</xm:f>
          </x14:formula1>
          <xm:sqref>VIP917509:VIP917532</xm:sqref>
        </x14:dataValidation>
        <x14:dataValidation type="list" allowBlank="1" showInputMessage="1" showErrorMessage="1" xr:uid="{00000000-0002-0000-0300-00007B230000}">
          <x14:formula1>
            <xm:f>項目!A4:$VSC$917506</xm:f>
          </x14:formula1>
          <xm:sqref>VSL917509:VSL917532</xm:sqref>
        </x14:dataValidation>
        <x14:dataValidation type="list" allowBlank="1" showInputMessage="1" showErrorMessage="1" xr:uid="{00000000-0002-0000-0300-00007C230000}">
          <x14:formula1>
            <xm:f>項目!A4:$WBY$917506</xm:f>
          </x14:formula1>
          <xm:sqref>WCH917509:WCH917532</xm:sqref>
        </x14:dataValidation>
        <x14:dataValidation type="list" allowBlank="1" showInputMessage="1" showErrorMessage="1" xr:uid="{00000000-0002-0000-0300-00007D230000}">
          <x14:formula1>
            <xm:f>項目!A4:$WLU$917506</xm:f>
          </x14:formula1>
          <xm:sqref>WMD917509:WMD917532</xm:sqref>
        </x14:dataValidation>
        <x14:dataValidation type="list" allowBlank="1" showInputMessage="1" showErrorMessage="1" xr:uid="{00000000-0002-0000-0300-00007E230000}">
          <x14:formula1>
            <xm:f>項目!A4:$WVQ$917506</xm:f>
          </x14:formula1>
          <xm:sqref>WVZ917509:WVZ917532</xm:sqref>
        </x14:dataValidation>
        <x14:dataValidation type="list" allowBlank="1" showInputMessage="1" showErrorMessage="1" xr:uid="{00000000-0002-0000-0300-00007F230000}">
          <x14:formula1>
            <xm:f>項目!A4:$K$983042</xm:f>
          </x14:formula1>
          <xm:sqref>R983045:R983068</xm:sqref>
        </x14:dataValidation>
        <x14:dataValidation type="list" allowBlank="1" showInputMessage="1" showErrorMessage="1" xr:uid="{00000000-0002-0000-0300-000080230000}">
          <x14:formula1>
            <xm:f>項目!A4:$JE$983042</xm:f>
          </x14:formula1>
          <xm:sqref>JN983045:JN983068</xm:sqref>
        </x14:dataValidation>
        <x14:dataValidation type="list" allowBlank="1" showInputMessage="1" showErrorMessage="1" xr:uid="{00000000-0002-0000-0300-000081230000}">
          <x14:formula1>
            <xm:f>項目!A4:$TA$983042</xm:f>
          </x14:formula1>
          <xm:sqref>TJ983045:TJ983068</xm:sqref>
        </x14:dataValidation>
        <x14:dataValidation type="list" allowBlank="1" showInputMessage="1" showErrorMessage="1" xr:uid="{00000000-0002-0000-0300-000082230000}">
          <x14:formula1>
            <xm:f>項目!A4:$ACW$983042</xm:f>
          </x14:formula1>
          <xm:sqref>ADF983045:ADF983068</xm:sqref>
        </x14:dataValidation>
        <x14:dataValidation type="list" allowBlank="1" showInputMessage="1" showErrorMessage="1" xr:uid="{00000000-0002-0000-0300-000083230000}">
          <x14:formula1>
            <xm:f>項目!A4:$AMS$983042</xm:f>
          </x14:formula1>
          <xm:sqref>ANB983045:ANB983068</xm:sqref>
        </x14:dataValidation>
        <x14:dataValidation type="list" allowBlank="1" showInputMessage="1" showErrorMessage="1" xr:uid="{00000000-0002-0000-0300-000084230000}">
          <x14:formula1>
            <xm:f>項目!A4:$AWO$983042</xm:f>
          </x14:formula1>
          <xm:sqref>AWX983045:AWX983068</xm:sqref>
        </x14:dataValidation>
        <x14:dataValidation type="list" allowBlank="1" showInputMessage="1" showErrorMessage="1" xr:uid="{00000000-0002-0000-0300-000085230000}">
          <x14:formula1>
            <xm:f>項目!A4:$BGK$983042</xm:f>
          </x14:formula1>
          <xm:sqref>BGT983045:BGT983068</xm:sqref>
        </x14:dataValidation>
        <x14:dataValidation type="list" allowBlank="1" showInputMessage="1" showErrorMessage="1" xr:uid="{00000000-0002-0000-0300-000086230000}">
          <x14:formula1>
            <xm:f>項目!A4:$BQG$983042</xm:f>
          </x14:formula1>
          <xm:sqref>BQP983045:BQP983068</xm:sqref>
        </x14:dataValidation>
        <x14:dataValidation type="list" allowBlank="1" showInputMessage="1" showErrorMessage="1" xr:uid="{00000000-0002-0000-0300-000087230000}">
          <x14:formula1>
            <xm:f>項目!A4:$CAC$983042</xm:f>
          </x14:formula1>
          <xm:sqref>CAL983045:CAL983068</xm:sqref>
        </x14:dataValidation>
        <x14:dataValidation type="list" allowBlank="1" showInputMessage="1" showErrorMessage="1" xr:uid="{00000000-0002-0000-0300-000088230000}">
          <x14:formula1>
            <xm:f>項目!A4:$CJY$983042</xm:f>
          </x14:formula1>
          <xm:sqref>CKH983045:CKH983068</xm:sqref>
        </x14:dataValidation>
        <x14:dataValidation type="list" allowBlank="1" showInputMessage="1" showErrorMessage="1" xr:uid="{00000000-0002-0000-0300-000089230000}">
          <x14:formula1>
            <xm:f>項目!A4:$CTU$983042</xm:f>
          </x14:formula1>
          <xm:sqref>CUD983045:CUD983068</xm:sqref>
        </x14:dataValidation>
        <x14:dataValidation type="list" allowBlank="1" showInputMessage="1" showErrorMessage="1" xr:uid="{00000000-0002-0000-0300-00008A230000}">
          <x14:formula1>
            <xm:f>項目!A4:$DDQ$983042</xm:f>
          </x14:formula1>
          <xm:sqref>DDZ983045:DDZ983068</xm:sqref>
        </x14:dataValidation>
        <x14:dataValidation type="list" allowBlank="1" showInputMessage="1" showErrorMessage="1" xr:uid="{00000000-0002-0000-0300-00008B230000}">
          <x14:formula1>
            <xm:f>項目!A4:$DNM$983042</xm:f>
          </x14:formula1>
          <xm:sqref>DNV983045:DNV983068</xm:sqref>
        </x14:dataValidation>
        <x14:dataValidation type="list" allowBlank="1" showInputMessage="1" showErrorMessage="1" xr:uid="{00000000-0002-0000-0300-00008C230000}">
          <x14:formula1>
            <xm:f>項目!A4:$DXI$983042</xm:f>
          </x14:formula1>
          <xm:sqref>DXR983045:DXR983068</xm:sqref>
        </x14:dataValidation>
        <x14:dataValidation type="list" allowBlank="1" showInputMessage="1" showErrorMessage="1" xr:uid="{00000000-0002-0000-0300-00008D230000}">
          <x14:formula1>
            <xm:f>項目!A4:$EHE$983042</xm:f>
          </x14:formula1>
          <xm:sqref>EHN983045:EHN983068</xm:sqref>
        </x14:dataValidation>
        <x14:dataValidation type="list" allowBlank="1" showInputMessage="1" showErrorMessage="1" xr:uid="{00000000-0002-0000-0300-00008E230000}">
          <x14:formula1>
            <xm:f>項目!A4:$ERA$983042</xm:f>
          </x14:formula1>
          <xm:sqref>ERJ983045:ERJ983068</xm:sqref>
        </x14:dataValidation>
        <x14:dataValidation type="list" allowBlank="1" showInputMessage="1" showErrorMessage="1" xr:uid="{00000000-0002-0000-0300-00008F230000}">
          <x14:formula1>
            <xm:f>項目!A4:$FAW$983042</xm:f>
          </x14:formula1>
          <xm:sqref>FBF983045:FBF983068</xm:sqref>
        </x14:dataValidation>
        <x14:dataValidation type="list" allowBlank="1" showInputMessage="1" showErrorMessage="1" xr:uid="{00000000-0002-0000-0300-000090230000}">
          <x14:formula1>
            <xm:f>項目!A4:$FKS$983042</xm:f>
          </x14:formula1>
          <xm:sqref>FLB983045:FLB983068</xm:sqref>
        </x14:dataValidation>
        <x14:dataValidation type="list" allowBlank="1" showInputMessage="1" showErrorMessage="1" xr:uid="{00000000-0002-0000-0300-000091230000}">
          <x14:formula1>
            <xm:f>項目!A4:$FUO$983042</xm:f>
          </x14:formula1>
          <xm:sqref>FUX983045:FUX983068</xm:sqref>
        </x14:dataValidation>
        <x14:dataValidation type="list" allowBlank="1" showInputMessage="1" showErrorMessage="1" xr:uid="{00000000-0002-0000-0300-000092230000}">
          <x14:formula1>
            <xm:f>項目!A4:$GEK$983042</xm:f>
          </x14:formula1>
          <xm:sqref>GET983045:GET983068</xm:sqref>
        </x14:dataValidation>
        <x14:dataValidation type="list" allowBlank="1" showInputMessage="1" showErrorMessage="1" xr:uid="{00000000-0002-0000-0300-000093230000}">
          <x14:formula1>
            <xm:f>項目!A4:$GOG$983042</xm:f>
          </x14:formula1>
          <xm:sqref>GOP983045:GOP983068</xm:sqref>
        </x14:dataValidation>
        <x14:dataValidation type="list" allowBlank="1" showInputMessage="1" showErrorMessage="1" xr:uid="{00000000-0002-0000-0300-000094230000}">
          <x14:formula1>
            <xm:f>項目!A4:$GYC$983042</xm:f>
          </x14:formula1>
          <xm:sqref>GYL983045:GYL983068</xm:sqref>
        </x14:dataValidation>
        <x14:dataValidation type="list" allowBlank="1" showInputMessage="1" showErrorMessage="1" xr:uid="{00000000-0002-0000-0300-000095230000}">
          <x14:formula1>
            <xm:f>項目!A4:$HHY$983042</xm:f>
          </x14:formula1>
          <xm:sqref>HIH983045:HIH983068</xm:sqref>
        </x14:dataValidation>
        <x14:dataValidation type="list" allowBlank="1" showInputMessage="1" showErrorMessage="1" xr:uid="{00000000-0002-0000-0300-000096230000}">
          <x14:formula1>
            <xm:f>項目!A4:$HRU$983042</xm:f>
          </x14:formula1>
          <xm:sqref>HSD983045:HSD983068</xm:sqref>
        </x14:dataValidation>
        <x14:dataValidation type="list" allowBlank="1" showInputMessage="1" showErrorMessage="1" xr:uid="{00000000-0002-0000-0300-000097230000}">
          <x14:formula1>
            <xm:f>項目!A4:$IBQ$983042</xm:f>
          </x14:formula1>
          <xm:sqref>IBZ983045:IBZ983068</xm:sqref>
        </x14:dataValidation>
        <x14:dataValidation type="list" allowBlank="1" showInputMessage="1" showErrorMessage="1" xr:uid="{00000000-0002-0000-0300-000098230000}">
          <x14:formula1>
            <xm:f>項目!A4:$ILM$983042</xm:f>
          </x14:formula1>
          <xm:sqref>ILV983045:ILV983068</xm:sqref>
        </x14:dataValidation>
        <x14:dataValidation type="list" allowBlank="1" showInputMessage="1" showErrorMessage="1" xr:uid="{00000000-0002-0000-0300-000099230000}">
          <x14:formula1>
            <xm:f>項目!A4:$IVI$983042</xm:f>
          </x14:formula1>
          <xm:sqref>IVR983045:IVR983068</xm:sqref>
        </x14:dataValidation>
        <x14:dataValidation type="list" allowBlank="1" showInputMessage="1" showErrorMessage="1" xr:uid="{00000000-0002-0000-0300-00009A230000}">
          <x14:formula1>
            <xm:f>項目!A4:$JFE$983042</xm:f>
          </x14:formula1>
          <xm:sqref>JFN983045:JFN983068</xm:sqref>
        </x14:dataValidation>
        <x14:dataValidation type="list" allowBlank="1" showInputMessage="1" showErrorMessage="1" xr:uid="{00000000-0002-0000-0300-00009B230000}">
          <x14:formula1>
            <xm:f>項目!A4:$JPA$983042</xm:f>
          </x14:formula1>
          <xm:sqref>JPJ983045:JPJ983068</xm:sqref>
        </x14:dataValidation>
        <x14:dataValidation type="list" allowBlank="1" showInputMessage="1" showErrorMessage="1" xr:uid="{00000000-0002-0000-0300-00009C230000}">
          <x14:formula1>
            <xm:f>項目!A4:$JYW$983042</xm:f>
          </x14:formula1>
          <xm:sqref>JZF983045:JZF983068</xm:sqref>
        </x14:dataValidation>
        <x14:dataValidation type="list" allowBlank="1" showInputMessage="1" showErrorMessage="1" xr:uid="{00000000-0002-0000-0300-00009D230000}">
          <x14:formula1>
            <xm:f>項目!A4:$KIS$983042</xm:f>
          </x14:formula1>
          <xm:sqref>KJB983045:KJB983068</xm:sqref>
        </x14:dataValidation>
        <x14:dataValidation type="list" allowBlank="1" showInputMessage="1" showErrorMessage="1" xr:uid="{00000000-0002-0000-0300-00009E230000}">
          <x14:formula1>
            <xm:f>項目!A4:$KSO$983042</xm:f>
          </x14:formula1>
          <xm:sqref>KSX983045:KSX983068</xm:sqref>
        </x14:dataValidation>
        <x14:dataValidation type="list" allowBlank="1" showInputMessage="1" showErrorMessage="1" xr:uid="{00000000-0002-0000-0300-00009F230000}">
          <x14:formula1>
            <xm:f>項目!A4:$LCK$983042</xm:f>
          </x14:formula1>
          <xm:sqref>LCT983045:LCT983068</xm:sqref>
        </x14:dataValidation>
        <x14:dataValidation type="list" allowBlank="1" showInputMessage="1" showErrorMessage="1" xr:uid="{00000000-0002-0000-0300-0000A0230000}">
          <x14:formula1>
            <xm:f>項目!A4:$LMG$983042</xm:f>
          </x14:formula1>
          <xm:sqref>LMP983045:LMP983068</xm:sqref>
        </x14:dataValidation>
        <x14:dataValidation type="list" allowBlank="1" showInputMessage="1" showErrorMessage="1" xr:uid="{00000000-0002-0000-0300-0000A1230000}">
          <x14:formula1>
            <xm:f>項目!A4:$LWC$983042</xm:f>
          </x14:formula1>
          <xm:sqref>LWL983045:LWL983068</xm:sqref>
        </x14:dataValidation>
        <x14:dataValidation type="list" allowBlank="1" showInputMessage="1" showErrorMessage="1" xr:uid="{00000000-0002-0000-0300-0000A2230000}">
          <x14:formula1>
            <xm:f>項目!A4:$MFY$983042</xm:f>
          </x14:formula1>
          <xm:sqref>MGH983045:MGH983068</xm:sqref>
        </x14:dataValidation>
        <x14:dataValidation type="list" allowBlank="1" showInputMessage="1" showErrorMessage="1" xr:uid="{00000000-0002-0000-0300-0000A3230000}">
          <x14:formula1>
            <xm:f>項目!A4:$MPU$983042</xm:f>
          </x14:formula1>
          <xm:sqref>MQD983045:MQD983068</xm:sqref>
        </x14:dataValidation>
        <x14:dataValidation type="list" allowBlank="1" showInputMessage="1" showErrorMessage="1" xr:uid="{00000000-0002-0000-0300-0000A4230000}">
          <x14:formula1>
            <xm:f>項目!A4:$MZQ$983042</xm:f>
          </x14:formula1>
          <xm:sqref>MZZ983045:MZZ983068</xm:sqref>
        </x14:dataValidation>
        <x14:dataValidation type="list" allowBlank="1" showInputMessage="1" showErrorMessage="1" xr:uid="{00000000-0002-0000-0300-0000A5230000}">
          <x14:formula1>
            <xm:f>項目!A4:$NJM$983042</xm:f>
          </x14:formula1>
          <xm:sqref>NJV983045:NJV983068</xm:sqref>
        </x14:dataValidation>
        <x14:dataValidation type="list" allowBlank="1" showInputMessage="1" showErrorMessage="1" xr:uid="{00000000-0002-0000-0300-0000A6230000}">
          <x14:formula1>
            <xm:f>項目!A4:$NTI$983042</xm:f>
          </x14:formula1>
          <xm:sqref>NTR983045:NTR983068</xm:sqref>
        </x14:dataValidation>
        <x14:dataValidation type="list" allowBlank="1" showInputMessage="1" showErrorMessage="1" xr:uid="{00000000-0002-0000-0300-0000A7230000}">
          <x14:formula1>
            <xm:f>項目!A4:$ODE$983042</xm:f>
          </x14:formula1>
          <xm:sqref>ODN983045:ODN983068</xm:sqref>
        </x14:dataValidation>
        <x14:dataValidation type="list" allowBlank="1" showInputMessage="1" showErrorMessage="1" xr:uid="{00000000-0002-0000-0300-0000A8230000}">
          <x14:formula1>
            <xm:f>項目!A4:$ONA$983042</xm:f>
          </x14:formula1>
          <xm:sqref>ONJ983045:ONJ983068</xm:sqref>
        </x14:dataValidation>
        <x14:dataValidation type="list" allowBlank="1" showInputMessage="1" showErrorMessage="1" xr:uid="{00000000-0002-0000-0300-0000A9230000}">
          <x14:formula1>
            <xm:f>項目!A4:$OWW$983042</xm:f>
          </x14:formula1>
          <xm:sqref>OXF983045:OXF983068</xm:sqref>
        </x14:dataValidation>
        <x14:dataValidation type="list" allowBlank="1" showInputMessage="1" showErrorMessage="1" xr:uid="{00000000-0002-0000-0300-0000AA230000}">
          <x14:formula1>
            <xm:f>項目!A4:$PGS$983042</xm:f>
          </x14:formula1>
          <xm:sqref>PHB983045:PHB983068</xm:sqref>
        </x14:dataValidation>
        <x14:dataValidation type="list" allowBlank="1" showInputMessage="1" showErrorMessage="1" xr:uid="{00000000-0002-0000-0300-0000AB230000}">
          <x14:formula1>
            <xm:f>項目!A4:$PQO$983042</xm:f>
          </x14:formula1>
          <xm:sqref>PQX983045:PQX983068</xm:sqref>
        </x14:dataValidation>
        <x14:dataValidation type="list" allowBlank="1" showInputMessage="1" showErrorMessage="1" xr:uid="{00000000-0002-0000-0300-0000AC230000}">
          <x14:formula1>
            <xm:f>項目!A4:$QAK$983042</xm:f>
          </x14:formula1>
          <xm:sqref>QAT983045:QAT983068</xm:sqref>
        </x14:dataValidation>
        <x14:dataValidation type="list" allowBlank="1" showInputMessage="1" showErrorMessage="1" xr:uid="{00000000-0002-0000-0300-0000AD230000}">
          <x14:formula1>
            <xm:f>項目!A4:$QKG$983042</xm:f>
          </x14:formula1>
          <xm:sqref>QKP983045:QKP983068</xm:sqref>
        </x14:dataValidation>
        <x14:dataValidation type="list" allowBlank="1" showInputMessage="1" showErrorMessage="1" xr:uid="{00000000-0002-0000-0300-0000AE230000}">
          <x14:formula1>
            <xm:f>項目!A4:$QUC$983042</xm:f>
          </x14:formula1>
          <xm:sqref>QUL983045:QUL983068</xm:sqref>
        </x14:dataValidation>
        <x14:dataValidation type="list" allowBlank="1" showInputMessage="1" showErrorMessage="1" xr:uid="{00000000-0002-0000-0300-0000AF230000}">
          <x14:formula1>
            <xm:f>項目!A4:$RDY$983042</xm:f>
          </x14:formula1>
          <xm:sqref>REH983045:REH983068</xm:sqref>
        </x14:dataValidation>
        <x14:dataValidation type="list" allowBlank="1" showInputMessage="1" showErrorMessage="1" xr:uid="{00000000-0002-0000-0300-0000B0230000}">
          <x14:formula1>
            <xm:f>項目!A4:$RNU$983042</xm:f>
          </x14:formula1>
          <xm:sqref>ROD983045:ROD983068</xm:sqref>
        </x14:dataValidation>
        <x14:dataValidation type="list" allowBlank="1" showInputMessage="1" showErrorMessage="1" xr:uid="{00000000-0002-0000-0300-0000B1230000}">
          <x14:formula1>
            <xm:f>項目!A4:$RXQ$983042</xm:f>
          </x14:formula1>
          <xm:sqref>RXZ983045:RXZ983068</xm:sqref>
        </x14:dataValidation>
        <x14:dataValidation type="list" allowBlank="1" showInputMessage="1" showErrorMessage="1" xr:uid="{00000000-0002-0000-0300-0000B2230000}">
          <x14:formula1>
            <xm:f>項目!A4:$SHM$983042</xm:f>
          </x14:formula1>
          <xm:sqref>SHV983045:SHV983068</xm:sqref>
        </x14:dataValidation>
        <x14:dataValidation type="list" allowBlank="1" showInputMessage="1" showErrorMessage="1" xr:uid="{00000000-0002-0000-0300-0000B3230000}">
          <x14:formula1>
            <xm:f>項目!A4:$SRI$983042</xm:f>
          </x14:formula1>
          <xm:sqref>SRR983045:SRR983068</xm:sqref>
        </x14:dataValidation>
        <x14:dataValidation type="list" allowBlank="1" showInputMessage="1" showErrorMessage="1" xr:uid="{00000000-0002-0000-0300-0000B4230000}">
          <x14:formula1>
            <xm:f>項目!A4:$TBE$983042</xm:f>
          </x14:formula1>
          <xm:sqref>TBN983045:TBN983068</xm:sqref>
        </x14:dataValidation>
        <x14:dataValidation type="list" allowBlank="1" showInputMessage="1" showErrorMessage="1" xr:uid="{00000000-0002-0000-0300-0000B5230000}">
          <x14:formula1>
            <xm:f>項目!A4:$TLA$983042</xm:f>
          </x14:formula1>
          <xm:sqref>TLJ983045:TLJ983068</xm:sqref>
        </x14:dataValidation>
        <x14:dataValidation type="list" allowBlank="1" showInputMessage="1" showErrorMessage="1" xr:uid="{00000000-0002-0000-0300-0000B6230000}">
          <x14:formula1>
            <xm:f>項目!A4:$TUW$983042</xm:f>
          </x14:formula1>
          <xm:sqref>TVF983045:TVF983068</xm:sqref>
        </x14:dataValidation>
        <x14:dataValidation type="list" allowBlank="1" showInputMessage="1" showErrorMessage="1" xr:uid="{00000000-0002-0000-0300-0000B7230000}">
          <x14:formula1>
            <xm:f>項目!A4:$UES$983042</xm:f>
          </x14:formula1>
          <xm:sqref>UFB983045:UFB983068</xm:sqref>
        </x14:dataValidation>
        <x14:dataValidation type="list" allowBlank="1" showInputMessage="1" showErrorMessage="1" xr:uid="{00000000-0002-0000-0300-0000B8230000}">
          <x14:formula1>
            <xm:f>項目!A4:$UOO$983042</xm:f>
          </x14:formula1>
          <xm:sqref>UOX983045:UOX983068</xm:sqref>
        </x14:dataValidation>
        <x14:dataValidation type="list" allowBlank="1" showInputMessage="1" showErrorMessage="1" xr:uid="{00000000-0002-0000-0300-0000B9230000}">
          <x14:formula1>
            <xm:f>項目!A4:$UYK$983042</xm:f>
          </x14:formula1>
          <xm:sqref>UYT983045:UYT983068</xm:sqref>
        </x14:dataValidation>
        <x14:dataValidation type="list" allowBlank="1" showInputMessage="1" showErrorMessage="1" xr:uid="{00000000-0002-0000-0300-0000BA230000}">
          <x14:formula1>
            <xm:f>項目!A4:$VIG$983042</xm:f>
          </x14:formula1>
          <xm:sqref>VIP983045:VIP983068</xm:sqref>
        </x14:dataValidation>
        <x14:dataValidation type="list" allowBlank="1" showInputMessage="1" showErrorMessage="1" xr:uid="{00000000-0002-0000-0300-0000BB230000}">
          <x14:formula1>
            <xm:f>項目!A4:$VSC$983042</xm:f>
          </x14:formula1>
          <xm:sqref>VSL983045:VSL983068</xm:sqref>
        </x14:dataValidation>
        <x14:dataValidation type="list" allowBlank="1" showInputMessage="1" showErrorMessage="1" xr:uid="{00000000-0002-0000-0300-0000BC230000}">
          <x14:formula1>
            <xm:f>項目!A4:$WBY$983042</xm:f>
          </x14:formula1>
          <xm:sqref>WCH983045:WCH983068</xm:sqref>
        </x14:dataValidation>
        <x14:dataValidation type="list" allowBlank="1" showInputMessage="1" showErrorMessage="1" xr:uid="{00000000-0002-0000-0300-0000BD230000}">
          <x14:formula1>
            <xm:f>項目!A4:$WLU$983042</xm:f>
          </x14:formula1>
          <xm:sqref>WMD983045:WMD983068</xm:sqref>
        </x14:dataValidation>
        <x14:dataValidation type="list" allowBlank="1" showInputMessage="1" showErrorMessage="1" xr:uid="{00000000-0002-0000-0300-0000BE230000}">
          <x14:formula1>
            <xm:f>項目!A4:$WVQ$983042</xm:f>
          </x14:formula1>
          <xm:sqref>WVZ983045:WVZ983068</xm:sqref>
        </x14:dataValidation>
        <x14:dataValidation type="list" allowBlank="1" showInputMessage="1" showErrorMessage="1" xr:uid="{00000000-0002-0000-0300-0000BF230000}">
          <x14:formula1>
            <xm:f>項目!A2:$ACK$4</xm:f>
          </x14:formula1>
          <xm:sqref>ACT5:ACT28</xm:sqref>
        </x14:dataValidation>
        <x14:dataValidation type="list" allowBlank="1" showInputMessage="1" showErrorMessage="1" xr:uid="{00000000-0002-0000-0300-0000C0230000}">
          <x14:formula1>
            <xm:f>項目!A2:$JI$4</xm:f>
          </x14:formula1>
          <xm:sqref>JR5:JR28</xm:sqref>
        </x14:dataValidation>
        <x14:dataValidation type="list" allowBlank="1" showInputMessage="1" showErrorMessage="1" xr:uid="{00000000-0002-0000-0300-0000C1230000}">
          <x14:formula1>
            <xm:f>項目!A2:$TE$4</xm:f>
          </x14:formula1>
          <xm:sqref>TN5:TN28</xm:sqref>
        </x14:dataValidation>
        <x14:dataValidation type="list" allowBlank="1" showInputMessage="1" showErrorMessage="1" xr:uid="{00000000-0002-0000-0300-0000C2230000}">
          <x14:formula1>
            <xm:f>項目!A2:$ADA$4</xm:f>
          </x14:formula1>
          <xm:sqref>ADJ5:ADJ28</xm:sqref>
        </x14:dataValidation>
        <x14:dataValidation type="list" allowBlank="1" showInputMessage="1" showErrorMessage="1" xr:uid="{00000000-0002-0000-0300-0000C3230000}">
          <x14:formula1>
            <xm:f>項目!A2:$AMW$4</xm:f>
          </x14:formula1>
          <xm:sqref>ANF5:ANF28</xm:sqref>
        </x14:dataValidation>
        <x14:dataValidation type="list" allowBlank="1" showInputMessage="1" showErrorMessage="1" xr:uid="{00000000-0002-0000-0300-0000C4230000}">
          <x14:formula1>
            <xm:f>項目!A2:$AWS$4</xm:f>
          </x14:formula1>
          <xm:sqref>AXB5:AXB28</xm:sqref>
        </x14:dataValidation>
        <x14:dataValidation type="list" allowBlank="1" showInputMessage="1" showErrorMessage="1" xr:uid="{00000000-0002-0000-0300-0000C5230000}">
          <x14:formula1>
            <xm:f>項目!A2:$BGO$4</xm:f>
          </x14:formula1>
          <xm:sqref>BGX5:BGX28</xm:sqref>
        </x14:dataValidation>
        <x14:dataValidation type="list" allowBlank="1" showInputMessage="1" showErrorMessage="1" xr:uid="{00000000-0002-0000-0300-0000C6230000}">
          <x14:formula1>
            <xm:f>項目!A2:$BQK$4</xm:f>
          </x14:formula1>
          <xm:sqref>BQT5:BQT28</xm:sqref>
        </x14:dataValidation>
        <x14:dataValidation type="list" allowBlank="1" showInputMessage="1" showErrorMessage="1" xr:uid="{00000000-0002-0000-0300-0000C7230000}">
          <x14:formula1>
            <xm:f>項目!A2:$CAG$4</xm:f>
          </x14:formula1>
          <xm:sqref>CAP5:CAP28</xm:sqref>
        </x14:dataValidation>
        <x14:dataValidation type="list" allowBlank="1" showInputMessage="1" showErrorMessage="1" xr:uid="{00000000-0002-0000-0300-0000C8230000}">
          <x14:formula1>
            <xm:f>項目!A2:$CKC$4</xm:f>
          </x14:formula1>
          <xm:sqref>CKL5:CKL28</xm:sqref>
        </x14:dataValidation>
        <x14:dataValidation type="list" allowBlank="1" showInputMessage="1" showErrorMessage="1" xr:uid="{00000000-0002-0000-0300-0000C9230000}">
          <x14:formula1>
            <xm:f>項目!A2:$CTY$4</xm:f>
          </x14:formula1>
          <xm:sqref>CUH5:CUH28</xm:sqref>
        </x14:dataValidation>
        <x14:dataValidation type="list" allowBlank="1" showInputMessage="1" showErrorMessage="1" xr:uid="{00000000-0002-0000-0300-0000CA230000}">
          <x14:formula1>
            <xm:f>項目!A2:$DDU$4</xm:f>
          </x14:formula1>
          <xm:sqref>DED5:DED28</xm:sqref>
        </x14:dataValidation>
        <x14:dataValidation type="list" allowBlank="1" showInputMessage="1" showErrorMessage="1" xr:uid="{00000000-0002-0000-0300-0000CB230000}">
          <x14:formula1>
            <xm:f>項目!A2:$DNQ$4</xm:f>
          </x14:formula1>
          <xm:sqref>DNZ5:DNZ28</xm:sqref>
        </x14:dataValidation>
        <x14:dataValidation type="list" allowBlank="1" showInputMessage="1" showErrorMessage="1" xr:uid="{00000000-0002-0000-0300-0000CC230000}">
          <x14:formula1>
            <xm:f>項目!A2:$DXM$4</xm:f>
          </x14:formula1>
          <xm:sqref>DXV5:DXV28</xm:sqref>
        </x14:dataValidation>
        <x14:dataValidation type="list" allowBlank="1" showInputMessage="1" showErrorMessage="1" xr:uid="{00000000-0002-0000-0300-0000CD230000}">
          <x14:formula1>
            <xm:f>項目!A2:$EHI$4</xm:f>
          </x14:formula1>
          <xm:sqref>EHR5:EHR28</xm:sqref>
        </x14:dataValidation>
        <x14:dataValidation type="list" allowBlank="1" showInputMessage="1" showErrorMessage="1" xr:uid="{00000000-0002-0000-0300-0000CE230000}">
          <x14:formula1>
            <xm:f>項目!A2:$ERE$4</xm:f>
          </x14:formula1>
          <xm:sqref>ERN5:ERN28</xm:sqref>
        </x14:dataValidation>
        <x14:dataValidation type="list" allowBlank="1" showInputMessage="1" showErrorMessage="1" xr:uid="{00000000-0002-0000-0300-0000CF230000}">
          <x14:formula1>
            <xm:f>項目!A2:$FBA$4</xm:f>
          </x14:formula1>
          <xm:sqref>FBJ5:FBJ28</xm:sqref>
        </x14:dataValidation>
        <x14:dataValidation type="list" allowBlank="1" showInputMessage="1" showErrorMessage="1" xr:uid="{00000000-0002-0000-0300-0000D0230000}">
          <x14:formula1>
            <xm:f>項目!A2:$FKW$4</xm:f>
          </x14:formula1>
          <xm:sqref>FLF5:FLF28</xm:sqref>
        </x14:dataValidation>
        <x14:dataValidation type="list" allowBlank="1" showInputMessage="1" showErrorMessage="1" xr:uid="{00000000-0002-0000-0300-0000D1230000}">
          <x14:formula1>
            <xm:f>項目!A2:$FUS$4</xm:f>
          </x14:formula1>
          <xm:sqref>FVB5:FVB28</xm:sqref>
        </x14:dataValidation>
        <x14:dataValidation type="list" allowBlank="1" showInputMessage="1" showErrorMessage="1" xr:uid="{00000000-0002-0000-0300-0000D2230000}">
          <x14:formula1>
            <xm:f>項目!A2:$GEO$4</xm:f>
          </x14:formula1>
          <xm:sqref>GEX5:GEX28</xm:sqref>
        </x14:dataValidation>
        <x14:dataValidation type="list" allowBlank="1" showInputMessage="1" showErrorMessage="1" xr:uid="{00000000-0002-0000-0300-0000D3230000}">
          <x14:formula1>
            <xm:f>項目!A2:$GOK$4</xm:f>
          </x14:formula1>
          <xm:sqref>GOT5:GOT28</xm:sqref>
        </x14:dataValidation>
        <x14:dataValidation type="list" allowBlank="1" showInputMessage="1" showErrorMessage="1" xr:uid="{00000000-0002-0000-0300-0000D4230000}">
          <x14:formula1>
            <xm:f>項目!A2:$GYG$4</xm:f>
          </x14:formula1>
          <xm:sqref>GYP5:GYP28</xm:sqref>
        </x14:dataValidation>
        <x14:dataValidation type="list" allowBlank="1" showInputMessage="1" showErrorMessage="1" xr:uid="{00000000-0002-0000-0300-0000D5230000}">
          <x14:formula1>
            <xm:f>項目!A2:$HIC$4</xm:f>
          </x14:formula1>
          <xm:sqref>HIL5:HIL28</xm:sqref>
        </x14:dataValidation>
        <x14:dataValidation type="list" allowBlank="1" showInputMessage="1" showErrorMessage="1" xr:uid="{00000000-0002-0000-0300-0000D6230000}">
          <x14:formula1>
            <xm:f>項目!A2:$HRY$4</xm:f>
          </x14:formula1>
          <xm:sqref>HSH5:HSH28</xm:sqref>
        </x14:dataValidation>
        <x14:dataValidation type="list" allowBlank="1" showInputMessage="1" showErrorMessage="1" xr:uid="{00000000-0002-0000-0300-0000D7230000}">
          <x14:formula1>
            <xm:f>項目!A2:$IBU$4</xm:f>
          </x14:formula1>
          <xm:sqref>ICD5:ICD28</xm:sqref>
        </x14:dataValidation>
        <x14:dataValidation type="list" allowBlank="1" showInputMessage="1" showErrorMessage="1" xr:uid="{00000000-0002-0000-0300-0000D8230000}">
          <x14:formula1>
            <xm:f>項目!A2:$ILQ$4</xm:f>
          </x14:formula1>
          <xm:sqref>ILZ5:ILZ28</xm:sqref>
        </x14:dataValidation>
        <x14:dataValidation type="list" allowBlank="1" showInputMessage="1" showErrorMessage="1" xr:uid="{00000000-0002-0000-0300-0000D9230000}">
          <x14:formula1>
            <xm:f>項目!A2:$IVM$4</xm:f>
          </x14:formula1>
          <xm:sqref>IVV5:IVV28</xm:sqref>
        </x14:dataValidation>
        <x14:dataValidation type="list" allowBlank="1" showInputMessage="1" showErrorMessage="1" xr:uid="{00000000-0002-0000-0300-0000DA230000}">
          <x14:formula1>
            <xm:f>項目!A2:$JFI$4</xm:f>
          </x14:formula1>
          <xm:sqref>JFR5:JFR28</xm:sqref>
        </x14:dataValidation>
        <x14:dataValidation type="list" allowBlank="1" showInputMessage="1" showErrorMessage="1" xr:uid="{00000000-0002-0000-0300-0000DB230000}">
          <x14:formula1>
            <xm:f>項目!A2:$JPE$4</xm:f>
          </x14:formula1>
          <xm:sqref>JPN5:JPN28</xm:sqref>
        </x14:dataValidation>
        <x14:dataValidation type="list" allowBlank="1" showInputMessage="1" showErrorMessage="1" xr:uid="{00000000-0002-0000-0300-0000DC230000}">
          <x14:formula1>
            <xm:f>項目!A2:$JZA$4</xm:f>
          </x14:formula1>
          <xm:sqref>JZJ5:JZJ28</xm:sqref>
        </x14:dataValidation>
        <x14:dataValidation type="list" allowBlank="1" showInputMessage="1" showErrorMessage="1" xr:uid="{00000000-0002-0000-0300-0000DD230000}">
          <x14:formula1>
            <xm:f>項目!A2:$KIW$4</xm:f>
          </x14:formula1>
          <xm:sqref>KJF5:KJF28</xm:sqref>
        </x14:dataValidation>
        <x14:dataValidation type="list" allowBlank="1" showInputMessage="1" showErrorMessage="1" xr:uid="{00000000-0002-0000-0300-0000DE230000}">
          <x14:formula1>
            <xm:f>項目!A2:$KSS$4</xm:f>
          </x14:formula1>
          <xm:sqref>KTB5:KTB28</xm:sqref>
        </x14:dataValidation>
        <x14:dataValidation type="list" allowBlank="1" showInputMessage="1" showErrorMessage="1" xr:uid="{00000000-0002-0000-0300-0000DF230000}">
          <x14:formula1>
            <xm:f>項目!A2:$LCO$4</xm:f>
          </x14:formula1>
          <xm:sqref>LCX5:LCX28</xm:sqref>
        </x14:dataValidation>
        <x14:dataValidation type="list" allowBlank="1" showInputMessage="1" showErrorMessage="1" xr:uid="{00000000-0002-0000-0300-0000E0230000}">
          <x14:formula1>
            <xm:f>項目!A2:$LMK$4</xm:f>
          </x14:formula1>
          <xm:sqref>LMT5:LMT28</xm:sqref>
        </x14:dataValidation>
        <x14:dataValidation type="list" allowBlank="1" showInputMessage="1" showErrorMessage="1" xr:uid="{00000000-0002-0000-0300-0000E1230000}">
          <x14:formula1>
            <xm:f>項目!A2:$LWG$4</xm:f>
          </x14:formula1>
          <xm:sqref>LWP5:LWP28</xm:sqref>
        </x14:dataValidation>
        <x14:dataValidation type="list" allowBlank="1" showInputMessage="1" showErrorMessage="1" xr:uid="{00000000-0002-0000-0300-0000E2230000}">
          <x14:formula1>
            <xm:f>項目!A2:$MGC$4</xm:f>
          </x14:formula1>
          <xm:sqref>MGL5:MGL28</xm:sqref>
        </x14:dataValidation>
        <x14:dataValidation type="list" allowBlank="1" showInputMessage="1" showErrorMessage="1" xr:uid="{00000000-0002-0000-0300-0000E3230000}">
          <x14:formula1>
            <xm:f>項目!A2:$MPY$4</xm:f>
          </x14:formula1>
          <xm:sqref>MQH5:MQH28</xm:sqref>
        </x14:dataValidation>
        <x14:dataValidation type="list" allowBlank="1" showInputMessage="1" showErrorMessage="1" xr:uid="{00000000-0002-0000-0300-0000E4230000}">
          <x14:formula1>
            <xm:f>項目!A2:$MZU$4</xm:f>
          </x14:formula1>
          <xm:sqref>NAD5:NAD28</xm:sqref>
        </x14:dataValidation>
        <x14:dataValidation type="list" allowBlank="1" showInputMessage="1" showErrorMessage="1" xr:uid="{00000000-0002-0000-0300-0000E5230000}">
          <x14:formula1>
            <xm:f>項目!A2:$NJQ$4</xm:f>
          </x14:formula1>
          <xm:sqref>NJZ5:NJZ28</xm:sqref>
        </x14:dataValidation>
        <x14:dataValidation type="list" allowBlank="1" showInputMessage="1" showErrorMessage="1" xr:uid="{00000000-0002-0000-0300-0000E6230000}">
          <x14:formula1>
            <xm:f>項目!A2:$NTM$4</xm:f>
          </x14:formula1>
          <xm:sqref>NTV5:NTV28</xm:sqref>
        </x14:dataValidation>
        <x14:dataValidation type="list" allowBlank="1" showInputMessage="1" showErrorMessage="1" xr:uid="{00000000-0002-0000-0300-0000E7230000}">
          <x14:formula1>
            <xm:f>項目!A2:$ODI$4</xm:f>
          </x14:formula1>
          <xm:sqref>ODR5:ODR28</xm:sqref>
        </x14:dataValidation>
        <x14:dataValidation type="list" allowBlank="1" showInputMessage="1" showErrorMessage="1" xr:uid="{00000000-0002-0000-0300-0000E8230000}">
          <x14:formula1>
            <xm:f>項目!A2:$ONE$4</xm:f>
          </x14:formula1>
          <xm:sqref>ONN5:ONN28</xm:sqref>
        </x14:dataValidation>
        <x14:dataValidation type="list" allowBlank="1" showInputMessage="1" showErrorMessage="1" xr:uid="{00000000-0002-0000-0300-0000E9230000}">
          <x14:formula1>
            <xm:f>項目!A2:$OXA$4</xm:f>
          </x14:formula1>
          <xm:sqref>OXJ5:OXJ28</xm:sqref>
        </x14:dataValidation>
        <x14:dataValidation type="list" allowBlank="1" showInputMessage="1" showErrorMessage="1" xr:uid="{00000000-0002-0000-0300-0000EA230000}">
          <x14:formula1>
            <xm:f>項目!A2:$PGW$4</xm:f>
          </x14:formula1>
          <xm:sqref>PHF5:PHF28</xm:sqref>
        </x14:dataValidation>
        <x14:dataValidation type="list" allowBlank="1" showInputMessage="1" showErrorMessage="1" xr:uid="{00000000-0002-0000-0300-0000EB230000}">
          <x14:formula1>
            <xm:f>項目!A2:$PQS$4</xm:f>
          </x14:formula1>
          <xm:sqref>PRB5:PRB28</xm:sqref>
        </x14:dataValidation>
        <x14:dataValidation type="list" allowBlank="1" showInputMessage="1" showErrorMessage="1" xr:uid="{00000000-0002-0000-0300-0000EC230000}">
          <x14:formula1>
            <xm:f>項目!A2:$QAO$4</xm:f>
          </x14:formula1>
          <xm:sqref>QAX5:QAX28</xm:sqref>
        </x14:dataValidation>
        <x14:dataValidation type="list" allowBlank="1" showInputMessage="1" showErrorMessage="1" xr:uid="{00000000-0002-0000-0300-0000ED230000}">
          <x14:formula1>
            <xm:f>項目!A2:$QKK$4</xm:f>
          </x14:formula1>
          <xm:sqref>QKT5:QKT28</xm:sqref>
        </x14:dataValidation>
        <x14:dataValidation type="list" allowBlank="1" showInputMessage="1" showErrorMessage="1" xr:uid="{00000000-0002-0000-0300-0000EE230000}">
          <x14:formula1>
            <xm:f>項目!A2:$QUG$4</xm:f>
          </x14:formula1>
          <xm:sqref>QUP5:QUP28</xm:sqref>
        </x14:dataValidation>
        <x14:dataValidation type="list" allowBlank="1" showInputMessage="1" showErrorMessage="1" xr:uid="{00000000-0002-0000-0300-0000EF230000}">
          <x14:formula1>
            <xm:f>項目!A2:$REC$4</xm:f>
          </x14:formula1>
          <xm:sqref>REL5:REL28</xm:sqref>
        </x14:dataValidation>
        <x14:dataValidation type="list" allowBlank="1" showInputMessage="1" showErrorMessage="1" xr:uid="{00000000-0002-0000-0300-0000F0230000}">
          <x14:formula1>
            <xm:f>項目!A2:$RNY$4</xm:f>
          </x14:formula1>
          <xm:sqref>ROH5:ROH28</xm:sqref>
        </x14:dataValidation>
        <x14:dataValidation type="list" allowBlank="1" showInputMessage="1" showErrorMessage="1" xr:uid="{00000000-0002-0000-0300-0000F1230000}">
          <x14:formula1>
            <xm:f>項目!A2:$RXU$4</xm:f>
          </x14:formula1>
          <xm:sqref>RYD5:RYD28</xm:sqref>
        </x14:dataValidation>
        <x14:dataValidation type="list" allowBlank="1" showInputMessage="1" showErrorMessage="1" xr:uid="{00000000-0002-0000-0300-0000F2230000}">
          <x14:formula1>
            <xm:f>項目!A2:$SHQ$4</xm:f>
          </x14:formula1>
          <xm:sqref>SHZ5:SHZ28</xm:sqref>
        </x14:dataValidation>
        <x14:dataValidation type="list" allowBlank="1" showInputMessage="1" showErrorMessage="1" xr:uid="{00000000-0002-0000-0300-0000F3230000}">
          <x14:formula1>
            <xm:f>項目!A2:$SRM$4</xm:f>
          </x14:formula1>
          <xm:sqref>SRV5:SRV28</xm:sqref>
        </x14:dataValidation>
        <x14:dataValidation type="list" allowBlank="1" showInputMessage="1" showErrorMessage="1" xr:uid="{00000000-0002-0000-0300-0000F4230000}">
          <x14:formula1>
            <xm:f>項目!A2:$TBI$4</xm:f>
          </x14:formula1>
          <xm:sqref>TBR5:TBR28</xm:sqref>
        </x14:dataValidation>
        <x14:dataValidation type="list" allowBlank="1" showInputMessage="1" showErrorMessage="1" xr:uid="{00000000-0002-0000-0300-0000F5230000}">
          <x14:formula1>
            <xm:f>項目!A2:$TLE$4</xm:f>
          </x14:formula1>
          <xm:sqref>TLN5:TLN28</xm:sqref>
        </x14:dataValidation>
        <x14:dataValidation type="list" allowBlank="1" showInputMessage="1" showErrorMessage="1" xr:uid="{00000000-0002-0000-0300-0000F6230000}">
          <x14:formula1>
            <xm:f>項目!A2:$TVA$4</xm:f>
          </x14:formula1>
          <xm:sqref>TVJ5:TVJ28</xm:sqref>
        </x14:dataValidation>
        <x14:dataValidation type="list" allowBlank="1" showInputMessage="1" showErrorMessage="1" xr:uid="{00000000-0002-0000-0300-0000F7230000}">
          <x14:formula1>
            <xm:f>項目!A2:$UEW$4</xm:f>
          </x14:formula1>
          <xm:sqref>UFF5:UFF28</xm:sqref>
        </x14:dataValidation>
        <x14:dataValidation type="list" allowBlank="1" showInputMessage="1" showErrorMessage="1" xr:uid="{00000000-0002-0000-0300-0000F8230000}">
          <x14:formula1>
            <xm:f>項目!A2:$UOS$4</xm:f>
          </x14:formula1>
          <xm:sqref>UPB5:UPB28</xm:sqref>
        </x14:dataValidation>
        <x14:dataValidation type="list" allowBlank="1" showInputMessage="1" showErrorMessage="1" xr:uid="{00000000-0002-0000-0300-0000F9230000}">
          <x14:formula1>
            <xm:f>項目!A2:$UYO$4</xm:f>
          </x14:formula1>
          <xm:sqref>UYX5:UYX28</xm:sqref>
        </x14:dataValidation>
        <x14:dataValidation type="list" allowBlank="1" showInputMessage="1" showErrorMessage="1" xr:uid="{00000000-0002-0000-0300-0000FA230000}">
          <x14:formula1>
            <xm:f>項目!A2:$VIK$4</xm:f>
          </x14:formula1>
          <xm:sqref>VIT5:VIT28</xm:sqref>
        </x14:dataValidation>
        <x14:dataValidation type="list" allowBlank="1" showInputMessage="1" showErrorMessage="1" xr:uid="{00000000-0002-0000-0300-0000FB230000}">
          <x14:formula1>
            <xm:f>項目!A2:$VSG$4</xm:f>
          </x14:formula1>
          <xm:sqref>VSP5:VSP28</xm:sqref>
        </x14:dataValidation>
        <x14:dataValidation type="list" allowBlank="1" showInputMessage="1" showErrorMessage="1" xr:uid="{00000000-0002-0000-0300-0000FC230000}">
          <x14:formula1>
            <xm:f>項目!A2:$WCC$4</xm:f>
          </x14:formula1>
          <xm:sqref>WCL5:WCL28</xm:sqref>
        </x14:dataValidation>
        <x14:dataValidation type="list" allowBlank="1" showInputMessage="1" showErrorMessage="1" xr:uid="{00000000-0002-0000-0300-0000FD230000}">
          <x14:formula1>
            <xm:f>項目!A2:$WLY$4</xm:f>
          </x14:formula1>
          <xm:sqref>WMH5:WMH28</xm:sqref>
        </x14:dataValidation>
        <x14:dataValidation type="list" allowBlank="1" showInputMessage="1" showErrorMessage="1" xr:uid="{00000000-0002-0000-0300-0000FE230000}">
          <x14:formula1>
            <xm:f>項目!A2:$WVU$4</xm:f>
          </x14:formula1>
          <xm:sqref>WWD5:WWD28</xm:sqref>
        </x14:dataValidation>
        <x14:dataValidation type="list" allowBlank="1" showInputMessage="1" showErrorMessage="1" xr:uid="{00000000-0002-0000-0300-0000FF230000}">
          <x14:formula1>
            <xm:f>項目!A4:$N$65538</xm:f>
          </x14:formula1>
          <xm:sqref>V65541:V65564</xm:sqref>
        </x14:dataValidation>
        <x14:dataValidation type="list" allowBlank="1" showInputMessage="1" showErrorMessage="1" xr:uid="{00000000-0002-0000-0300-000000240000}">
          <x14:formula1>
            <xm:f>項目!A4:$JI$65538</xm:f>
          </x14:formula1>
          <xm:sqref>JR65541:JR65564</xm:sqref>
        </x14:dataValidation>
        <x14:dataValidation type="list" allowBlank="1" showInputMessage="1" showErrorMessage="1" xr:uid="{00000000-0002-0000-0300-000001240000}">
          <x14:formula1>
            <xm:f>項目!A4:$TE$65538</xm:f>
          </x14:formula1>
          <xm:sqref>TN65541:TN65564</xm:sqref>
        </x14:dataValidation>
        <x14:dataValidation type="list" allowBlank="1" showInputMessage="1" showErrorMessage="1" xr:uid="{00000000-0002-0000-0300-000002240000}">
          <x14:formula1>
            <xm:f>項目!A4:$ADA$65538</xm:f>
          </x14:formula1>
          <xm:sqref>ADJ65541:ADJ65564</xm:sqref>
        </x14:dataValidation>
        <x14:dataValidation type="list" allowBlank="1" showInputMessage="1" showErrorMessage="1" xr:uid="{00000000-0002-0000-0300-000003240000}">
          <x14:formula1>
            <xm:f>項目!A4:$AMW$65538</xm:f>
          </x14:formula1>
          <xm:sqref>ANF65541:ANF65564</xm:sqref>
        </x14:dataValidation>
        <x14:dataValidation type="list" allowBlank="1" showInputMessage="1" showErrorMessage="1" xr:uid="{00000000-0002-0000-0300-000004240000}">
          <x14:formula1>
            <xm:f>項目!A4:$AWS$65538</xm:f>
          </x14:formula1>
          <xm:sqref>AXB65541:AXB65564</xm:sqref>
        </x14:dataValidation>
        <x14:dataValidation type="list" allowBlank="1" showInputMessage="1" showErrorMessage="1" xr:uid="{00000000-0002-0000-0300-000005240000}">
          <x14:formula1>
            <xm:f>項目!A4:$BGO$65538</xm:f>
          </x14:formula1>
          <xm:sqref>BGX65541:BGX65564</xm:sqref>
        </x14:dataValidation>
        <x14:dataValidation type="list" allowBlank="1" showInputMessage="1" showErrorMessage="1" xr:uid="{00000000-0002-0000-0300-000006240000}">
          <x14:formula1>
            <xm:f>項目!A4:$BQK$65538</xm:f>
          </x14:formula1>
          <xm:sqref>BQT65541:BQT65564</xm:sqref>
        </x14:dataValidation>
        <x14:dataValidation type="list" allowBlank="1" showInputMessage="1" showErrorMessage="1" xr:uid="{00000000-0002-0000-0300-000007240000}">
          <x14:formula1>
            <xm:f>項目!A4:$CAG$65538</xm:f>
          </x14:formula1>
          <xm:sqref>CAP65541:CAP65564</xm:sqref>
        </x14:dataValidation>
        <x14:dataValidation type="list" allowBlank="1" showInputMessage="1" showErrorMessage="1" xr:uid="{00000000-0002-0000-0300-000008240000}">
          <x14:formula1>
            <xm:f>項目!A4:$CKC$65538</xm:f>
          </x14:formula1>
          <xm:sqref>CKL65541:CKL65564</xm:sqref>
        </x14:dataValidation>
        <x14:dataValidation type="list" allowBlank="1" showInputMessage="1" showErrorMessage="1" xr:uid="{00000000-0002-0000-0300-000009240000}">
          <x14:formula1>
            <xm:f>項目!A4:$CTY$65538</xm:f>
          </x14:formula1>
          <xm:sqref>CUH65541:CUH65564</xm:sqref>
        </x14:dataValidation>
        <x14:dataValidation type="list" allowBlank="1" showInputMessage="1" showErrorMessage="1" xr:uid="{00000000-0002-0000-0300-00000A240000}">
          <x14:formula1>
            <xm:f>項目!A4:$DDU$65538</xm:f>
          </x14:formula1>
          <xm:sqref>DED65541:DED65564</xm:sqref>
        </x14:dataValidation>
        <x14:dataValidation type="list" allowBlank="1" showInputMessage="1" showErrorMessage="1" xr:uid="{00000000-0002-0000-0300-00000B240000}">
          <x14:formula1>
            <xm:f>項目!A4:$DNQ$65538</xm:f>
          </x14:formula1>
          <xm:sqref>DNZ65541:DNZ65564</xm:sqref>
        </x14:dataValidation>
        <x14:dataValidation type="list" allowBlank="1" showInputMessage="1" showErrorMessage="1" xr:uid="{00000000-0002-0000-0300-00000C240000}">
          <x14:formula1>
            <xm:f>項目!A4:$DXM$65538</xm:f>
          </x14:formula1>
          <xm:sqref>DXV65541:DXV65564</xm:sqref>
        </x14:dataValidation>
        <x14:dataValidation type="list" allowBlank="1" showInputMessage="1" showErrorMessage="1" xr:uid="{00000000-0002-0000-0300-00000D240000}">
          <x14:formula1>
            <xm:f>項目!A4:$EHI$65538</xm:f>
          </x14:formula1>
          <xm:sqref>EHR65541:EHR65564</xm:sqref>
        </x14:dataValidation>
        <x14:dataValidation type="list" allowBlank="1" showInputMessage="1" showErrorMessage="1" xr:uid="{00000000-0002-0000-0300-00000E240000}">
          <x14:formula1>
            <xm:f>項目!A4:$ERE$65538</xm:f>
          </x14:formula1>
          <xm:sqref>ERN65541:ERN65564</xm:sqref>
        </x14:dataValidation>
        <x14:dataValidation type="list" allowBlank="1" showInputMessage="1" showErrorMessage="1" xr:uid="{00000000-0002-0000-0300-00000F240000}">
          <x14:formula1>
            <xm:f>項目!A4:$FBA$65538</xm:f>
          </x14:formula1>
          <xm:sqref>FBJ65541:FBJ65564</xm:sqref>
        </x14:dataValidation>
        <x14:dataValidation type="list" allowBlank="1" showInputMessage="1" showErrorMessage="1" xr:uid="{00000000-0002-0000-0300-000010240000}">
          <x14:formula1>
            <xm:f>項目!A4:$FKW$65538</xm:f>
          </x14:formula1>
          <xm:sqref>FLF65541:FLF65564</xm:sqref>
        </x14:dataValidation>
        <x14:dataValidation type="list" allowBlank="1" showInputMessage="1" showErrorMessage="1" xr:uid="{00000000-0002-0000-0300-000011240000}">
          <x14:formula1>
            <xm:f>項目!A4:$FUS$65538</xm:f>
          </x14:formula1>
          <xm:sqref>FVB65541:FVB65564</xm:sqref>
        </x14:dataValidation>
        <x14:dataValidation type="list" allowBlank="1" showInputMessage="1" showErrorMessage="1" xr:uid="{00000000-0002-0000-0300-000012240000}">
          <x14:formula1>
            <xm:f>項目!A4:$GEO$65538</xm:f>
          </x14:formula1>
          <xm:sqref>GEX65541:GEX65564</xm:sqref>
        </x14:dataValidation>
        <x14:dataValidation type="list" allowBlank="1" showInputMessage="1" showErrorMessage="1" xr:uid="{00000000-0002-0000-0300-000013240000}">
          <x14:formula1>
            <xm:f>項目!A4:$GOK$65538</xm:f>
          </x14:formula1>
          <xm:sqref>GOT65541:GOT65564</xm:sqref>
        </x14:dataValidation>
        <x14:dataValidation type="list" allowBlank="1" showInputMessage="1" showErrorMessage="1" xr:uid="{00000000-0002-0000-0300-000014240000}">
          <x14:formula1>
            <xm:f>項目!A4:$GYG$65538</xm:f>
          </x14:formula1>
          <xm:sqref>GYP65541:GYP65564</xm:sqref>
        </x14:dataValidation>
        <x14:dataValidation type="list" allowBlank="1" showInputMessage="1" showErrorMessage="1" xr:uid="{00000000-0002-0000-0300-000015240000}">
          <x14:formula1>
            <xm:f>項目!A4:$HIC$65538</xm:f>
          </x14:formula1>
          <xm:sqref>HIL65541:HIL65564</xm:sqref>
        </x14:dataValidation>
        <x14:dataValidation type="list" allowBlank="1" showInputMessage="1" showErrorMessage="1" xr:uid="{00000000-0002-0000-0300-000016240000}">
          <x14:formula1>
            <xm:f>項目!A4:$HRY$65538</xm:f>
          </x14:formula1>
          <xm:sqref>HSH65541:HSH65564</xm:sqref>
        </x14:dataValidation>
        <x14:dataValidation type="list" allowBlank="1" showInputMessage="1" showErrorMessage="1" xr:uid="{00000000-0002-0000-0300-000017240000}">
          <x14:formula1>
            <xm:f>項目!A4:$IBU$65538</xm:f>
          </x14:formula1>
          <xm:sqref>ICD65541:ICD65564</xm:sqref>
        </x14:dataValidation>
        <x14:dataValidation type="list" allowBlank="1" showInputMessage="1" showErrorMessage="1" xr:uid="{00000000-0002-0000-0300-000018240000}">
          <x14:formula1>
            <xm:f>項目!A4:$ILQ$65538</xm:f>
          </x14:formula1>
          <xm:sqref>ILZ65541:ILZ65564</xm:sqref>
        </x14:dataValidation>
        <x14:dataValidation type="list" allowBlank="1" showInputMessage="1" showErrorMessage="1" xr:uid="{00000000-0002-0000-0300-000019240000}">
          <x14:formula1>
            <xm:f>項目!A4:$IVM$65538</xm:f>
          </x14:formula1>
          <xm:sqref>IVV65541:IVV65564</xm:sqref>
        </x14:dataValidation>
        <x14:dataValidation type="list" allowBlank="1" showInputMessage="1" showErrorMessage="1" xr:uid="{00000000-0002-0000-0300-00001A240000}">
          <x14:formula1>
            <xm:f>項目!A4:$JFI$65538</xm:f>
          </x14:formula1>
          <xm:sqref>JFR65541:JFR65564</xm:sqref>
        </x14:dataValidation>
        <x14:dataValidation type="list" allowBlank="1" showInputMessage="1" showErrorMessage="1" xr:uid="{00000000-0002-0000-0300-00001B240000}">
          <x14:formula1>
            <xm:f>項目!A4:$JPE$65538</xm:f>
          </x14:formula1>
          <xm:sqref>JPN65541:JPN65564</xm:sqref>
        </x14:dataValidation>
        <x14:dataValidation type="list" allowBlank="1" showInputMessage="1" showErrorMessage="1" xr:uid="{00000000-0002-0000-0300-00001C240000}">
          <x14:formula1>
            <xm:f>項目!A4:$JZA$65538</xm:f>
          </x14:formula1>
          <xm:sqref>JZJ65541:JZJ65564</xm:sqref>
        </x14:dataValidation>
        <x14:dataValidation type="list" allowBlank="1" showInputMessage="1" showErrorMessage="1" xr:uid="{00000000-0002-0000-0300-00001D240000}">
          <x14:formula1>
            <xm:f>項目!A4:$KIW$65538</xm:f>
          </x14:formula1>
          <xm:sqref>KJF65541:KJF65564</xm:sqref>
        </x14:dataValidation>
        <x14:dataValidation type="list" allowBlank="1" showInputMessage="1" showErrorMessage="1" xr:uid="{00000000-0002-0000-0300-00001E240000}">
          <x14:formula1>
            <xm:f>項目!A4:$KSS$65538</xm:f>
          </x14:formula1>
          <xm:sqref>KTB65541:KTB65564</xm:sqref>
        </x14:dataValidation>
        <x14:dataValidation type="list" allowBlank="1" showInputMessage="1" showErrorMessage="1" xr:uid="{00000000-0002-0000-0300-00001F240000}">
          <x14:formula1>
            <xm:f>項目!A4:$LCO$65538</xm:f>
          </x14:formula1>
          <xm:sqref>LCX65541:LCX65564</xm:sqref>
        </x14:dataValidation>
        <x14:dataValidation type="list" allowBlank="1" showInputMessage="1" showErrorMessage="1" xr:uid="{00000000-0002-0000-0300-000020240000}">
          <x14:formula1>
            <xm:f>項目!A4:$LMK$65538</xm:f>
          </x14:formula1>
          <xm:sqref>LMT65541:LMT65564</xm:sqref>
        </x14:dataValidation>
        <x14:dataValidation type="list" allowBlank="1" showInputMessage="1" showErrorMessage="1" xr:uid="{00000000-0002-0000-0300-000021240000}">
          <x14:formula1>
            <xm:f>項目!A4:$LWG$65538</xm:f>
          </x14:formula1>
          <xm:sqref>LWP65541:LWP65564</xm:sqref>
        </x14:dataValidation>
        <x14:dataValidation type="list" allowBlank="1" showInputMessage="1" showErrorMessage="1" xr:uid="{00000000-0002-0000-0300-000022240000}">
          <x14:formula1>
            <xm:f>項目!A4:$MGC$65538</xm:f>
          </x14:formula1>
          <xm:sqref>MGL65541:MGL65564</xm:sqref>
        </x14:dataValidation>
        <x14:dataValidation type="list" allowBlank="1" showInputMessage="1" showErrorMessage="1" xr:uid="{00000000-0002-0000-0300-000023240000}">
          <x14:formula1>
            <xm:f>項目!A4:$MPY$65538</xm:f>
          </x14:formula1>
          <xm:sqref>MQH65541:MQH65564</xm:sqref>
        </x14:dataValidation>
        <x14:dataValidation type="list" allowBlank="1" showInputMessage="1" showErrorMessage="1" xr:uid="{00000000-0002-0000-0300-000024240000}">
          <x14:formula1>
            <xm:f>項目!A4:$MZU$65538</xm:f>
          </x14:formula1>
          <xm:sqref>NAD65541:NAD65564</xm:sqref>
        </x14:dataValidation>
        <x14:dataValidation type="list" allowBlank="1" showInputMessage="1" showErrorMessage="1" xr:uid="{00000000-0002-0000-0300-000025240000}">
          <x14:formula1>
            <xm:f>項目!A4:$NJQ$65538</xm:f>
          </x14:formula1>
          <xm:sqref>NJZ65541:NJZ65564</xm:sqref>
        </x14:dataValidation>
        <x14:dataValidation type="list" allowBlank="1" showInputMessage="1" showErrorMessage="1" xr:uid="{00000000-0002-0000-0300-000026240000}">
          <x14:formula1>
            <xm:f>項目!A4:$NTM$65538</xm:f>
          </x14:formula1>
          <xm:sqref>NTV65541:NTV65564</xm:sqref>
        </x14:dataValidation>
        <x14:dataValidation type="list" allowBlank="1" showInputMessage="1" showErrorMessage="1" xr:uid="{00000000-0002-0000-0300-000027240000}">
          <x14:formula1>
            <xm:f>項目!A4:$ODI$65538</xm:f>
          </x14:formula1>
          <xm:sqref>ODR65541:ODR65564</xm:sqref>
        </x14:dataValidation>
        <x14:dataValidation type="list" allowBlank="1" showInputMessage="1" showErrorMessage="1" xr:uid="{00000000-0002-0000-0300-000028240000}">
          <x14:formula1>
            <xm:f>項目!A4:$ONE$65538</xm:f>
          </x14:formula1>
          <xm:sqref>ONN65541:ONN65564</xm:sqref>
        </x14:dataValidation>
        <x14:dataValidation type="list" allowBlank="1" showInputMessage="1" showErrorMessage="1" xr:uid="{00000000-0002-0000-0300-000029240000}">
          <x14:formula1>
            <xm:f>項目!A4:$OXA$65538</xm:f>
          </x14:formula1>
          <xm:sqref>OXJ65541:OXJ65564</xm:sqref>
        </x14:dataValidation>
        <x14:dataValidation type="list" allowBlank="1" showInputMessage="1" showErrorMessage="1" xr:uid="{00000000-0002-0000-0300-00002A240000}">
          <x14:formula1>
            <xm:f>項目!A4:$PGW$65538</xm:f>
          </x14:formula1>
          <xm:sqref>PHF65541:PHF65564</xm:sqref>
        </x14:dataValidation>
        <x14:dataValidation type="list" allowBlank="1" showInputMessage="1" showErrorMessage="1" xr:uid="{00000000-0002-0000-0300-00002B240000}">
          <x14:formula1>
            <xm:f>項目!A4:$PQS$65538</xm:f>
          </x14:formula1>
          <xm:sqref>PRB65541:PRB65564</xm:sqref>
        </x14:dataValidation>
        <x14:dataValidation type="list" allowBlank="1" showInputMessage="1" showErrorMessage="1" xr:uid="{00000000-0002-0000-0300-00002C240000}">
          <x14:formula1>
            <xm:f>項目!A4:$QAO$65538</xm:f>
          </x14:formula1>
          <xm:sqref>QAX65541:QAX65564</xm:sqref>
        </x14:dataValidation>
        <x14:dataValidation type="list" allowBlank="1" showInputMessage="1" showErrorMessage="1" xr:uid="{00000000-0002-0000-0300-00002D240000}">
          <x14:formula1>
            <xm:f>項目!A4:$QKK$65538</xm:f>
          </x14:formula1>
          <xm:sqref>QKT65541:QKT65564</xm:sqref>
        </x14:dataValidation>
        <x14:dataValidation type="list" allowBlank="1" showInputMessage="1" showErrorMessage="1" xr:uid="{00000000-0002-0000-0300-00002E240000}">
          <x14:formula1>
            <xm:f>項目!A4:$QUG$65538</xm:f>
          </x14:formula1>
          <xm:sqref>QUP65541:QUP65564</xm:sqref>
        </x14:dataValidation>
        <x14:dataValidation type="list" allowBlank="1" showInputMessage="1" showErrorMessage="1" xr:uid="{00000000-0002-0000-0300-00002F240000}">
          <x14:formula1>
            <xm:f>項目!A4:$REC$65538</xm:f>
          </x14:formula1>
          <xm:sqref>REL65541:REL65564</xm:sqref>
        </x14:dataValidation>
        <x14:dataValidation type="list" allowBlank="1" showInputMessage="1" showErrorMessage="1" xr:uid="{00000000-0002-0000-0300-000030240000}">
          <x14:formula1>
            <xm:f>項目!A4:$RNY$65538</xm:f>
          </x14:formula1>
          <xm:sqref>ROH65541:ROH65564</xm:sqref>
        </x14:dataValidation>
        <x14:dataValidation type="list" allowBlank="1" showInputMessage="1" showErrorMessage="1" xr:uid="{00000000-0002-0000-0300-000031240000}">
          <x14:formula1>
            <xm:f>項目!A4:$RXU$65538</xm:f>
          </x14:formula1>
          <xm:sqref>RYD65541:RYD65564</xm:sqref>
        </x14:dataValidation>
        <x14:dataValidation type="list" allowBlank="1" showInputMessage="1" showErrorMessage="1" xr:uid="{00000000-0002-0000-0300-000032240000}">
          <x14:formula1>
            <xm:f>項目!A4:$SHQ$65538</xm:f>
          </x14:formula1>
          <xm:sqref>SHZ65541:SHZ65564</xm:sqref>
        </x14:dataValidation>
        <x14:dataValidation type="list" allowBlank="1" showInputMessage="1" showErrorMessage="1" xr:uid="{00000000-0002-0000-0300-000033240000}">
          <x14:formula1>
            <xm:f>項目!A4:$SRM$65538</xm:f>
          </x14:formula1>
          <xm:sqref>SRV65541:SRV65564</xm:sqref>
        </x14:dataValidation>
        <x14:dataValidation type="list" allowBlank="1" showInputMessage="1" showErrorMessage="1" xr:uid="{00000000-0002-0000-0300-000034240000}">
          <x14:formula1>
            <xm:f>項目!A4:$TBI$65538</xm:f>
          </x14:formula1>
          <xm:sqref>TBR65541:TBR65564</xm:sqref>
        </x14:dataValidation>
        <x14:dataValidation type="list" allowBlank="1" showInputMessage="1" showErrorMessage="1" xr:uid="{00000000-0002-0000-0300-000035240000}">
          <x14:formula1>
            <xm:f>項目!A4:$TLE$65538</xm:f>
          </x14:formula1>
          <xm:sqref>TLN65541:TLN65564</xm:sqref>
        </x14:dataValidation>
        <x14:dataValidation type="list" allowBlank="1" showInputMessage="1" showErrorMessage="1" xr:uid="{00000000-0002-0000-0300-000036240000}">
          <x14:formula1>
            <xm:f>項目!A4:$TVA$65538</xm:f>
          </x14:formula1>
          <xm:sqref>TVJ65541:TVJ65564</xm:sqref>
        </x14:dataValidation>
        <x14:dataValidation type="list" allowBlank="1" showInputMessage="1" showErrorMessage="1" xr:uid="{00000000-0002-0000-0300-000037240000}">
          <x14:formula1>
            <xm:f>項目!A4:$UEW$65538</xm:f>
          </x14:formula1>
          <xm:sqref>UFF65541:UFF65564</xm:sqref>
        </x14:dataValidation>
        <x14:dataValidation type="list" allowBlank="1" showInputMessage="1" showErrorMessage="1" xr:uid="{00000000-0002-0000-0300-000038240000}">
          <x14:formula1>
            <xm:f>項目!A4:$UOS$65538</xm:f>
          </x14:formula1>
          <xm:sqref>UPB65541:UPB65564</xm:sqref>
        </x14:dataValidation>
        <x14:dataValidation type="list" allowBlank="1" showInputMessage="1" showErrorMessage="1" xr:uid="{00000000-0002-0000-0300-000039240000}">
          <x14:formula1>
            <xm:f>項目!A4:$UYO$65538</xm:f>
          </x14:formula1>
          <xm:sqref>UYX65541:UYX65564</xm:sqref>
        </x14:dataValidation>
        <x14:dataValidation type="list" allowBlank="1" showInputMessage="1" showErrorMessage="1" xr:uid="{00000000-0002-0000-0300-00003A240000}">
          <x14:formula1>
            <xm:f>項目!A4:$VIK$65538</xm:f>
          </x14:formula1>
          <xm:sqref>VIT65541:VIT65564</xm:sqref>
        </x14:dataValidation>
        <x14:dataValidation type="list" allowBlank="1" showInputMessage="1" showErrorMessage="1" xr:uid="{00000000-0002-0000-0300-00003B240000}">
          <x14:formula1>
            <xm:f>項目!A4:$VSG$65538</xm:f>
          </x14:formula1>
          <xm:sqref>VSP65541:VSP65564</xm:sqref>
        </x14:dataValidation>
        <x14:dataValidation type="list" allowBlank="1" showInputMessage="1" showErrorMessage="1" xr:uid="{00000000-0002-0000-0300-00003C240000}">
          <x14:formula1>
            <xm:f>項目!A4:$WCC$65538</xm:f>
          </x14:formula1>
          <xm:sqref>WCL65541:WCL65564</xm:sqref>
        </x14:dataValidation>
        <x14:dataValidation type="list" allowBlank="1" showInputMessage="1" showErrorMessage="1" xr:uid="{00000000-0002-0000-0300-00003D240000}">
          <x14:formula1>
            <xm:f>項目!A4:$WLY$65538</xm:f>
          </x14:formula1>
          <xm:sqref>WMH65541:WMH65564</xm:sqref>
        </x14:dataValidation>
        <x14:dataValidation type="list" allowBlank="1" showInputMessage="1" showErrorMessage="1" xr:uid="{00000000-0002-0000-0300-00003E240000}">
          <x14:formula1>
            <xm:f>項目!A4:$WVU$65538</xm:f>
          </x14:formula1>
          <xm:sqref>WWD65541:WWD65564</xm:sqref>
        </x14:dataValidation>
        <x14:dataValidation type="list" allowBlank="1" showInputMessage="1" showErrorMessage="1" xr:uid="{00000000-0002-0000-0300-00003F240000}">
          <x14:formula1>
            <xm:f>項目!A4:$N$131074</xm:f>
          </x14:formula1>
          <xm:sqref>V131077:V131100</xm:sqref>
        </x14:dataValidation>
        <x14:dataValidation type="list" allowBlank="1" showInputMessage="1" showErrorMessage="1" xr:uid="{00000000-0002-0000-0300-000040240000}">
          <x14:formula1>
            <xm:f>項目!A4:$JI$131074</xm:f>
          </x14:formula1>
          <xm:sqref>JR131077:JR131100</xm:sqref>
        </x14:dataValidation>
        <x14:dataValidation type="list" allowBlank="1" showInputMessage="1" showErrorMessage="1" xr:uid="{00000000-0002-0000-0300-000041240000}">
          <x14:formula1>
            <xm:f>項目!A4:$TE$131074</xm:f>
          </x14:formula1>
          <xm:sqref>TN131077:TN131100</xm:sqref>
        </x14:dataValidation>
        <x14:dataValidation type="list" allowBlank="1" showInputMessage="1" showErrorMessage="1" xr:uid="{00000000-0002-0000-0300-000042240000}">
          <x14:formula1>
            <xm:f>項目!A4:$ADA$131074</xm:f>
          </x14:formula1>
          <xm:sqref>ADJ131077:ADJ131100</xm:sqref>
        </x14:dataValidation>
        <x14:dataValidation type="list" allowBlank="1" showInputMessage="1" showErrorMessage="1" xr:uid="{00000000-0002-0000-0300-000043240000}">
          <x14:formula1>
            <xm:f>項目!A4:$AMW$131074</xm:f>
          </x14:formula1>
          <xm:sqref>ANF131077:ANF131100</xm:sqref>
        </x14:dataValidation>
        <x14:dataValidation type="list" allowBlank="1" showInputMessage="1" showErrorMessage="1" xr:uid="{00000000-0002-0000-0300-000044240000}">
          <x14:formula1>
            <xm:f>項目!A4:$AWS$131074</xm:f>
          </x14:formula1>
          <xm:sqref>AXB131077:AXB131100</xm:sqref>
        </x14:dataValidation>
        <x14:dataValidation type="list" allowBlank="1" showInputMessage="1" showErrorMessage="1" xr:uid="{00000000-0002-0000-0300-000045240000}">
          <x14:formula1>
            <xm:f>項目!A4:$BGO$131074</xm:f>
          </x14:formula1>
          <xm:sqref>BGX131077:BGX131100</xm:sqref>
        </x14:dataValidation>
        <x14:dataValidation type="list" allowBlank="1" showInputMessage="1" showErrorMessage="1" xr:uid="{00000000-0002-0000-0300-000046240000}">
          <x14:formula1>
            <xm:f>項目!A4:$BQK$131074</xm:f>
          </x14:formula1>
          <xm:sqref>BQT131077:BQT131100</xm:sqref>
        </x14:dataValidation>
        <x14:dataValidation type="list" allowBlank="1" showInputMessage="1" showErrorMessage="1" xr:uid="{00000000-0002-0000-0300-000047240000}">
          <x14:formula1>
            <xm:f>項目!A4:$CAG$131074</xm:f>
          </x14:formula1>
          <xm:sqref>CAP131077:CAP131100</xm:sqref>
        </x14:dataValidation>
        <x14:dataValidation type="list" allowBlank="1" showInputMessage="1" showErrorMessage="1" xr:uid="{00000000-0002-0000-0300-000048240000}">
          <x14:formula1>
            <xm:f>項目!A4:$CKC$131074</xm:f>
          </x14:formula1>
          <xm:sqref>CKL131077:CKL131100</xm:sqref>
        </x14:dataValidation>
        <x14:dataValidation type="list" allowBlank="1" showInputMessage="1" showErrorMessage="1" xr:uid="{00000000-0002-0000-0300-000049240000}">
          <x14:formula1>
            <xm:f>項目!A4:$CTY$131074</xm:f>
          </x14:formula1>
          <xm:sqref>CUH131077:CUH131100</xm:sqref>
        </x14:dataValidation>
        <x14:dataValidation type="list" allowBlank="1" showInputMessage="1" showErrorMessage="1" xr:uid="{00000000-0002-0000-0300-00004A240000}">
          <x14:formula1>
            <xm:f>項目!A4:$DDU$131074</xm:f>
          </x14:formula1>
          <xm:sqref>DED131077:DED131100</xm:sqref>
        </x14:dataValidation>
        <x14:dataValidation type="list" allowBlank="1" showInputMessage="1" showErrorMessage="1" xr:uid="{00000000-0002-0000-0300-00004B240000}">
          <x14:formula1>
            <xm:f>項目!A4:$DNQ$131074</xm:f>
          </x14:formula1>
          <xm:sqref>DNZ131077:DNZ131100</xm:sqref>
        </x14:dataValidation>
        <x14:dataValidation type="list" allowBlank="1" showInputMessage="1" showErrorMessage="1" xr:uid="{00000000-0002-0000-0300-00004C240000}">
          <x14:formula1>
            <xm:f>項目!A4:$DXM$131074</xm:f>
          </x14:formula1>
          <xm:sqref>DXV131077:DXV131100</xm:sqref>
        </x14:dataValidation>
        <x14:dataValidation type="list" allowBlank="1" showInputMessage="1" showErrorMessage="1" xr:uid="{00000000-0002-0000-0300-00004D240000}">
          <x14:formula1>
            <xm:f>項目!A4:$EHI$131074</xm:f>
          </x14:formula1>
          <xm:sqref>EHR131077:EHR131100</xm:sqref>
        </x14:dataValidation>
        <x14:dataValidation type="list" allowBlank="1" showInputMessage="1" showErrorMessage="1" xr:uid="{00000000-0002-0000-0300-00004E240000}">
          <x14:formula1>
            <xm:f>項目!A4:$ERE$131074</xm:f>
          </x14:formula1>
          <xm:sqref>ERN131077:ERN131100</xm:sqref>
        </x14:dataValidation>
        <x14:dataValidation type="list" allowBlank="1" showInputMessage="1" showErrorMessage="1" xr:uid="{00000000-0002-0000-0300-00004F240000}">
          <x14:formula1>
            <xm:f>項目!A4:$FBA$131074</xm:f>
          </x14:formula1>
          <xm:sqref>FBJ131077:FBJ131100</xm:sqref>
        </x14:dataValidation>
        <x14:dataValidation type="list" allowBlank="1" showInputMessage="1" showErrorMessage="1" xr:uid="{00000000-0002-0000-0300-000050240000}">
          <x14:formula1>
            <xm:f>項目!A4:$FKW$131074</xm:f>
          </x14:formula1>
          <xm:sqref>FLF131077:FLF131100</xm:sqref>
        </x14:dataValidation>
        <x14:dataValidation type="list" allowBlank="1" showInputMessage="1" showErrorMessage="1" xr:uid="{00000000-0002-0000-0300-000051240000}">
          <x14:formula1>
            <xm:f>項目!A4:$FUS$131074</xm:f>
          </x14:formula1>
          <xm:sqref>FVB131077:FVB131100</xm:sqref>
        </x14:dataValidation>
        <x14:dataValidation type="list" allowBlank="1" showInputMessage="1" showErrorMessage="1" xr:uid="{00000000-0002-0000-0300-000052240000}">
          <x14:formula1>
            <xm:f>項目!A4:$GEO$131074</xm:f>
          </x14:formula1>
          <xm:sqref>GEX131077:GEX131100</xm:sqref>
        </x14:dataValidation>
        <x14:dataValidation type="list" allowBlank="1" showInputMessage="1" showErrorMessage="1" xr:uid="{00000000-0002-0000-0300-000053240000}">
          <x14:formula1>
            <xm:f>項目!A4:$GOK$131074</xm:f>
          </x14:formula1>
          <xm:sqref>GOT131077:GOT131100</xm:sqref>
        </x14:dataValidation>
        <x14:dataValidation type="list" allowBlank="1" showInputMessage="1" showErrorMessage="1" xr:uid="{00000000-0002-0000-0300-000054240000}">
          <x14:formula1>
            <xm:f>項目!A4:$GYG$131074</xm:f>
          </x14:formula1>
          <xm:sqref>GYP131077:GYP131100</xm:sqref>
        </x14:dataValidation>
        <x14:dataValidation type="list" allowBlank="1" showInputMessage="1" showErrorMessage="1" xr:uid="{00000000-0002-0000-0300-000055240000}">
          <x14:formula1>
            <xm:f>項目!A4:$HIC$131074</xm:f>
          </x14:formula1>
          <xm:sqref>HIL131077:HIL131100</xm:sqref>
        </x14:dataValidation>
        <x14:dataValidation type="list" allowBlank="1" showInputMessage="1" showErrorMessage="1" xr:uid="{00000000-0002-0000-0300-000056240000}">
          <x14:formula1>
            <xm:f>項目!A4:$HRY$131074</xm:f>
          </x14:formula1>
          <xm:sqref>HSH131077:HSH131100</xm:sqref>
        </x14:dataValidation>
        <x14:dataValidation type="list" allowBlank="1" showInputMessage="1" showErrorMessage="1" xr:uid="{00000000-0002-0000-0300-000057240000}">
          <x14:formula1>
            <xm:f>項目!A4:$IBU$131074</xm:f>
          </x14:formula1>
          <xm:sqref>ICD131077:ICD131100</xm:sqref>
        </x14:dataValidation>
        <x14:dataValidation type="list" allowBlank="1" showInputMessage="1" showErrorMessage="1" xr:uid="{00000000-0002-0000-0300-000058240000}">
          <x14:formula1>
            <xm:f>項目!A4:$ILQ$131074</xm:f>
          </x14:formula1>
          <xm:sqref>ILZ131077:ILZ131100</xm:sqref>
        </x14:dataValidation>
        <x14:dataValidation type="list" allowBlank="1" showInputMessage="1" showErrorMessage="1" xr:uid="{00000000-0002-0000-0300-000059240000}">
          <x14:formula1>
            <xm:f>項目!A4:$IVM$131074</xm:f>
          </x14:formula1>
          <xm:sqref>IVV131077:IVV131100</xm:sqref>
        </x14:dataValidation>
        <x14:dataValidation type="list" allowBlank="1" showInputMessage="1" showErrorMessage="1" xr:uid="{00000000-0002-0000-0300-00005A240000}">
          <x14:formula1>
            <xm:f>項目!A4:$JFI$131074</xm:f>
          </x14:formula1>
          <xm:sqref>JFR131077:JFR131100</xm:sqref>
        </x14:dataValidation>
        <x14:dataValidation type="list" allowBlank="1" showInputMessage="1" showErrorMessage="1" xr:uid="{00000000-0002-0000-0300-00005B240000}">
          <x14:formula1>
            <xm:f>項目!A4:$JPE$131074</xm:f>
          </x14:formula1>
          <xm:sqref>JPN131077:JPN131100</xm:sqref>
        </x14:dataValidation>
        <x14:dataValidation type="list" allowBlank="1" showInputMessage="1" showErrorMessage="1" xr:uid="{00000000-0002-0000-0300-00005C240000}">
          <x14:formula1>
            <xm:f>項目!A4:$JZA$131074</xm:f>
          </x14:formula1>
          <xm:sqref>JZJ131077:JZJ131100</xm:sqref>
        </x14:dataValidation>
        <x14:dataValidation type="list" allowBlank="1" showInputMessage="1" showErrorMessage="1" xr:uid="{00000000-0002-0000-0300-00005D240000}">
          <x14:formula1>
            <xm:f>項目!A4:$KIW$131074</xm:f>
          </x14:formula1>
          <xm:sqref>KJF131077:KJF131100</xm:sqref>
        </x14:dataValidation>
        <x14:dataValidation type="list" allowBlank="1" showInputMessage="1" showErrorMessage="1" xr:uid="{00000000-0002-0000-0300-00005E240000}">
          <x14:formula1>
            <xm:f>項目!A4:$KSS$131074</xm:f>
          </x14:formula1>
          <xm:sqref>KTB131077:KTB131100</xm:sqref>
        </x14:dataValidation>
        <x14:dataValidation type="list" allowBlank="1" showInputMessage="1" showErrorMessage="1" xr:uid="{00000000-0002-0000-0300-00005F240000}">
          <x14:formula1>
            <xm:f>項目!A4:$LCO$131074</xm:f>
          </x14:formula1>
          <xm:sqref>LCX131077:LCX131100</xm:sqref>
        </x14:dataValidation>
        <x14:dataValidation type="list" allowBlank="1" showInputMessage="1" showErrorMessage="1" xr:uid="{00000000-0002-0000-0300-000060240000}">
          <x14:formula1>
            <xm:f>項目!A4:$LMK$131074</xm:f>
          </x14:formula1>
          <xm:sqref>LMT131077:LMT131100</xm:sqref>
        </x14:dataValidation>
        <x14:dataValidation type="list" allowBlank="1" showInputMessage="1" showErrorMessage="1" xr:uid="{00000000-0002-0000-0300-000061240000}">
          <x14:formula1>
            <xm:f>項目!A4:$LWG$131074</xm:f>
          </x14:formula1>
          <xm:sqref>LWP131077:LWP131100</xm:sqref>
        </x14:dataValidation>
        <x14:dataValidation type="list" allowBlank="1" showInputMessage="1" showErrorMessage="1" xr:uid="{00000000-0002-0000-0300-000062240000}">
          <x14:formula1>
            <xm:f>項目!A4:$MGC$131074</xm:f>
          </x14:formula1>
          <xm:sqref>MGL131077:MGL131100</xm:sqref>
        </x14:dataValidation>
        <x14:dataValidation type="list" allowBlank="1" showInputMessage="1" showErrorMessage="1" xr:uid="{00000000-0002-0000-0300-000063240000}">
          <x14:formula1>
            <xm:f>項目!A4:$MPY$131074</xm:f>
          </x14:formula1>
          <xm:sqref>MQH131077:MQH131100</xm:sqref>
        </x14:dataValidation>
        <x14:dataValidation type="list" allowBlank="1" showInputMessage="1" showErrorMessage="1" xr:uid="{00000000-0002-0000-0300-000064240000}">
          <x14:formula1>
            <xm:f>項目!A4:$MZU$131074</xm:f>
          </x14:formula1>
          <xm:sqref>NAD131077:NAD131100</xm:sqref>
        </x14:dataValidation>
        <x14:dataValidation type="list" allowBlank="1" showInputMessage="1" showErrorMessage="1" xr:uid="{00000000-0002-0000-0300-000065240000}">
          <x14:formula1>
            <xm:f>項目!A4:$NJQ$131074</xm:f>
          </x14:formula1>
          <xm:sqref>NJZ131077:NJZ131100</xm:sqref>
        </x14:dataValidation>
        <x14:dataValidation type="list" allowBlank="1" showInputMessage="1" showErrorMessage="1" xr:uid="{00000000-0002-0000-0300-000066240000}">
          <x14:formula1>
            <xm:f>項目!A4:$NTM$131074</xm:f>
          </x14:formula1>
          <xm:sqref>NTV131077:NTV131100</xm:sqref>
        </x14:dataValidation>
        <x14:dataValidation type="list" allowBlank="1" showInputMessage="1" showErrorMessage="1" xr:uid="{00000000-0002-0000-0300-000067240000}">
          <x14:formula1>
            <xm:f>項目!A4:$ODI$131074</xm:f>
          </x14:formula1>
          <xm:sqref>ODR131077:ODR131100</xm:sqref>
        </x14:dataValidation>
        <x14:dataValidation type="list" allowBlank="1" showInputMessage="1" showErrorMessage="1" xr:uid="{00000000-0002-0000-0300-000068240000}">
          <x14:formula1>
            <xm:f>項目!A4:$ONE$131074</xm:f>
          </x14:formula1>
          <xm:sqref>ONN131077:ONN131100</xm:sqref>
        </x14:dataValidation>
        <x14:dataValidation type="list" allowBlank="1" showInputMessage="1" showErrorMessage="1" xr:uid="{00000000-0002-0000-0300-000069240000}">
          <x14:formula1>
            <xm:f>項目!A4:$OXA$131074</xm:f>
          </x14:formula1>
          <xm:sqref>OXJ131077:OXJ131100</xm:sqref>
        </x14:dataValidation>
        <x14:dataValidation type="list" allowBlank="1" showInputMessage="1" showErrorMessage="1" xr:uid="{00000000-0002-0000-0300-00006A240000}">
          <x14:formula1>
            <xm:f>項目!A4:$PGW$131074</xm:f>
          </x14:formula1>
          <xm:sqref>PHF131077:PHF131100</xm:sqref>
        </x14:dataValidation>
        <x14:dataValidation type="list" allowBlank="1" showInputMessage="1" showErrorMessage="1" xr:uid="{00000000-0002-0000-0300-00006B240000}">
          <x14:formula1>
            <xm:f>項目!A4:$PQS$131074</xm:f>
          </x14:formula1>
          <xm:sqref>PRB131077:PRB131100</xm:sqref>
        </x14:dataValidation>
        <x14:dataValidation type="list" allowBlank="1" showInputMessage="1" showErrorMessage="1" xr:uid="{00000000-0002-0000-0300-00006C240000}">
          <x14:formula1>
            <xm:f>項目!A4:$QAO$131074</xm:f>
          </x14:formula1>
          <xm:sqref>QAX131077:QAX131100</xm:sqref>
        </x14:dataValidation>
        <x14:dataValidation type="list" allowBlank="1" showInputMessage="1" showErrorMessage="1" xr:uid="{00000000-0002-0000-0300-00006D240000}">
          <x14:formula1>
            <xm:f>項目!A4:$QKK$131074</xm:f>
          </x14:formula1>
          <xm:sqref>QKT131077:QKT131100</xm:sqref>
        </x14:dataValidation>
        <x14:dataValidation type="list" allowBlank="1" showInputMessage="1" showErrorMessage="1" xr:uid="{00000000-0002-0000-0300-00006E240000}">
          <x14:formula1>
            <xm:f>項目!A4:$QUG$131074</xm:f>
          </x14:formula1>
          <xm:sqref>QUP131077:QUP131100</xm:sqref>
        </x14:dataValidation>
        <x14:dataValidation type="list" allowBlank="1" showInputMessage="1" showErrorMessage="1" xr:uid="{00000000-0002-0000-0300-00006F240000}">
          <x14:formula1>
            <xm:f>項目!A4:$REC$131074</xm:f>
          </x14:formula1>
          <xm:sqref>REL131077:REL131100</xm:sqref>
        </x14:dataValidation>
        <x14:dataValidation type="list" allowBlank="1" showInputMessage="1" showErrorMessage="1" xr:uid="{00000000-0002-0000-0300-000070240000}">
          <x14:formula1>
            <xm:f>項目!A4:$RNY$131074</xm:f>
          </x14:formula1>
          <xm:sqref>ROH131077:ROH131100</xm:sqref>
        </x14:dataValidation>
        <x14:dataValidation type="list" allowBlank="1" showInputMessage="1" showErrorMessage="1" xr:uid="{00000000-0002-0000-0300-000071240000}">
          <x14:formula1>
            <xm:f>項目!A4:$RXU$131074</xm:f>
          </x14:formula1>
          <xm:sqref>RYD131077:RYD131100</xm:sqref>
        </x14:dataValidation>
        <x14:dataValidation type="list" allowBlank="1" showInputMessage="1" showErrorMessage="1" xr:uid="{00000000-0002-0000-0300-000072240000}">
          <x14:formula1>
            <xm:f>項目!A4:$SHQ$131074</xm:f>
          </x14:formula1>
          <xm:sqref>SHZ131077:SHZ131100</xm:sqref>
        </x14:dataValidation>
        <x14:dataValidation type="list" allowBlank="1" showInputMessage="1" showErrorMessage="1" xr:uid="{00000000-0002-0000-0300-000073240000}">
          <x14:formula1>
            <xm:f>項目!A4:$SRM$131074</xm:f>
          </x14:formula1>
          <xm:sqref>SRV131077:SRV131100</xm:sqref>
        </x14:dataValidation>
        <x14:dataValidation type="list" allowBlank="1" showInputMessage="1" showErrorMessage="1" xr:uid="{00000000-0002-0000-0300-000074240000}">
          <x14:formula1>
            <xm:f>項目!A4:$TBI$131074</xm:f>
          </x14:formula1>
          <xm:sqref>TBR131077:TBR131100</xm:sqref>
        </x14:dataValidation>
        <x14:dataValidation type="list" allowBlank="1" showInputMessage="1" showErrorMessage="1" xr:uid="{00000000-0002-0000-0300-000075240000}">
          <x14:formula1>
            <xm:f>項目!A4:$TLE$131074</xm:f>
          </x14:formula1>
          <xm:sqref>TLN131077:TLN131100</xm:sqref>
        </x14:dataValidation>
        <x14:dataValidation type="list" allowBlank="1" showInputMessage="1" showErrorMessage="1" xr:uid="{00000000-0002-0000-0300-000076240000}">
          <x14:formula1>
            <xm:f>項目!A4:$TVA$131074</xm:f>
          </x14:formula1>
          <xm:sqref>TVJ131077:TVJ131100</xm:sqref>
        </x14:dataValidation>
        <x14:dataValidation type="list" allowBlank="1" showInputMessage="1" showErrorMessage="1" xr:uid="{00000000-0002-0000-0300-000077240000}">
          <x14:formula1>
            <xm:f>項目!A4:$UEW$131074</xm:f>
          </x14:formula1>
          <xm:sqref>UFF131077:UFF131100</xm:sqref>
        </x14:dataValidation>
        <x14:dataValidation type="list" allowBlank="1" showInputMessage="1" showErrorMessage="1" xr:uid="{00000000-0002-0000-0300-000078240000}">
          <x14:formula1>
            <xm:f>項目!A4:$UOS$131074</xm:f>
          </x14:formula1>
          <xm:sqref>UPB131077:UPB131100</xm:sqref>
        </x14:dataValidation>
        <x14:dataValidation type="list" allowBlank="1" showInputMessage="1" showErrorMessage="1" xr:uid="{00000000-0002-0000-0300-000079240000}">
          <x14:formula1>
            <xm:f>項目!A4:$UYO$131074</xm:f>
          </x14:formula1>
          <xm:sqref>UYX131077:UYX131100</xm:sqref>
        </x14:dataValidation>
        <x14:dataValidation type="list" allowBlank="1" showInputMessage="1" showErrorMessage="1" xr:uid="{00000000-0002-0000-0300-00007A240000}">
          <x14:formula1>
            <xm:f>項目!A4:$VIK$131074</xm:f>
          </x14:formula1>
          <xm:sqref>VIT131077:VIT131100</xm:sqref>
        </x14:dataValidation>
        <x14:dataValidation type="list" allowBlank="1" showInputMessage="1" showErrorMessage="1" xr:uid="{00000000-0002-0000-0300-00007B240000}">
          <x14:formula1>
            <xm:f>項目!A4:$VSG$131074</xm:f>
          </x14:formula1>
          <xm:sqref>VSP131077:VSP131100</xm:sqref>
        </x14:dataValidation>
        <x14:dataValidation type="list" allowBlank="1" showInputMessage="1" showErrorMessage="1" xr:uid="{00000000-0002-0000-0300-00007C240000}">
          <x14:formula1>
            <xm:f>項目!A4:$WCC$131074</xm:f>
          </x14:formula1>
          <xm:sqref>WCL131077:WCL131100</xm:sqref>
        </x14:dataValidation>
        <x14:dataValidation type="list" allowBlank="1" showInputMessage="1" showErrorMessage="1" xr:uid="{00000000-0002-0000-0300-00007D240000}">
          <x14:formula1>
            <xm:f>項目!A4:$WLY$131074</xm:f>
          </x14:formula1>
          <xm:sqref>WMH131077:WMH131100</xm:sqref>
        </x14:dataValidation>
        <x14:dataValidation type="list" allowBlank="1" showInputMessage="1" showErrorMessage="1" xr:uid="{00000000-0002-0000-0300-00007E240000}">
          <x14:formula1>
            <xm:f>項目!A4:$WVU$131074</xm:f>
          </x14:formula1>
          <xm:sqref>WWD131077:WWD131100</xm:sqref>
        </x14:dataValidation>
        <x14:dataValidation type="list" allowBlank="1" showInputMessage="1" showErrorMessage="1" xr:uid="{00000000-0002-0000-0300-00007F240000}">
          <x14:formula1>
            <xm:f>項目!A4:$N$196610</xm:f>
          </x14:formula1>
          <xm:sqref>V196613:V196636</xm:sqref>
        </x14:dataValidation>
        <x14:dataValidation type="list" allowBlank="1" showInputMessage="1" showErrorMessage="1" xr:uid="{00000000-0002-0000-0300-000080240000}">
          <x14:formula1>
            <xm:f>項目!A4:$JI$196610</xm:f>
          </x14:formula1>
          <xm:sqref>JR196613:JR196636</xm:sqref>
        </x14:dataValidation>
        <x14:dataValidation type="list" allowBlank="1" showInputMessage="1" showErrorMessage="1" xr:uid="{00000000-0002-0000-0300-000081240000}">
          <x14:formula1>
            <xm:f>項目!A4:$TE$196610</xm:f>
          </x14:formula1>
          <xm:sqref>TN196613:TN196636</xm:sqref>
        </x14:dataValidation>
        <x14:dataValidation type="list" allowBlank="1" showInputMessage="1" showErrorMessage="1" xr:uid="{00000000-0002-0000-0300-000082240000}">
          <x14:formula1>
            <xm:f>項目!A4:$ADA$196610</xm:f>
          </x14:formula1>
          <xm:sqref>ADJ196613:ADJ196636</xm:sqref>
        </x14:dataValidation>
        <x14:dataValidation type="list" allowBlank="1" showInputMessage="1" showErrorMessage="1" xr:uid="{00000000-0002-0000-0300-000083240000}">
          <x14:formula1>
            <xm:f>項目!A4:$AMW$196610</xm:f>
          </x14:formula1>
          <xm:sqref>ANF196613:ANF196636</xm:sqref>
        </x14:dataValidation>
        <x14:dataValidation type="list" allowBlank="1" showInputMessage="1" showErrorMessage="1" xr:uid="{00000000-0002-0000-0300-000084240000}">
          <x14:formula1>
            <xm:f>項目!A4:$AWS$196610</xm:f>
          </x14:formula1>
          <xm:sqref>AXB196613:AXB196636</xm:sqref>
        </x14:dataValidation>
        <x14:dataValidation type="list" allowBlank="1" showInputMessage="1" showErrorMessage="1" xr:uid="{00000000-0002-0000-0300-000085240000}">
          <x14:formula1>
            <xm:f>項目!A4:$BGO$196610</xm:f>
          </x14:formula1>
          <xm:sqref>BGX196613:BGX196636</xm:sqref>
        </x14:dataValidation>
        <x14:dataValidation type="list" allowBlank="1" showInputMessage="1" showErrorMessage="1" xr:uid="{00000000-0002-0000-0300-000086240000}">
          <x14:formula1>
            <xm:f>項目!A4:$BQK$196610</xm:f>
          </x14:formula1>
          <xm:sqref>BQT196613:BQT196636</xm:sqref>
        </x14:dataValidation>
        <x14:dataValidation type="list" allowBlank="1" showInputMessage="1" showErrorMessage="1" xr:uid="{00000000-0002-0000-0300-000087240000}">
          <x14:formula1>
            <xm:f>項目!A4:$CAG$196610</xm:f>
          </x14:formula1>
          <xm:sqref>CAP196613:CAP196636</xm:sqref>
        </x14:dataValidation>
        <x14:dataValidation type="list" allowBlank="1" showInputMessage="1" showErrorMessage="1" xr:uid="{00000000-0002-0000-0300-000088240000}">
          <x14:formula1>
            <xm:f>項目!A4:$CKC$196610</xm:f>
          </x14:formula1>
          <xm:sqref>CKL196613:CKL196636</xm:sqref>
        </x14:dataValidation>
        <x14:dataValidation type="list" allowBlank="1" showInputMessage="1" showErrorMessage="1" xr:uid="{00000000-0002-0000-0300-000089240000}">
          <x14:formula1>
            <xm:f>項目!A4:$CTY$196610</xm:f>
          </x14:formula1>
          <xm:sqref>CUH196613:CUH196636</xm:sqref>
        </x14:dataValidation>
        <x14:dataValidation type="list" allowBlank="1" showInputMessage="1" showErrorMessage="1" xr:uid="{00000000-0002-0000-0300-00008A240000}">
          <x14:formula1>
            <xm:f>項目!A4:$DDU$196610</xm:f>
          </x14:formula1>
          <xm:sqref>DED196613:DED196636</xm:sqref>
        </x14:dataValidation>
        <x14:dataValidation type="list" allowBlank="1" showInputMessage="1" showErrorMessage="1" xr:uid="{00000000-0002-0000-0300-00008B240000}">
          <x14:formula1>
            <xm:f>項目!A4:$DNQ$196610</xm:f>
          </x14:formula1>
          <xm:sqref>DNZ196613:DNZ196636</xm:sqref>
        </x14:dataValidation>
        <x14:dataValidation type="list" allowBlank="1" showInputMessage="1" showErrorMessage="1" xr:uid="{00000000-0002-0000-0300-00008C240000}">
          <x14:formula1>
            <xm:f>項目!A4:$DXM$196610</xm:f>
          </x14:formula1>
          <xm:sqref>DXV196613:DXV196636</xm:sqref>
        </x14:dataValidation>
        <x14:dataValidation type="list" allowBlank="1" showInputMessage="1" showErrorMessage="1" xr:uid="{00000000-0002-0000-0300-00008D240000}">
          <x14:formula1>
            <xm:f>項目!A4:$EHI$196610</xm:f>
          </x14:formula1>
          <xm:sqref>EHR196613:EHR196636</xm:sqref>
        </x14:dataValidation>
        <x14:dataValidation type="list" allowBlank="1" showInputMessage="1" showErrorMessage="1" xr:uid="{00000000-0002-0000-0300-00008E240000}">
          <x14:formula1>
            <xm:f>項目!A4:$ERE$196610</xm:f>
          </x14:formula1>
          <xm:sqref>ERN196613:ERN196636</xm:sqref>
        </x14:dataValidation>
        <x14:dataValidation type="list" allowBlank="1" showInputMessage="1" showErrorMessage="1" xr:uid="{00000000-0002-0000-0300-00008F240000}">
          <x14:formula1>
            <xm:f>項目!A4:$FBA$196610</xm:f>
          </x14:formula1>
          <xm:sqref>FBJ196613:FBJ196636</xm:sqref>
        </x14:dataValidation>
        <x14:dataValidation type="list" allowBlank="1" showInputMessage="1" showErrorMessage="1" xr:uid="{00000000-0002-0000-0300-000090240000}">
          <x14:formula1>
            <xm:f>項目!A4:$FKW$196610</xm:f>
          </x14:formula1>
          <xm:sqref>FLF196613:FLF196636</xm:sqref>
        </x14:dataValidation>
        <x14:dataValidation type="list" allowBlank="1" showInputMessage="1" showErrorMessage="1" xr:uid="{00000000-0002-0000-0300-000091240000}">
          <x14:formula1>
            <xm:f>項目!A4:$FUS$196610</xm:f>
          </x14:formula1>
          <xm:sqref>FVB196613:FVB196636</xm:sqref>
        </x14:dataValidation>
        <x14:dataValidation type="list" allowBlank="1" showInputMessage="1" showErrorMessage="1" xr:uid="{00000000-0002-0000-0300-000092240000}">
          <x14:formula1>
            <xm:f>項目!A4:$GEO$196610</xm:f>
          </x14:formula1>
          <xm:sqref>GEX196613:GEX196636</xm:sqref>
        </x14:dataValidation>
        <x14:dataValidation type="list" allowBlank="1" showInputMessage="1" showErrorMessage="1" xr:uid="{00000000-0002-0000-0300-000093240000}">
          <x14:formula1>
            <xm:f>項目!A4:$GOK$196610</xm:f>
          </x14:formula1>
          <xm:sqref>GOT196613:GOT196636</xm:sqref>
        </x14:dataValidation>
        <x14:dataValidation type="list" allowBlank="1" showInputMessage="1" showErrorMessage="1" xr:uid="{00000000-0002-0000-0300-000094240000}">
          <x14:formula1>
            <xm:f>項目!A4:$GYG$196610</xm:f>
          </x14:formula1>
          <xm:sqref>GYP196613:GYP196636</xm:sqref>
        </x14:dataValidation>
        <x14:dataValidation type="list" allowBlank="1" showInputMessage="1" showErrorMessage="1" xr:uid="{00000000-0002-0000-0300-000095240000}">
          <x14:formula1>
            <xm:f>項目!A4:$HIC$196610</xm:f>
          </x14:formula1>
          <xm:sqref>HIL196613:HIL196636</xm:sqref>
        </x14:dataValidation>
        <x14:dataValidation type="list" allowBlank="1" showInputMessage="1" showErrorMessage="1" xr:uid="{00000000-0002-0000-0300-000096240000}">
          <x14:formula1>
            <xm:f>項目!A4:$HRY$196610</xm:f>
          </x14:formula1>
          <xm:sqref>HSH196613:HSH196636</xm:sqref>
        </x14:dataValidation>
        <x14:dataValidation type="list" allowBlank="1" showInputMessage="1" showErrorMessage="1" xr:uid="{00000000-0002-0000-0300-000097240000}">
          <x14:formula1>
            <xm:f>項目!A4:$IBU$196610</xm:f>
          </x14:formula1>
          <xm:sqref>ICD196613:ICD196636</xm:sqref>
        </x14:dataValidation>
        <x14:dataValidation type="list" allowBlank="1" showInputMessage="1" showErrorMessage="1" xr:uid="{00000000-0002-0000-0300-000098240000}">
          <x14:formula1>
            <xm:f>項目!A4:$ILQ$196610</xm:f>
          </x14:formula1>
          <xm:sqref>ILZ196613:ILZ196636</xm:sqref>
        </x14:dataValidation>
        <x14:dataValidation type="list" allowBlank="1" showInputMessage="1" showErrorMessage="1" xr:uid="{00000000-0002-0000-0300-000099240000}">
          <x14:formula1>
            <xm:f>項目!A4:$IVM$196610</xm:f>
          </x14:formula1>
          <xm:sqref>IVV196613:IVV196636</xm:sqref>
        </x14:dataValidation>
        <x14:dataValidation type="list" allowBlank="1" showInputMessage="1" showErrorMessage="1" xr:uid="{00000000-0002-0000-0300-00009A240000}">
          <x14:formula1>
            <xm:f>項目!A4:$JFI$196610</xm:f>
          </x14:formula1>
          <xm:sqref>JFR196613:JFR196636</xm:sqref>
        </x14:dataValidation>
        <x14:dataValidation type="list" allowBlank="1" showInputMessage="1" showErrorMessage="1" xr:uid="{00000000-0002-0000-0300-00009B240000}">
          <x14:formula1>
            <xm:f>項目!A4:$JPE$196610</xm:f>
          </x14:formula1>
          <xm:sqref>JPN196613:JPN196636</xm:sqref>
        </x14:dataValidation>
        <x14:dataValidation type="list" allowBlank="1" showInputMessage="1" showErrorMessage="1" xr:uid="{00000000-0002-0000-0300-00009C240000}">
          <x14:formula1>
            <xm:f>項目!A4:$JZA$196610</xm:f>
          </x14:formula1>
          <xm:sqref>JZJ196613:JZJ196636</xm:sqref>
        </x14:dataValidation>
        <x14:dataValidation type="list" allowBlank="1" showInputMessage="1" showErrorMessage="1" xr:uid="{00000000-0002-0000-0300-00009D240000}">
          <x14:formula1>
            <xm:f>項目!A4:$KIW$196610</xm:f>
          </x14:formula1>
          <xm:sqref>KJF196613:KJF196636</xm:sqref>
        </x14:dataValidation>
        <x14:dataValidation type="list" allowBlank="1" showInputMessage="1" showErrorMessage="1" xr:uid="{00000000-0002-0000-0300-00009E240000}">
          <x14:formula1>
            <xm:f>項目!A4:$KSS$196610</xm:f>
          </x14:formula1>
          <xm:sqref>KTB196613:KTB196636</xm:sqref>
        </x14:dataValidation>
        <x14:dataValidation type="list" allowBlank="1" showInputMessage="1" showErrorMessage="1" xr:uid="{00000000-0002-0000-0300-00009F240000}">
          <x14:formula1>
            <xm:f>項目!A4:$LCO$196610</xm:f>
          </x14:formula1>
          <xm:sqref>LCX196613:LCX196636</xm:sqref>
        </x14:dataValidation>
        <x14:dataValidation type="list" allowBlank="1" showInputMessage="1" showErrorMessage="1" xr:uid="{00000000-0002-0000-0300-0000A0240000}">
          <x14:formula1>
            <xm:f>項目!A4:$LMK$196610</xm:f>
          </x14:formula1>
          <xm:sqref>LMT196613:LMT196636</xm:sqref>
        </x14:dataValidation>
        <x14:dataValidation type="list" allowBlank="1" showInputMessage="1" showErrorMessage="1" xr:uid="{00000000-0002-0000-0300-0000A1240000}">
          <x14:formula1>
            <xm:f>項目!A4:$LWG$196610</xm:f>
          </x14:formula1>
          <xm:sqref>LWP196613:LWP196636</xm:sqref>
        </x14:dataValidation>
        <x14:dataValidation type="list" allowBlank="1" showInputMessage="1" showErrorMessage="1" xr:uid="{00000000-0002-0000-0300-0000A2240000}">
          <x14:formula1>
            <xm:f>項目!A4:$MGC$196610</xm:f>
          </x14:formula1>
          <xm:sqref>MGL196613:MGL196636</xm:sqref>
        </x14:dataValidation>
        <x14:dataValidation type="list" allowBlank="1" showInputMessage="1" showErrorMessage="1" xr:uid="{00000000-0002-0000-0300-0000A3240000}">
          <x14:formula1>
            <xm:f>項目!A4:$MPY$196610</xm:f>
          </x14:formula1>
          <xm:sqref>MQH196613:MQH196636</xm:sqref>
        </x14:dataValidation>
        <x14:dataValidation type="list" allowBlank="1" showInputMessage="1" showErrorMessage="1" xr:uid="{00000000-0002-0000-0300-0000A4240000}">
          <x14:formula1>
            <xm:f>項目!A4:$MZU$196610</xm:f>
          </x14:formula1>
          <xm:sqref>NAD196613:NAD196636</xm:sqref>
        </x14:dataValidation>
        <x14:dataValidation type="list" allowBlank="1" showInputMessage="1" showErrorMessage="1" xr:uid="{00000000-0002-0000-0300-0000A5240000}">
          <x14:formula1>
            <xm:f>項目!A4:$NJQ$196610</xm:f>
          </x14:formula1>
          <xm:sqref>NJZ196613:NJZ196636</xm:sqref>
        </x14:dataValidation>
        <x14:dataValidation type="list" allowBlank="1" showInputMessage="1" showErrorMessage="1" xr:uid="{00000000-0002-0000-0300-0000A6240000}">
          <x14:formula1>
            <xm:f>項目!A4:$NTM$196610</xm:f>
          </x14:formula1>
          <xm:sqref>NTV196613:NTV196636</xm:sqref>
        </x14:dataValidation>
        <x14:dataValidation type="list" allowBlank="1" showInputMessage="1" showErrorMessage="1" xr:uid="{00000000-0002-0000-0300-0000A7240000}">
          <x14:formula1>
            <xm:f>項目!A4:$ODI$196610</xm:f>
          </x14:formula1>
          <xm:sqref>ODR196613:ODR196636</xm:sqref>
        </x14:dataValidation>
        <x14:dataValidation type="list" allowBlank="1" showInputMessage="1" showErrorMessage="1" xr:uid="{00000000-0002-0000-0300-0000A8240000}">
          <x14:formula1>
            <xm:f>項目!A4:$ONE$196610</xm:f>
          </x14:formula1>
          <xm:sqref>ONN196613:ONN196636</xm:sqref>
        </x14:dataValidation>
        <x14:dataValidation type="list" allowBlank="1" showInputMessage="1" showErrorMessage="1" xr:uid="{00000000-0002-0000-0300-0000A9240000}">
          <x14:formula1>
            <xm:f>項目!A4:$OXA$196610</xm:f>
          </x14:formula1>
          <xm:sqref>OXJ196613:OXJ196636</xm:sqref>
        </x14:dataValidation>
        <x14:dataValidation type="list" allowBlank="1" showInputMessage="1" showErrorMessage="1" xr:uid="{00000000-0002-0000-0300-0000AA240000}">
          <x14:formula1>
            <xm:f>項目!A4:$PGW$196610</xm:f>
          </x14:formula1>
          <xm:sqref>PHF196613:PHF196636</xm:sqref>
        </x14:dataValidation>
        <x14:dataValidation type="list" allowBlank="1" showInputMessage="1" showErrorMessage="1" xr:uid="{00000000-0002-0000-0300-0000AB240000}">
          <x14:formula1>
            <xm:f>項目!A4:$PQS$196610</xm:f>
          </x14:formula1>
          <xm:sqref>PRB196613:PRB196636</xm:sqref>
        </x14:dataValidation>
        <x14:dataValidation type="list" allowBlank="1" showInputMessage="1" showErrorMessage="1" xr:uid="{00000000-0002-0000-0300-0000AC240000}">
          <x14:formula1>
            <xm:f>項目!A4:$QAO$196610</xm:f>
          </x14:formula1>
          <xm:sqref>QAX196613:QAX196636</xm:sqref>
        </x14:dataValidation>
        <x14:dataValidation type="list" allowBlank="1" showInputMessage="1" showErrorMessage="1" xr:uid="{00000000-0002-0000-0300-0000AD240000}">
          <x14:formula1>
            <xm:f>項目!A4:$QKK$196610</xm:f>
          </x14:formula1>
          <xm:sqref>QKT196613:QKT196636</xm:sqref>
        </x14:dataValidation>
        <x14:dataValidation type="list" allowBlank="1" showInputMessage="1" showErrorMessage="1" xr:uid="{00000000-0002-0000-0300-0000AE240000}">
          <x14:formula1>
            <xm:f>項目!A4:$QUG$196610</xm:f>
          </x14:formula1>
          <xm:sqref>QUP196613:QUP196636</xm:sqref>
        </x14:dataValidation>
        <x14:dataValidation type="list" allowBlank="1" showInputMessage="1" showErrorMessage="1" xr:uid="{00000000-0002-0000-0300-0000AF240000}">
          <x14:formula1>
            <xm:f>項目!A4:$REC$196610</xm:f>
          </x14:formula1>
          <xm:sqref>REL196613:REL196636</xm:sqref>
        </x14:dataValidation>
        <x14:dataValidation type="list" allowBlank="1" showInputMessage="1" showErrorMessage="1" xr:uid="{00000000-0002-0000-0300-0000B0240000}">
          <x14:formula1>
            <xm:f>項目!A4:$RNY$196610</xm:f>
          </x14:formula1>
          <xm:sqref>ROH196613:ROH196636</xm:sqref>
        </x14:dataValidation>
        <x14:dataValidation type="list" allowBlank="1" showInputMessage="1" showErrorMessage="1" xr:uid="{00000000-0002-0000-0300-0000B1240000}">
          <x14:formula1>
            <xm:f>項目!A4:$RXU$196610</xm:f>
          </x14:formula1>
          <xm:sqref>RYD196613:RYD196636</xm:sqref>
        </x14:dataValidation>
        <x14:dataValidation type="list" allowBlank="1" showInputMessage="1" showErrorMessage="1" xr:uid="{00000000-0002-0000-0300-0000B2240000}">
          <x14:formula1>
            <xm:f>項目!A4:$SHQ$196610</xm:f>
          </x14:formula1>
          <xm:sqref>SHZ196613:SHZ196636</xm:sqref>
        </x14:dataValidation>
        <x14:dataValidation type="list" allowBlank="1" showInputMessage="1" showErrorMessage="1" xr:uid="{00000000-0002-0000-0300-0000B3240000}">
          <x14:formula1>
            <xm:f>項目!A4:$SRM$196610</xm:f>
          </x14:formula1>
          <xm:sqref>SRV196613:SRV196636</xm:sqref>
        </x14:dataValidation>
        <x14:dataValidation type="list" allowBlank="1" showInputMessage="1" showErrorMessage="1" xr:uid="{00000000-0002-0000-0300-0000B4240000}">
          <x14:formula1>
            <xm:f>項目!A4:$TBI$196610</xm:f>
          </x14:formula1>
          <xm:sqref>TBR196613:TBR196636</xm:sqref>
        </x14:dataValidation>
        <x14:dataValidation type="list" allowBlank="1" showInputMessage="1" showErrorMessage="1" xr:uid="{00000000-0002-0000-0300-0000B5240000}">
          <x14:formula1>
            <xm:f>項目!A4:$TLE$196610</xm:f>
          </x14:formula1>
          <xm:sqref>TLN196613:TLN196636</xm:sqref>
        </x14:dataValidation>
        <x14:dataValidation type="list" allowBlank="1" showInputMessage="1" showErrorMessage="1" xr:uid="{00000000-0002-0000-0300-0000B6240000}">
          <x14:formula1>
            <xm:f>項目!A4:$TVA$196610</xm:f>
          </x14:formula1>
          <xm:sqref>TVJ196613:TVJ196636</xm:sqref>
        </x14:dataValidation>
        <x14:dataValidation type="list" allowBlank="1" showInputMessage="1" showErrorMessage="1" xr:uid="{00000000-0002-0000-0300-0000B7240000}">
          <x14:formula1>
            <xm:f>項目!A4:$UEW$196610</xm:f>
          </x14:formula1>
          <xm:sqref>UFF196613:UFF196636</xm:sqref>
        </x14:dataValidation>
        <x14:dataValidation type="list" allowBlank="1" showInputMessage="1" showErrorMessage="1" xr:uid="{00000000-0002-0000-0300-0000B8240000}">
          <x14:formula1>
            <xm:f>項目!A4:$UOS$196610</xm:f>
          </x14:formula1>
          <xm:sqref>UPB196613:UPB196636</xm:sqref>
        </x14:dataValidation>
        <x14:dataValidation type="list" allowBlank="1" showInputMessage="1" showErrorMessage="1" xr:uid="{00000000-0002-0000-0300-0000B9240000}">
          <x14:formula1>
            <xm:f>項目!A4:$UYO$196610</xm:f>
          </x14:formula1>
          <xm:sqref>UYX196613:UYX196636</xm:sqref>
        </x14:dataValidation>
        <x14:dataValidation type="list" allowBlank="1" showInputMessage="1" showErrorMessage="1" xr:uid="{00000000-0002-0000-0300-0000BA240000}">
          <x14:formula1>
            <xm:f>項目!A4:$VIK$196610</xm:f>
          </x14:formula1>
          <xm:sqref>VIT196613:VIT196636</xm:sqref>
        </x14:dataValidation>
        <x14:dataValidation type="list" allowBlank="1" showInputMessage="1" showErrorMessage="1" xr:uid="{00000000-0002-0000-0300-0000BB240000}">
          <x14:formula1>
            <xm:f>項目!A4:$VSG$196610</xm:f>
          </x14:formula1>
          <xm:sqref>VSP196613:VSP196636</xm:sqref>
        </x14:dataValidation>
        <x14:dataValidation type="list" allowBlank="1" showInputMessage="1" showErrorMessage="1" xr:uid="{00000000-0002-0000-0300-0000BC240000}">
          <x14:formula1>
            <xm:f>項目!A4:$WCC$196610</xm:f>
          </x14:formula1>
          <xm:sqref>WCL196613:WCL196636</xm:sqref>
        </x14:dataValidation>
        <x14:dataValidation type="list" allowBlank="1" showInputMessage="1" showErrorMessage="1" xr:uid="{00000000-0002-0000-0300-0000BD240000}">
          <x14:formula1>
            <xm:f>項目!A4:$WLY$196610</xm:f>
          </x14:formula1>
          <xm:sqref>WMH196613:WMH196636</xm:sqref>
        </x14:dataValidation>
        <x14:dataValidation type="list" allowBlank="1" showInputMessage="1" showErrorMessage="1" xr:uid="{00000000-0002-0000-0300-0000BE240000}">
          <x14:formula1>
            <xm:f>項目!A4:$WVU$196610</xm:f>
          </x14:formula1>
          <xm:sqref>WWD196613:WWD196636</xm:sqref>
        </x14:dataValidation>
        <x14:dataValidation type="list" allowBlank="1" showInputMessage="1" showErrorMessage="1" xr:uid="{00000000-0002-0000-0300-0000BF240000}">
          <x14:formula1>
            <xm:f>項目!A4:$N$262146</xm:f>
          </x14:formula1>
          <xm:sqref>V262149:V262172</xm:sqref>
        </x14:dataValidation>
        <x14:dataValidation type="list" allowBlank="1" showInputMessage="1" showErrorMessage="1" xr:uid="{00000000-0002-0000-0300-0000C0240000}">
          <x14:formula1>
            <xm:f>項目!A4:$JI$262146</xm:f>
          </x14:formula1>
          <xm:sqref>JR262149:JR262172</xm:sqref>
        </x14:dataValidation>
        <x14:dataValidation type="list" allowBlank="1" showInputMessage="1" showErrorMessage="1" xr:uid="{00000000-0002-0000-0300-0000C1240000}">
          <x14:formula1>
            <xm:f>項目!A4:$TE$262146</xm:f>
          </x14:formula1>
          <xm:sqref>TN262149:TN262172</xm:sqref>
        </x14:dataValidation>
        <x14:dataValidation type="list" allowBlank="1" showInputMessage="1" showErrorMessage="1" xr:uid="{00000000-0002-0000-0300-0000C2240000}">
          <x14:formula1>
            <xm:f>項目!A4:$ADA$262146</xm:f>
          </x14:formula1>
          <xm:sqref>ADJ262149:ADJ262172</xm:sqref>
        </x14:dataValidation>
        <x14:dataValidation type="list" allowBlank="1" showInputMessage="1" showErrorMessage="1" xr:uid="{00000000-0002-0000-0300-0000C3240000}">
          <x14:formula1>
            <xm:f>項目!A4:$AMW$262146</xm:f>
          </x14:formula1>
          <xm:sqref>ANF262149:ANF262172</xm:sqref>
        </x14:dataValidation>
        <x14:dataValidation type="list" allowBlank="1" showInputMessage="1" showErrorMessage="1" xr:uid="{00000000-0002-0000-0300-0000C4240000}">
          <x14:formula1>
            <xm:f>項目!A4:$AWS$262146</xm:f>
          </x14:formula1>
          <xm:sqref>AXB262149:AXB262172</xm:sqref>
        </x14:dataValidation>
        <x14:dataValidation type="list" allowBlank="1" showInputMessage="1" showErrorMessage="1" xr:uid="{00000000-0002-0000-0300-0000C5240000}">
          <x14:formula1>
            <xm:f>項目!A4:$BGO$262146</xm:f>
          </x14:formula1>
          <xm:sqref>BGX262149:BGX262172</xm:sqref>
        </x14:dataValidation>
        <x14:dataValidation type="list" allowBlank="1" showInputMessage="1" showErrorMessage="1" xr:uid="{00000000-0002-0000-0300-0000C6240000}">
          <x14:formula1>
            <xm:f>項目!A4:$BQK$262146</xm:f>
          </x14:formula1>
          <xm:sqref>BQT262149:BQT262172</xm:sqref>
        </x14:dataValidation>
        <x14:dataValidation type="list" allowBlank="1" showInputMessage="1" showErrorMessage="1" xr:uid="{00000000-0002-0000-0300-0000C7240000}">
          <x14:formula1>
            <xm:f>項目!A4:$CAG$262146</xm:f>
          </x14:formula1>
          <xm:sqref>CAP262149:CAP262172</xm:sqref>
        </x14:dataValidation>
        <x14:dataValidation type="list" allowBlank="1" showInputMessage="1" showErrorMessage="1" xr:uid="{00000000-0002-0000-0300-0000C8240000}">
          <x14:formula1>
            <xm:f>項目!A4:$CKC$262146</xm:f>
          </x14:formula1>
          <xm:sqref>CKL262149:CKL262172</xm:sqref>
        </x14:dataValidation>
        <x14:dataValidation type="list" allowBlank="1" showInputMessage="1" showErrorMessage="1" xr:uid="{00000000-0002-0000-0300-0000C9240000}">
          <x14:formula1>
            <xm:f>項目!A4:$CTY$262146</xm:f>
          </x14:formula1>
          <xm:sqref>CUH262149:CUH262172</xm:sqref>
        </x14:dataValidation>
        <x14:dataValidation type="list" allowBlank="1" showInputMessage="1" showErrorMessage="1" xr:uid="{00000000-0002-0000-0300-0000CA240000}">
          <x14:formula1>
            <xm:f>項目!A4:$DDU$262146</xm:f>
          </x14:formula1>
          <xm:sqref>DED262149:DED262172</xm:sqref>
        </x14:dataValidation>
        <x14:dataValidation type="list" allowBlank="1" showInputMessage="1" showErrorMessage="1" xr:uid="{00000000-0002-0000-0300-0000CB240000}">
          <x14:formula1>
            <xm:f>項目!A4:$DNQ$262146</xm:f>
          </x14:formula1>
          <xm:sqref>DNZ262149:DNZ262172</xm:sqref>
        </x14:dataValidation>
        <x14:dataValidation type="list" allowBlank="1" showInputMessage="1" showErrorMessage="1" xr:uid="{00000000-0002-0000-0300-0000CC240000}">
          <x14:formula1>
            <xm:f>項目!A4:$DXM$262146</xm:f>
          </x14:formula1>
          <xm:sqref>DXV262149:DXV262172</xm:sqref>
        </x14:dataValidation>
        <x14:dataValidation type="list" allowBlank="1" showInputMessage="1" showErrorMessage="1" xr:uid="{00000000-0002-0000-0300-0000CD240000}">
          <x14:formula1>
            <xm:f>項目!A4:$EHI$262146</xm:f>
          </x14:formula1>
          <xm:sqref>EHR262149:EHR262172</xm:sqref>
        </x14:dataValidation>
        <x14:dataValidation type="list" allowBlank="1" showInputMessage="1" showErrorMessage="1" xr:uid="{00000000-0002-0000-0300-0000CE240000}">
          <x14:formula1>
            <xm:f>項目!A4:$ERE$262146</xm:f>
          </x14:formula1>
          <xm:sqref>ERN262149:ERN262172</xm:sqref>
        </x14:dataValidation>
        <x14:dataValidation type="list" allowBlank="1" showInputMessage="1" showErrorMessage="1" xr:uid="{00000000-0002-0000-0300-0000CF240000}">
          <x14:formula1>
            <xm:f>項目!A4:$FBA$262146</xm:f>
          </x14:formula1>
          <xm:sqref>FBJ262149:FBJ262172</xm:sqref>
        </x14:dataValidation>
        <x14:dataValidation type="list" allowBlank="1" showInputMessage="1" showErrorMessage="1" xr:uid="{00000000-0002-0000-0300-0000D0240000}">
          <x14:formula1>
            <xm:f>項目!A4:$FKW$262146</xm:f>
          </x14:formula1>
          <xm:sqref>FLF262149:FLF262172</xm:sqref>
        </x14:dataValidation>
        <x14:dataValidation type="list" allowBlank="1" showInputMessage="1" showErrorMessage="1" xr:uid="{00000000-0002-0000-0300-0000D1240000}">
          <x14:formula1>
            <xm:f>項目!A4:$FUS$262146</xm:f>
          </x14:formula1>
          <xm:sqref>FVB262149:FVB262172</xm:sqref>
        </x14:dataValidation>
        <x14:dataValidation type="list" allowBlank="1" showInputMessage="1" showErrorMessage="1" xr:uid="{00000000-0002-0000-0300-0000D2240000}">
          <x14:formula1>
            <xm:f>項目!A4:$GEO$262146</xm:f>
          </x14:formula1>
          <xm:sqref>GEX262149:GEX262172</xm:sqref>
        </x14:dataValidation>
        <x14:dataValidation type="list" allowBlank="1" showInputMessage="1" showErrorMessage="1" xr:uid="{00000000-0002-0000-0300-0000D3240000}">
          <x14:formula1>
            <xm:f>項目!A4:$GOK$262146</xm:f>
          </x14:formula1>
          <xm:sqref>GOT262149:GOT262172</xm:sqref>
        </x14:dataValidation>
        <x14:dataValidation type="list" allowBlank="1" showInputMessage="1" showErrorMessage="1" xr:uid="{00000000-0002-0000-0300-0000D4240000}">
          <x14:formula1>
            <xm:f>項目!A4:$GYG$262146</xm:f>
          </x14:formula1>
          <xm:sqref>GYP262149:GYP262172</xm:sqref>
        </x14:dataValidation>
        <x14:dataValidation type="list" allowBlank="1" showInputMessage="1" showErrorMessage="1" xr:uid="{00000000-0002-0000-0300-0000D5240000}">
          <x14:formula1>
            <xm:f>項目!A4:$HIC$262146</xm:f>
          </x14:formula1>
          <xm:sqref>HIL262149:HIL262172</xm:sqref>
        </x14:dataValidation>
        <x14:dataValidation type="list" allowBlank="1" showInputMessage="1" showErrorMessage="1" xr:uid="{00000000-0002-0000-0300-0000D6240000}">
          <x14:formula1>
            <xm:f>項目!A4:$HRY$262146</xm:f>
          </x14:formula1>
          <xm:sqref>HSH262149:HSH262172</xm:sqref>
        </x14:dataValidation>
        <x14:dataValidation type="list" allowBlank="1" showInputMessage="1" showErrorMessage="1" xr:uid="{00000000-0002-0000-0300-0000D7240000}">
          <x14:formula1>
            <xm:f>項目!A4:$IBU$262146</xm:f>
          </x14:formula1>
          <xm:sqref>ICD262149:ICD262172</xm:sqref>
        </x14:dataValidation>
        <x14:dataValidation type="list" allowBlank="1" showInputMessage="1" showErrorMessage="1" xr:uid="{00000000-0002-0000-0300-0000D8240000}">
          <x14:formula1>
            <xm:f>項目!A4:$ILQ$262146</xm:f>
          </x14:formula1>
          <xm:sqref>ILZ262149:ILZ262172</xm:sqref>
        </x14:dataValidation>
        <x14:dataValidation type="list" allowBlank="1" showInputMessage="1" showErrorMessage="1" xr:uid="{00000000-0002-0000-0300-0000D9240000}">
          <x14:formula1>
            <xm:f>項目!A4:$IVM$262146</xm:f>
          </x14:formula1>
          <xm:sqref>IVV262149:IVV262172</xm:sqref>
        </x14:dataValidation>
        <x14:dataValidation type="list" allowBlank="1" showInputMessage="1" showErrorMessage="1" xr:uid="{00000000-0002-0000-0300-0000DA240000}">
          <x14:formula1>
            <xm:f>項目!A4:$JFI$262146</xm:f>
          </x14:formula1>
          <xm:sqref>JFR262149:JFR262172</xm:sqref>
        </x14:dataValidation>
        <x14:dataValidation type="list" allowBlank="1" showInputMessage="1" showErrorMessage="1" xr:uid="{00000000-0002-0000-0300-0000DB240000}">
          <x14:formula1>
            <xm:f>項目!A4:$JPE$262146</xm:f>
          </x14:formula1>
          <xm:sqref>JPN262149:JPN262172</xm:sqref>
        </x14:dataValidation>
        <x14:dataValidation type="list" allowBlank="1" showInputMessage="1" showErrorMessage="1" xr:uid="{00000000-0002-0000-0300-0000DC240000}">
          <x14:formula1>
            <xm:f>項目!A4:$JZA$262146</xm:f>
          </x14:formula1>
          <xm:sqref>JZJ262149:JZJ262172</xm:sqref>
        </x14:dataValidation>
        <x14:dataValidation type="list" allowBlank="1" showInputMessage="1" showErrorMessage="1" xr:uid="{00000000-0002-0000-0300-0000DD240000}">
          <x14:formula1>
            <xm:f>項目!A4:$KIW$262146</xm:f>
          </x14:formula1>
          <xm:sqref>KJF262149:KJF262172</xm:sqref>
        </x14:dataValidation>
        <x14:dataValidation type="list" allowBlank="1" showInputMessage="1" showErrorMessage="1" xr:uid="{00000000-0002-0000-0300-0000DE240000}">
          <x14:formula1>
            <xm:f>項目!A4:$KSS$262146</xm:f>
          </x14:formula1>
          <xm:sqref>KTB262149:KTB262172</xm:sqref>
        </x14:dataValidation>
        <x14:dataValidation type="list" allowBlank="1" showInputMessage="1" showErrorMessage="1" xr:uid="{00000000-0002-0000-0300-0000DF240000}">
          <x14:formula1>
            <xm:f>項目!A4:$LCO$262146</xm:f>
          </x14:formula1>
          <xm:sqref>LCX262149:LCX262172</xm:sqref>
        </x14:dataValidation>
        <x14:dataValidation type="list" allowBlank="1" showInputMessage="1" showErrorMessage="1" xr:uid="{00000000-0002-0000-0300-0000E0240000}">
          <x14:formula1>
            <xm:f>項目!A4:$LMK$262146</xm:f>
          </x14:formula1>
          <xm:sqref>LMT262149:LMT262172</xm:sqref>
        </x14:dataValidation>
        <x14:dataValidation type="list" allowBlank="1" showInputMessage="1" showErrorMessage="1" xr:uid="{00000000-0002-0000-0300-0000E1240000}">
          <x14:formula1>
            <xm:f>項目!A4:$LWG$262146</xm:f>
          </x14:formula1>
          <xm:sqref>LWP262149:LWP262172</xm:sqref>
        </x14:dataValidation>
        <x14:dataValidation type="list" allowBlank="1" showInputMessage="1" showErrorMessage="1" xr:uid="{00000000-0002-0000-0300-0000E2240000}">
          <x14:formula1>
            <xm:f>項目!A4:$MGC$262146</xm:f>
          </x14:formula1>
          <xm:sqref>MGL262149:MGL262172</xm:sqref>
        </x14:dataValidation>
        <x14:dataValidation type="list" allowBlank="1" showInputMessage="1" showErrorMessage="1" xr:uid="{00000000-0002-0000-0300-0000E3240000}">
          <x14:formula1>
            <xm:f>項目!A4:$MPY$262146</xm:f>
          </x14:formula1>
          <xm:sqref>MQH262149:MQH262172</xm:sqref>
        </x14:dataValidation>
        <x14:dataValidation type="list" allowBlank="1" showInputMessage="1" showErrorMessage="1" xr:uid="{00000000-0002-0000-0300-0000E4240000}">
          <x14:formula1>
            <xm:f>項目!A4:$MZU$262146</xm:f>
          </x14:formula1>
          <xm:sqref>NAD262149:NAD262172</xm:sqref>
        </x14:dataValidation>
        <x14:dataValidation type="list" allowBlank="1" showInputMessage="1" showErrorMessage="1" xr:uid="{00000000-0002-0000-0300-0000E5240000}">
          <x14:formula1>
            <xm:f>項目!A4:$NJQ$262146</xm:f>
          </x14:formula1>
          <xm:sqref>NJZ262149:NJZ262172</xm:sqref>
        </x14:dataValidation>
        <x14:dataValidation type="list" allowBlank="1" showInputMessage="1" showErrorMessage="1" xr:uid="{00000000-0002-0000-0300-0000E6240000}">
          <x14:formula1>
            <xm:f>項目!A4:$NTM$262146</xm:f>
          </x14:formula1>
          <xm:sqref>NTV262149:NTV262172</xm:sqref>
        </x14:dataValidation>
        <x14:dataValidation type="list" allowBlank="1" showInputMessage="1" showErrorMessage="1" xr:uid="{00000000-0002-0000-0300-0000E7240000}">
          <x14:formula1>
            <xm:f>項目!A4:$ODI$262146</xm:f>
          </x14:formula1>
          <xm:sqref>ODR262149:ODR262172</xm:sqref>
        </x14:dataValidation>
        <x14:dataValidation type="list" allowBlank="1" showInputMessage="1" showErrorMessage="1" xr:uid="{00000000-0002-0000-0300-0000E8240000}">
          <x14:formula1>
            <xm:f>項目!A4:$ONE$262146</xm:f>
          </x14:formula1>
          <xm:sqref>ONN262149:ONN262172</xm:sqref>
        </x14:dataValidation>
        <x14:dataValidation type="list" allowBlank="1" showInputMessage="1" showErrorMessage="1" xr:uid="{00000000-0002-0000-0300-0000E9240000}">
          <x14:formula1>
            <xm:f>項目!A4:$OXA$262146</xm:f>
          </x14:formula1>
          <xm:sqref>OXJ262149:OXJ262172</xm:sqref>
        </x14:dataValidation>
        <x14:dataValidation type="list" allowBlank="1" showInputMessage="1" showErrorMessage="1" xr:uid="{00000000-0002-0000-0300-0000EA240000}">
          <x14:formula1>
            <xm:f>項目!A4:$PGW$262146</xm:f>
          </x14:formula1>
          <xm:sqref>PHF262149:PHF262172</xm:sqref>
        </x14:dataValidation>
        <x14:dataValidation type="list" allowBlank="1" showInputMessage="1" showErrorMessage="1" xr:uid="{00000000-0002-0000-0300-0000EB240000}">
          <x14:formula1>
            <xm:f>項目!A4:$PQS$262146</xm:f>
          </x14:formula1>
          <xm:sqref>PRB262149:PRB262172</xm:sqref>
        </x14:dataValidation>
        <x14:dataValidation type="list" allowBlank="1" showInputMessage="1" showErrorMessage="1" xr:uid="{00000000-0002-0000-0300-0000EC240000}">
          <x14:formula1>
            <xm:f>項目!A4:$QAO$262146</xm:f>
          </x14:formula1>
          <xm:sqref>QAX262149:QAX262172</xm:sqref>
        </x14:dataValidation>
        <x14:dataValidation type="list" allowBlank="1" showInputMessage="1" showErrorMessage="1" xr:uid="{00000000-0002-0000-0300-0000ED240000}">
          <x14:formula1>
            <xm:f>項目!A4:$QKK$262146</xm:f>
          </x14:formula1>
          <xm:sqref>QKT262149:QKT262172</xm:sqref>
        </x14:dataValidation>
        <x14:dataValidation type="list" allowBlank="1" showInputMessage="1" showErrorMessage="1" xr:uid="{00000000-0002-0000-0300-0000EE240000}">
          <x14:formula1>
            <xm:f>項目!A4:$QUG$262146</xm:f>
          </x14:formula1>
          <xm:sqref>QUP262149:QUP262172</xm:sqref>
        </x14:dataValidation>
        <x14:dataValidation type="list" allowBlank="1" showInputMessage="1" showErrorMessage="1" xr:uid="{00000000-0002-0000-0300-0000EF240000}">
          <x14:formula1>
            <xm:f>項目!A4:$REC$262146</xm:f>
          </x14:formula1>
          <xm:sqref>REL262149:REL262172</xm:sqref>
        </x14:dataValidation>
        <x14:dataValidation type="list" allowBlank="1" showInputMessage="1" showErrorMessage="1" xr:uid="{00000000-0002-0000-0300-0000F0240000}">
          <x14:formula1>
            <xm:f>項目!A4:$RNY$262146</xm:f>
          </x14:formula1>
          <xm:sqref>ROH262149:ROH262172</xm:sqref>
        </x14:dataValidation>
        <x14:dataValidation type="list" allowBlank="1" showInputMessage="1" showErrorMessage="1" xr:uid="{00000000-0002-0000-0300-0000F1240000}">
          <x14:formula1>
            <xm:f>項目!A4:$RXU$262146</xm:f>
          </x14:formula1>
          <xm:sqref>RYD262149:RYD262172</xm:sqref>
        </x14:dataValidation>
        <x14:dataValidation type="list" allowBlank="1" showInputMessage="1" showErrorMessage="1" xr:uid="{00000000-0002-0000-0300-0000F2240000}">
          <x14:formula1>
            <xm:f>項目!A4:$SHQ$262146</xm:f>
          </x14:formula1>
          <xm:sqref>SHZ262149:SHZ262172</xm:sqref>
        </x14:dataValidation>
        <x14:dataValidation type="list" allowBlank="1" showInputMessage="1" showErrorMessage="1" xr:uid="{00000000-0002-0000-0300-0000F3240000}">
          <x14:formula1>
            <xm:f>項目!A4:$SRM$262146</xm:f>
          </x14:formula1>
          <xm:sqref>SRV262149:SRV262172</xm:sqref>
        </x14:dataValidation>
        <x14:dataValidation type="list" allowBlank="1" showInputMessage="1" showErrorMessage="1" xr:uid="{00000000-0002-0000-0300-0000F4240000}">
          <x14:formula1>
            <xm:f>項目!A4:$TBI$262146</xm:f>
          </x14:formula1>
          <xm:sqref>TBR262149:TBR262172</xm:sqref>
        </x14:dataValidation>
        <x14:dataValidation type="list" allowBlank="1" showInputMessage="1" showErrorMessage="1" xr:uid="{00000000-0002-0000-0300-0000F5240000}">
          <x14:formula1>
            <xm:f>項目!A4:$TLE$262146</xm:f>
          </x14:formula1>
          <xm:sqref>TLN262149:TLN262172</xm:sqref>
        </x14:dataValidation>
        <x14:dataValidation type="list" allowBlank="1" showInputMessage="1" showErrorMessage="1" xr:uid="{00000000-0002-0000-0300-0000F6240000}">
          <x14:formula1>
            <xm:f>項目!A4:$TVA$262146</xm:f>
          </x14:formula1>
          <xm:sqref>TVJ262149:TVJ262172</xm:sqref>
        </x14:dataValidation>
        <x14:dataValidation type="list" allowBlank="1" showInputMessage="1" showErrorMessage="1" xr:uid="{00000000-0002-0000-0300-0000F7240000}">
          <x14:formula1>
            <xm:f>項目!A4:$UEW$262146</xm:f>
          </x14:formula1>
          <xm:sqref>UFF262149:UFF262172</xm:sqref>
        </x14:dataValidation>
        <x14:dataValidation type="list" allowBlank="1" showInputMessage="1" showErrorMessage="1" xr:uid="{00000000-0002-0000-0300-0000F8240000}">
          <x14:formula1>
            <xm:f>項目!A4:$UOS$262146</xm:f>
          </x14:formula1>
          <xm:sqref>UPB262149:UPB262172</xm:sqref>
        </x14:dataValidation>
        <x14:dataValidation type="list" allowBlank="1" showInputMessage="1" showErrorMessage="1" xr:uid="{00000000-0002-0000-0300-0000F9240000}">
          <x14:formula1>
            <xm:f>項目!A4:$UYO$262146</xm:f>
          </x14:formula1>
          <xm:sqref>UYX262149:UYX262172</xm:sqref>
        </x14:dataValidation>
        <x14:dataValidation type="list" allowBlank="1" showInputMessage="1" showErrorMessage="1" xr:uid="{00000000-0002-0000-0300-0000FA240000}">
          <x14:formula1>
            <xm:f>項目!A4:$VIK$262146</xm:f>
          </x14:formula1>
          <xm:sqref>VIT262149:VIT262172</xm:sqref>
        </x14:dataValidation>
        <x14:dataValidation type="list" allowBlank="1" showInputMessage="1" showErrorMessage="1" xr:uid="{00000000-0002-0000-0300-0000FB240000}">
          <x14:formula1>
            <xm:f>項目!A4:$VSG$262146</xm:f>
          </x14:formula1>
          <xm:sqref>VSP262149:VSP262172</xm:sqref>
        </x14:dataValidation>
        <x14:dataValidation type="list" allowBlank="1" showInputMessage="1" showErrorMessage="1" xr:uid="{00000000-0002-0000-0300-0000FC240000}">
          <x14:formula1>
            <xm:f>項目!A4:$WCC$262146</xm:f>
          </x14:formula1>
          <xm:sqref>WCL262149:WCL262172</xm:sqref>
        </x14:dataValidation>
        <x14:dataValidation type="list" allowBlank="1" showInputMessage="1" showErrorMessage="1" xr:uid="{00000000-0002-0000-0300-0000FD240000}">
          <x14:formula1>
            <xm:f>項目!A4:$WLY$262146</xm:f>
          </x14:formula1>
          <xm:sqref>WMH262149:WMH262172</xm:sqref>
        </x14:dataValidation>
        <x14:dataValidation type="list" allowBlank="1" showInputMessage="1" showErrorMessage="1" xr:uid="{00000000-0002-0000-0300-0000FE240000}">
          <x14:formula1>
            <xm:f>項目!A4:$WVU$262146</xm:f>
          </x14:formula1>
          <xm:sqref>WWD262149:WWD262172</xm:sqref>
        </x14:dataValidation>
        <x14:dataValidation type="list" allowBlank="1" showInputMessage="1" showErrorMessage="1" xr:uid="{00000000-0002-0000-0300-0000FF240000}">
          <x14:formula1>
            <xm:f>項目!A4:$N$327682</xm:f>
          </x14:formula1>
          <xm:sqref>V327685:V327708</xm:sqref>
        </x14:dataValidation>
        <x14:dataValidation type="list" allowBlank="1" showInputMessage="1" showErrorMessage="1" xr:uid="{00000000-0002-0000-0300-000000250000}">
          <x14:formula1>
            <xm:f>項目!A4:$JI$327682</xm:f>
          </x14:formula1>
          <xm:sqref>JR327685:JR327708</xm:sqref>
        </x14:dataValidation>
        <x14:dataValidation type="list" allowBlank="1" showInputMessage="1" showErrorMessage="1" xr:uid="{00000000-0002-0000-0300-000001250000}">
          <x14:formula1>
            <xm:f>項目!A4:$TE$327682</xm:f>
          </x14:formula1>
          <xm:sqref>TN327685:TN327708</xm:sqref>
        </x14:dataValidation>
        <x14:dataValidation type="list" allowBlank="1" showInputMessage="1" showErrorMessage="1" xr:uid="{00000000-0002-0000-0300-000002250000}">
          <x14:formula1>
            <xm:f>項目!A4:$ADA$327682</xm:f>
          </x14:formula1>
          <xm:sqref>ADJ327685:ADJ327708</xm:sqref>
        </x14:dataValidation>
        <x14:dataValidation type="list" allowBlank="1" showInputMessage="1" showErrorMessage="1" xr:uid="{00000000-0002-0000-0300-000003250000}">
          <x14:formula1>
            <xm:f>項目!A4:$AMW$327682</xm:f>
          </x14:formula1>
          <xm:sqref>ANF327685:ANF327708</xm:sqref>
        </x14:dataValidation>
        <x14:dataValidation type="list" allowBlank="1" showInputMessage="1" showErrorMessage="1" xr:uid="{00000000-0002-0000-0300-000004250000}">
          <x14:formula1>
            <xm:f>項目!A4:$AWS$327682</xm:f>
          </x14:formula1>
          <xm:sqref>AXB327685:AXB327708</xm:sqref>
        </x14:dataValidation>
        <x14:dataValidation type="list" allowBlank="1" showInputMessage="1" showErrorMessage="1" xr:uid="{00000000-0002-0000-0300-000005250000}">
          <x14:formula1>
            <xm:f>項目!A4:$BGO$327682</xm:f>
          </x14:formula1>
          <xm:sqref>BGX327685:BGX327708</xm:sqref>
        </x14:dataValidation>
        <x14:dataValidation type="list" allowBlank="1" showInputMessage="1" showErrorMessage="1" xr:uid="{00000000-0002-0000-0300-000006250000}">
          <x14:formula1>
            <xm:f>項目!A4:$BQK$327682</xm:f>
          </x14:formula1>
          <xm:sqref>BQT327685:BQT327708</xm:sqref>
        </x14:dataValidation>
        <x14:dataValidation type="list" allowBlank="1" showInputMessage="1" showErrorMessage="1" xr:uid="{00000000-0002-0000-0300-000007250000}">
          <x14:formula1>
            <xm:f>項目!A4:$CAG$327682</xm:f>
          </x14:formula1>
          <xm:sqref>CAP327685:CAP327708</xm:sqref>
        </x14:dataValidation>
        <x14:dataValidation type="list" allowBlank="1" showInputMessage="1" showErrorMessage="1" xr:uid="{00000000-0002-0000-0300-000008250000}">
          <x14:formula1>
            <xm:f>項目!A4:$CKC$327682</xm:f>
          </x14:formula1>
          <xm:sqref>CKL327685:CKL327708</xm:sqref>
        </x14:dataValidation>
        <x14:dataValidation type="list" allowBlank="1" showInputMessage="1" showErrorMessage="1" xr:uid="{00000000-0002-0000-0300-000009250000}">
          <x14:formula1>
            <xm:f>項目!A4:$CTY$327682</xm:f>
          </x14:formula1>
          <xm:sqref>CUH327685:CUH327708</xm:sqref>
        </x14:dataValidation>
        <x14:dataValidation type="list" allowBlank="1" showInputMessage="1" showErrorMessage="1" xr:uid="{00000000-0002-0000-0300-00000A250000}">
          <x14:formula1>
            <xm:f>項目!A4:$DDU$327682</xm:f>
          </x14:formula1>
          <xm:sqref>DED327685:DED327708</xm:sqref>
        </x14:dataValidation>
        <x14:dataValidation type="list" allowBlank="1" showInputMessage="1" showErrorMessage="1" xr:uid="{00000000-0002-0000-0300-00000B250000}">
          <x14:formula1>
            <xm:f>項目!A4:$DNQ$327682</xm:f>
          </x14:formula1>
          <xm:sqref>DNZ327685:DNZ327708</xm:sqref>
        </x14:dataValidation>
        <x14:dataValidation type="list" allowBlank="1" showInputMessage="1" showErrorMessage="1" xr:uid="{00000000-0002-0000-0300-00000C250000}">
          <x14:formula1>
            <xm:f>項目!A4:$DXM$327682</xm:f>
          </x14:formula1>
          <xm:sqref>DXV327685:DXV327708</xm:sqref>
        </x14:dataValidation>
        <x14:dataValidation type="list" allowBlank="1" showInputMessage="1" showErrorMessage="1" xr:uid="{00000000-0002-0000-0300-00000D250000}">
          <x14:formula1>
            <xm:f>項目!A4:$EHI$327682</xm:f>
          </x14:formula1>
          <xm:sqref>EHR327685:EHR327708</xm:sqref>
        </x14:dataValidation>
        <x14:dataValidation type="list" allowBlank="1" showInputMessage="1" showErrorMessage="1" xr:uid="{00000000-0002-0000-0300-00000E250000}">
          <x14:formula1>
            <xm:f>項目!A4:$ERE$327682</xm:f>
          </x14:formula1>
          <xm:sqref>ERN327685:ERN327708</xm:sqref>
        </x14:dataValidation>
        <x14:dataValidation type="list" allowBlank="1" showInputMessage="1" showErrorMessage="1" xr:uid="{00000000-0002-0000-0300-00000F250000}">
          <x14:formula1>
            <xm:f>項目!A4:$FBA$327682</xm:f>
          </x14:formula1>
          <xm:sqref>FBJ327685:FBJ327708</xm:sqref>
        </x14:dataValidation>
        <x14:dataValidation type="list" allowBlank="1" showInputMessage="1" showErrorMessage="1" xr:uid="{00000000-0002-0000-0300-000010250000}">
          <x14:formula1>
            <xm:f>項目!A4:$FKW$327682</xm:f>
          </x14:formula1>
          <xm:sqref>FLF327685:FLF327708</xm:sqref>
        </x14:dataValidation>
        <x14:dataValidation type="list" allowBlank="1" showInputMessage="1" showErrorMessage="1" xr:uid="{00000000-0002-0000-0300-000011250000}">
          <x14:formula1>
            <xm:f>項目!A4:$FUS$327682</xm:f>
          </x14:formula1>
          <xm:sqref>FVB327685:FVB327708</xm:sqref>
        </x14:dataValidation>
        <x14:dataValidation type="list" allowBlank="1" showInputMessage="1" showErrorMessage="1" xr:uid="{00000000-0002-0000-0300-000012250000}">
          <x14:formula1>
            <xm:f>項目!A4:$GEO$327682</xm:f>
          </x14:formula1>
          <xm:sqref>GEX327685:GEX327708</xm:sqref>
        </x14:dataValidation>
        <x14:dataValidation type="list" allowBlank="1" showInputMessage="1" showErrorMessage="1" xr:uid="{00000000-0002-0000-0300-000013250000}">
          <x14:formula1>
            <xm:f>項目!A4:$GOK$327682</xm:f>
          </x14:formula1>
          <xm:sqref>GOT327685:GOT327708</xm:sqref>
        </x14:dataValidation>
        <x14:dataValidation type="list" allowBlank="1" showInputMessage="1" showErrorMessage="1" xr:uid="{00000000-0002-0000-0300-000014250000}">
          <x14:formula1>
            <xm:f>項目!A4:$GYG$327682</xm:f>
          </x14:formula1>
          <xm:sqref>GYP327685:GYP327708</xm:sqref>
        </x14:dataValidation>
        <x14:dataValidation type="list" allowBlank="1" showInputMessage="1" showErrorMessage="1" xr:uid="{00000000-0002-0000-0300-000015250000}">
          <x14:formula1>
            <xm:f>項目!A4:$HIC$327682</xm:f>
          </x14:formula1>
          <xm:sqref>HIL327685:HIL327708</xm:sqref>
        </x14:dataValidation>
        <x14:dataValidation type="list" allowBlank="1" showInputMessage="1" showErrorMessage="1" xr:uid="{00000000-0002-0000-0300-000016250000}">
          <x14:formula1>
            <xm:f>項目!A4:$HRY$327682</xm:f>
          </x14:formula1>
          <xm:sqref>HSH327685:HSH327708</xm:sqref>
        </x14:dataValidation>
        <x14:dataValidation type="list" allowBlank="1" showInputMessage="1" showErrorMessage="1" xr:uid="{00000000-0002-0000-0300-000017250000}">
          <x14:formula1>
            <xm:f>項目!A4:$IBU$327682</xm:f>
          </x14:formula1>
          <xm:sqref>ICD327685:ICD327708</xm:sqref>
        </x14:dataValidation>
        <x14:dataValidation type="list" allowBlank="1" showInputMessage="1" showErrorMessage="1" xr:uid="{00000000-0002-0000-0300-000018250000}">
          <x14:formula1>
            <xm:f>項目!A4:$ILQ$327682</xm:f>
          </x14:formula1>
          <xm:sqref>ILZ327685:ILZ327708</xm:sqref>
        </x14:dataValidation>
        <x14:dataValidation type="list" allowBlank="1" showInputMessage="1" showErrorMessage="1" xr:uid="{00000000-0002-0000-0300-000019250000}">
          <x14:formula1>
            <xm:f>項目!A4:$IVM$327682</xm:f>
          </x14:formula1>
          <xm:sqref>IVV327685:IVV327708</xm:sqref>
        </x14:dataValidation>
        <x14:dataValidation type="list" allowBlank="1" showInputMessage="1" showErrorMessage="1" xr:uid="{00000000-0002-0000-0300-00001A250000}">
          <x14:formula1>
            <xm:f>項目!A4:$JFI$327682</xm:f>
          </x14:formula1>
          <xm:sqref>JFR327685:JFR327708</xm:sqref>
        </x14:dataValidation>
        <x14:dataValidation type="list" allowBlank="1" showInputMessage="1" showErrorMessage="1" xr:uid="{00000000-0002-0000-0300-00001B250000}">
          <x14:formula1>
            <xm:f>項目!A4:$JPE$327682</xm:f>
          </x14:formula1>
          <xm:sqref>JPN327685:JPN327708</xm:sqref>
        </x14:dataValidation>
        <x14:dataValidation type="list" allowBlank="1" showInputMessage="1" showErrorMessage="1" xr:uid="{00000000-0002-0000-0300-00001C250000}">
          <x14:formula1>
            <xm:f>項目!A4:$JZA$327682</xm:f>
          </x14:formula1>
          <xm:sqref>JZJ327685:JZJ327708</xm:sqref>
        </x14:dataValidation>
        <x14:dataValidation type="list" allowBlank="1" showInputMessage="1" showErrorMessage="1" xr:uid="{00000000-0002-0000-0300-00001D250000}">
          <x14:formula1>
            <xm:f>項目!A4:$KIW$327682</xm:f>
          </x14:formula1>
          <xm:sqref>KJF327685:KJF327708</xm:sqref>
        </x14:dataValidation>
        <x14:dataValidation type="list" allowBlank="1" showInputMessage="1" showErrorMessage="1" xr:uid="{00000000-0002-0000-0300-00001E250000}">
          <x14:formula1>
            <xm:f>項目!A4:$KSS$327682</xm:f>
          </x14:formula1>
          <xm:sqref>KTB327685:KTB327708</xm:sqref>
        </x14:dataValidation>
        <x14:dataValidation type="list" allowBlank="1" showInputMessage="1" showErrorMessage="1" xr:uid="{00000000-0002-0000-0300-00001F250000}">
          <x14:formula1>
            <xm:f>項目!A4:$LCO$327682</xm:f>
          </x14:formula1>
          <xm:sqref>LCX327685:LCX327708</xm:sqref>
        </x14:dataValidation>
        <x14:dataValidation type="list" allowBlank="1" showInputMessage="1" showErrorMessage="1" xr:uid="{00000000-0002-0000-0300-000020250000}">
          <x14:formula1>
            <xm:f>項目!A4:$LMK$327682</xm:f>
          </x14:formula1>
          <xm:sqref>LMT327685:LMT327708</xm:sqref>
        </x14:dataValidation>
        <x14:dataValidation type="list" allowBlank="1" showInputMessage="1" showErrorMessage="1" xr:uid="{00000000-0002-0000-0300-000021250000}">
          <x14:formula1>
            <xm:f>項目!A4:$LWG$327682</xm:f>
          </x14:formula1>
          <xm:sqref>LWP327685:LWP327708</xm:sqref>
        </x14:dataValidation>
        <x14:dataValidation type="list" allowBlank="1" showInputMessage="1" showErrorMessage="1" xr:uid="{00000000-0002-0000-0300-000022250000}">
          <x14:formula1>
            <xm:f>項目!A4:$MGC$327682</xm:f>
          </x14:formula1>
          <xm:sqref>MGL327685:MGL327708</xm:sqref>
        </x14:dataValidation>
        <x14:dataValidation type="list" allowBlank="1" showInputMessage="1" showErrorMessage="1" xr:uid="{00000000-0002-0000-0300-000023250000}">
          <x14:formula1>
            <xm:f>項目!A4:$MPY$327682</xm:f>
          </x14:formula1>
          <xm:sqref>MQH327685:MQH327708</xm:sqref>
        </x14:dataValidation>
        <x14:dataValidation type="list" allowBlank="1" showInputMessage="1" showErrorMessage="1" xr:uid="{00000000-0002-0000-0300-000024250000}">
          <x14:formula1>
            <xm:f>項目!A4:$MZU$327682</xm:f>
          </x14:formula1>
          <xm:sqref>NAD327685:NAD327708</xm:sqref>
        </x14:dataValidation>
        <x14:dataValidation type="list" allowBlank="1" showInputMessage="1" showErrorMessage="1" xr:uid="{00000000-0002-0000-0300-000025250000}">
          <x14:formula1>
            <xm:f>項目!A4:$NJQ$327682</xm:f>
          </x14:formula1>
          <xm:sqref>NJZ327685:NJZ327708</xm:sqref>
        </x14:dataValidation>
        <x14:dataValidation type="list" allowBlank="1" showInputMessage="1" showErrorMessage="1" xr:uid="{00000000-0002-0000-0300-000026250000}">
          <x14:formula1>
            <xm:f>項目!A4:$NTM$327682</xm:f>
          </x14:formula1>
          <xm:sqref>NTV327685:NTV327708</xm:sqref>
        </x14:dataValidation>
        <x14:dataValidation type="list" allowBlank="1" showInputMessage="1" showErrorMessage="1" xr:uid="{00000000-0002-0000-0300-000027250000}">
          <x14:formula1>
            <xm:f>項目!A4:$ODI$327682</xm:f>
          </x14:formula1>
          <xm:sqref>ODR327685:ODR327708</xm:sqref>
        </x14:dataValidation>
        <x14:dataValidation type="list" allowBlank="1" showInputMessage="1" showErrorMessage="1" xr:uid="{00000000-0002-0000-0300-000028250000}">
          <x14:formula1>
            <xm:f>項目!A4:$ONE$327682</xm:f>
          </x14:formula1>
          <xm:sqref>ONN327685:ONN327708</xm:sqref>
        </x14:dataValidation>
        <x14:dataValidation type="list" allowBlank="1" showInputMessage="1" showErrorMessage="1" xr:uid="{00000000-0002-0000-0300-000029250000}">
          <x14:formula1>
            <xm:f>項目!A4:$OXA$327682</xm:f>
          </x14:formula1>
          <xm:sqref>OXJ327685:OXJ327708</xm:sqref>
        </x14:dataValidation>
        <x14:dataValidation type="list" allowBlank="1" showInputMessage="1" showErrorMessage="1" xr:uid="{00000000-0002-0000-0300-00002A250000}">
          <x14:formula1>
            <xm:f>項目!A4:$PGW$327682</xm:f>
          </x14:formula1>
          <xm:sqref>PHF327685:PHF327708</xm:sqref>
        </x14:dataValidation>
        <x14:dataValidation type="list" allowBlank="1" showInputMessage="1" showErrorMessage="1" xr:uid="{00000000-0002-0000-0300-00002B250000}">
          <x14:formula1>
            <xm:f>項目!A4:$PQS$327682</xm:f>
          </x14:formula1>
          <xm:sqref>PRB327685:PRB327708</xm:sqref>
        </x14:dataValidation>
        <x14:dataValidation type="list" allowBlank="1" showInputMessage="1" showErrorMessage="1" xr:uid="{00000000-0002-0000-0300-00002C250000}">
          <x14:formula1>
            <xm:f>項目!A4:$QAO$327682</xm:f>
          </x14:formula1>
          <xm:sqref>QAX327685:QAX327708</xm:sqref>
        </x14:dataValidation>
        <x14:dataValidation type="list" allowBlank="1" showInputMessage="1" showErrorMessage="1" xr:uid="{00000000-0002-0000-0300-00002D250000}">
          <x14:formula1>
            <xm:f>項目!A4:$QKK$327682</xm:f>
          </x14:formula1>
          <xm:sqref>QKT327685:QKT327708</xm:sqref>
        </x14:dataValidation>
        <x14:dataValidation type="list" allowBlank="1" showInputMessage="1" showErrorMessage="1" xr:uid="{00000000-0002-0000-0300-00002E250000}">
          <x14:formula1>
            <xm:f>項目!A4:$QUG$327682</xm:f>
          </x14:formula1>
          <xm:sqref>QUP327685:QUP327708</xm:sqref>
        </x14:dataValidation>
        <x14:dataValidation type="list" allowBlank="1" showInputMessage="1" showErrorMessage="1" xr:uid="{00000000-0002-0000-0300-00002F250000}">
          <x14:formula1>
            <xm:f>項目!A4:$REC$327682</xm:f>
          </x14:formula1>
          <xm:sqref>REL327685:REL327708</xm:sqref>
        </x14:dataValidation>
        <x14:dataValidation type="list" allowBlank="1" showInputMessage="1" showErrorMessage="1" xr:uid="{00000000-0002-0000-0300-000030250000}">
          <x14:formula1>
            <xm:f>項目!A4:$RNY$327682</xm:f>
          </x14:formula1>
          <xm:sqref>ROH327685:ROH327708</xm:sqref>
        </x14:dataValidation>
        <x14:dataValidation type="list" allowBlank="1" showInputMessage="1" showErrorMessage="1" xr:uid="{00000000-0002-0000-0300-000031250000}">
          <x14:formula1>
            <xm:f>項目!A4:$RXU$327682</xm:f>
          </x14:formula1>
          <xm:sqref>RYD327685:RYD327708</xm:sqref>
        </x14:dataValidation>
        <x14:dataValidation type="list" allowBlank="1" showInputMessage="1" showErrorMessage="1" xr:uid="{00000000-0002-0000-0300-000032250000}">
          <x14:formula1>
            <xm:f>項目!A4:$SHQ$327682</xm:f>
          </x14:formula1>
          <xm:sqref>SHZ327685:SHZ327708</xm:sqref>
        </x14:dataValidation>
        <x14:dataValidation type="list" allowBlank="1" showInputMessage="1" showErrorMessage="1" xr:uid="{00000000-0002-0000-0300-000033250000}">
          <x14:formula1>
            <xm:f>項目!A4:$SRM$327682</xm:f>
          </x14:formula1>
          <xm:sqref>SRV327685:SRV327708</xm:sqref>
        </x14:dataValidation>
        <x14:dataValidation type="list" allowBlank="1" showInputMessage="1" showErrorMessage="1" xr:uid="{00000000-0002-0000-0300-000034250000}">
          <x14:formula1>
            <xm:f>項目!A4:$TBI$327682</xm:f>
          </x14:formula1>
          <xm:sqref>TBR327685:TBR327708</xm:sqref>
        </x14:dataValidation>
        <x14:dataValidation type="list" allowBlank="1" showInputMessage="1" showErrorMessage="1" xr:uid="{00000000-0002-0000-0300-000035250000}">
          <x14:formula1>
            <xm:f>項目!A4:$TLE$327682</xm:f>
          </x14:formula1>
          <xm:sqref>TLN327685:TLN327708</xm:sqref>
        </x14:dataValidation>
        <x14:dataValidation type="list" allowBlank="1" showInputMessage="1" showErrorMessage="1" xr:uid="{00000000-0002-0000-0300-000036250000}">
          <x14:formula1>
            <xm:f>項目!A4:$TVA$327682</xm:f>
          </x14:formula1>
          <xm:sqref>TVJ327685:TVJ327708</xm:sqref>
        </x14:dataValidation>
        <x14:dataValidation type="list" allowBlank="1" showInputMessage="1" showErrorMessage="1" xr:uid="{00000000-0002-0000-0300-000037250000}">
          <x14:formula1>
            <xm:f>項目!A4:$UEW$327682</xm:f>
          </x14:formula1>
          <xm:sqref>UFF327685:UFF327708</xm:sqref>
        </x14:dataValidation>
        <x14:dataValidation type="list" allowBlank="1" showInputMessage="1" showErrorMessage="1" xr:uid="{00000000-0002-0000-0300-000038250000}">
          <x14:formula1>
            <xm:f>項目!A4:$UOS$327682</xm:f>
          </x14:formula1>
          <xm:sqref>UPB327685:UPB327708</xm:sqref>
        </x14:dataValidation>
        <x14:dataValidation type="list" allowBlank="1" showInputMessage="1" showErrorMessage="1" xr:uid="{00000000-0002-0000-0300-000039250000}">
          <x14:formula1>
            <xm:f>項目!A4:$UYO$327682</xm:f>
          </x14:formula1>
          <xm:sqref>UYX327685:UYX327708</xm:sqref>
        </x14:dataValidation>
        <x14:dataValidation type="list" allowBlank="1" showInputMessage="1" showErrorMessage="1" xr:uid="{00000000-0002-0000-0300-00003A250000}">
          <x14:formula1>
            <xm:f>項目!A4:$VIK$327682</xm:f>
          </x14:formula1>
          <xm:sqref>VIT327685:VIT327708</xm:sqref>
        </x14:dataValidation>
        <x14:dataValidation type="list" allowBlank="1" showInputMessage="1" showErrorMessage="1" xr:uid="{00000000-0002-0000-0300-00003B250000}">
          <x14:formula1>
            <xm:f>項目!A4:$VSG$327682</xm:f>
          </x14:formula1>
          <xm:sqref>VSP327685:VSP327708</xm:sqref>
        </x14:dataValidation>
        <x14:dataValidation type="list" allowBlank="1" showInputMessage="1" showErrorMessage="1" xr:uid="{00000000-0002-0000-0300-00003C250000}">
          <x14:formula1>
            <xm:f>項目!A4:$WCC$327682</xm:f>
          </x14:formula1>
          <xm:sqref>WCL327685:WCL327708</xm:sqref>
        </x14:dataValidation>
        <x14:dataValidation type="list" allowBlank="1" showInputMessage="1" showErrorMessage="1" xr:uid="{00000000-0002-0000-0300-00003D250000}">
          <x14:formula1>
            <xm:f>項目!A4:$WLY$327682</xm:f>
          </x14:formula1>
          <xm:sqref>WMH327685:WMH327708</xm:sqref>
        </x14:dataValidation>
        <x14:dataValidation type="list" allowBlank="1" showInputMessage="1" showErrorMessage="1" xr:uid="{00000000-0002-0000-0300-00003E250000}">
          <x14:formula1>
            <xm:f>項目!A4:$WVU$327682</xm:f>
          </x14:formula1>
          <xm:sqref>WWD327685:WWD327708</xm:sqref>
        </x14:dataValidation>
        <x14:dataValidation type="list" allowBlank="1" showInputMessage="1" showErrorMessage="1" xr:uid="{00000000-0002-0000-0300-00003F250000}">
          <x14:formula1>
            <xm:f>項目!A4:$N$393218</xm:f>
          </x14:formula1>
          <xm:sqref>V393221:V393244</xm:sqref>
        </x14:dataValidation>
        <x14:dataValidation type="list" allowBlank="1" showInputMessage="1" showErrorMessage="1" xr:uid="{00000000-0002-0000-0300-000040250000}">
          <x14:formula1>
            <xm:f>項目!A4:$JI$393218</xm:f>
          </x14:formula1>
          <xm:sqref>JR393221:JR393244</xm:sqref>
        </x14:dataValidation>
        <x14:dataValidation type="list" allowBlank="1" showInputMessage="1" showErrorMessage="1" xr:uid="{00000000-0002-0000-0300-000041250000}">
          <x14:formula1>
            <xm:f>項目!A4:$TE$393218</xm:f>
          </x14:formula1>
          <xm:sqref>TN393221:TN393244</xm:sqref>
        </x14:dataValidation>
        <x14:dataValidation type="list" allowBlank="1" showInputMessage="1" showErrorMessage="1" xr:uid="{00000000-0002-0000-0300-000042250000}">
          <x14:formula1>
            <xm:f>項目!A4:$ADA$393218</xm:f>
          </x14:formula1>
          <xm:sqref>ADJ393221:ADJ393244</xm:sqref>
        </x14:dataValidation>
        <x14:dataValidation type="list" allowBlank="1" showInputMessage="1" showErrorMessage="1" xr:uid="{00000000-0002-0000-0300-000043250000}">
          <x14:formula1>
            <xm:f>項目!A4:$AMW$393218</xm:f>
          </x14:formula1>
          <xm:sqref>ANF393221:ANF393244</xm:sqref>
        </x14:dataValidation>
        <x14:dataValidation type="list" allowBlank="1" showInputMessage="1" showErrorMessage="1" xr:uid="{00000000-0002-0000-0300-000044250000}">
          <x14:formula1>
            <xm:f>項目!A4:$AWS$393218</xm:f>
          </x14:formula1>
          <xm:sqref>AXB393221:AXB393244</xm:sqref>
        </x14:dataValidation>
        <x14:dataValidation type="list" allowBlank="1" showInputMessage="1" showErrorMessage="1" xr:uid="{00000000-0002-0000-0300-000045250000}">
          <x14:formula1>
            <xm:f>項目!A4:$BGO$393218</xm:f>
          </x14:formula1>
          <xm:sqref>BGX393221:BGX393244</xm:sqref>
        </x14:dataValidation>
        <x14:dataValidation type="list" allowBlank="1" showInputMessage="1" showErrorMessage="1" xr:uid="{00000000-0002-0000-0300-000046250000}">
          <x14:formula1>
            <xm:f>項目!A4:$BQK$393218</xm:f>
          </x14:formula1>
          <xm:sqref>BQT393221:BQT393244</xm:sqref>
        </x14:dataValidation>
        <x14:dataValidation type="list" allowBlank="1" showInputMessage="1" showErrorMessage="1" xr:uid="{00000000-0002-0000-0300-000047250000}">
          <x14:formula1>
            <xm:f>項目!A4:$CAG$393218</xm:f>
          </x14:formula1>
          <xm:sqref>CAP393221:CAP393244</xm:sqref>
        </x14:dataValidation>
        <x14:dataValidation type="list" allowBlank="1" showInputMessage="1" showErrorMessage="1" xr:uid="{00000000-0002-0000-0300-000048250000}">
          <x14:formula1>
            <xm:f>項目!A4:$CKC$393218</xm:f>
          </x14:formula1>
          <xm:sqref>CKL393221:CKL393244</xm:sqref>
        </x14:dataValidation>
        <x14:dataValidation type="list" allowBlank="1" showInputMessage="1" showErrorMessage="1" xr:uid="{00000000-0002-0000-0300-000049250000}">
          <x14:formula1>
            <xm:f>項目!A4:$CTY$393218</xm:f>
          </x14:formula1>
          <xm:sqref>CUH393221:CUH393244</xm:sqref>
        </x14:dataValidation>
        <x14:dataValidation type="list" allowBlank="1" showInputMessage="1" showErrorMessage="1" xr:uid="{00000000-0002-0000-0300-00004A250000}">
          <x14:formula1>
            <xm:f>項目!A4:$DDU$393218</xm:f>
          </x14:formula1>
          <xm:sqref>DED393221:DED393244</xm:sqref>
        </x14:dataValidation>
        <x14:dataValidation type="list" allowBlank="1" showInputMessage="1" showErrorMessage="1" xr:uid="{00000000-0002-0000-0300-00004B250000}">
          <x14:formula1>
            <xm:f>項目!A4:$DNQ$393218</xm:f>
          </x14:formula1>
          <xm:sqref>DNZ393221:DNZ393244</xm:sqref>
        </x14:dataValidation>
        <x14:dataValidation type="list" allowBlank="1" showInputMessage="1" showErrorMessage="1" xr:uid="{00000000-0002-0000-0300-00004C250000}">
          <x14:formula1>
            <xm:f>項目!A4:$DXM$393218</xm:f>
          </x14:formula1>
          <xm:sqref>DXV393221:DXV393244</xm:sqref>
        </x14:dataValidation>
        <x14:dataValidation type="list" allowBlank="1" showInputMessage="1" showErrorMessage="1" xr:uid="{00000000-0002-0000-0300-00004D250000}">
          <x14:formula1>
            <xm:f>項目!A4:$EHI$393218</xm:f>
          </x14:formula1>
          <xm:sqref>EHR393221:EHR393244</xm:sqref>
        </x14:dataValidation>
        <x14:dataValidation type="list" allowBlank="1" showInputMessage="1" showErrorMessage="1" xr:uid="{00000000-0002-0000-0300-00004E250000}">
          <x14:formula1>
            <xm:f>項目!A4:$ERE$393218</xm:f>
          </x14:formula1>
          <xm:sqref>ERN393221:ERN393244</xm:sqref>
        </x14:dataValidation>
        <x14:dataValidation type="list" allowBlank="1" showInputMessage="1" showErrorMessage="1" xr:uid="{00000000-0002-0000-0300-00004F250000}">
          <x14:formula1>
            <xm:f>項目!A4:$FBA$393218</xm:f>
          </x14:formula1>
          <xm:sqref>FBJ393221:FBJ393244</xm:sqref>
        </x14:dataValidation>
        <x14:dataValidation type="list" allowBlank="1" showInputMessage="1" showErrorMessage="1" xr:uid="{00000000-0002-0000-0300-000050250000}">
          <x14:formula1>
            <xm:f>項目!A4:$FKW$393218</xm:f>
          </x14:formula1>
          <xm:sqref>FLF393221:FLF393244</xm:sqref>
        </x14:dataValidation>
        <x14:dataValidation type="list" allowBlank="1" showInputMessage="1" showErrorMessage="1" xr:uid="{00000000-0002-0000-0300-000051250000}">
          <x14:formula1>
            <xm:f>項目!A4:$FUS$393218</xm:f>
          </x14:formula1>
          <xm:sqref>FVB393221:FVB393244</xm:sqref>
        </x14:dataValidation>
        <x14:dataValidation type="list" allowBlank="1" showInputMessage="1" showErrorMessage="1" xr:uid="{00000000-0002-0000-0300-000052250000}">
          <x14:formula1>
            <xm:f>項目!A4:$GEO$393218</xm:f>
          </x14:formula1>
          <xm:sqref>GEX393221:GEX393244</xm:sqref>
        </x14:dataValidation>
        <x14:dataValidation type="list" allowBlank="1" showInputMessage="1" showErrorMessage="1" xr:uid="{00000000-0002-0000-0300-000053250000}">
          <x14:formula1>
            <xm:f>項目!A4:$GOK$393218</xm:f>
          </x14:formula1>
          <xm:sqref>GOT393221:GOT393244</xm:sqref>
        </x14:dataValidation>
        <x14:dataValidation type="list" allowBlank="1" showInputMessage="1" showErrorMessage="1" xr:uid="{00000000-0002-0000-0300-000054250000}">
          <x14:formula1>
            <xm:f>項目!A4:$GYG$393218</xm:f>
          </x14:formula1>
          <xm:sqref>GYP393221:GYP393244</xm:sqref>
        </x14:dataValidation>
        <x14:dataValidation type="list" allowBlank="1" showInputMessage="1" showErrorMessage="1" xr:uid="{00000000-0002-0000-0300-000055250000}">
          <x14:formula1>
            <xm:f>項目!A4:$HIC$393218</xm:f>
          </x14:formula1>
          <xm:sqref>HIL393221:HIL393244</xm:sqref>
        </x14:dataValidation>
        <x14:dataValidation type="list" allowBlank="1" showInputMessage="1" showErrorMessage="1" xr:uid="{00000000-0002-0000-0300-000056250000}">
          <x14:formula1>
            <xm:f>項目!A4:$HRY$393218</xm:f>
          </x14:formula1>
          <xm:sqref>HSH393221:HSH393244</xm:sqref>
        </x14:dataValidation>
        <x14:dataValidation type="list" allowBlank="1" showInputMessage="1" showErrorMessage="1" xr:uid="{00000000-0002-0000-0300-000057250000}">
          <x14:formula1>
            <xm:f>項目!A4:$IBU$393218</xm:f>
          </x14:formula1>
          <xm:sqref>ICD393221:ICD393244</xm:sqref>
        </x14:dataValidation>
        <x14:dataValidation type="list" allowBlank="1" showInputMessage="1" showErrorMessage="1" xr:uid="{00000000-0002-0000-0300-000058250000}">
          <x14:formula1>
            <xm:f>項目!A4:$ILQ$393218</xm:f>
          </x14:formula1>
          <xm:sqref>ILZ393221:ILZ393244</xm:sqref>
        </x14:dataValidation>
        <x14:dataValidation type="list" allowBlank="1" showInputMessage="1" showErrorMessage="1" xr:uid="{00000000-0002-0000-0300-000059250000}">
          <x14:formula1>
            <xm:f>項目!A4:$IVM$393218</xm:f>
          </x14:formula1>
          <xm:sqref>IVV393221:IVV393244</xm:sqref>
        </x14:dataValidation>
        <x14:dataValidation type="list" allowBlank="1" showInputMessage="1" showErrorMessage="1" xr:uid="{00000000-0002-0000-0300-00005A250000}">
          <x14:formula1>
            <xm:f>項目!A4:$JFI$393218</xm:f>
          </x14:formula1>
          <xm:sqref>JFR393221:JFR393244</xm:sqref>
        </x14:dataValidation>
        <x14:dataValidation type="list" allowBlank="1" showInputMessage="1" showErrorMessage="1" xr:uid="{00000000-0002-0000-0300-00005B250000}">
          <x14:formula1>
            <xm:f>項目!A4:$JPE$393218</xm:f>
          </x14:formula1>
          <xm:sqref>JPN393221:JPN393244</xm:sqref>
        </x14:dataValidation>
        <x14:dataValidation type="list" allowBlank="1" showInputMessage="1" showErrorMessage="1" xr:uid="{00000000-0002-0000-0300-00005C250000}">
          <x14:formula1>
            <xm:f>項目!A4:$JZA$393218</xm:f>
          </x14:formula1>
          <xm:sqref>JZJ393221:JZJ393244</xm:sqref>
        </x14:dataValidation>
        <x14:dataValidation type="list" allowBlank="1" showInputMessage="1" showErrorMessage="1" xr:uid="{00000000-0002-0000-0300-00005D250000}">
          <x14:formula1>
            <xm:f>項目!A4:$KIW$393218</xm:f>
          </x14:formula1>
          <xm:sqref>KJF393221:KJF393244</xm:sqref>
        </x14:dataValidation>
        <x14:dataValidation type="list" allowBlank="1" showInputMessage="1" showErrorMessage="1" xr:uid="{00000000-0002-0000-0300-00005E250000}">
          <x14:formula1>
            <xm:f>項目!A4:$KSS$393218</xm:f>
          </x14:formula1>
          <xm:sqref>KTB393221:KTB393244</xm:sqref>
        </x14:dataValidation>
        <x14:dataValidation type="list" allowBlank="1" showInputMessage="1" showErrorMessage="1" xr:uid="{00000000-0002-0000-0300-00005F250000}">
          <x14:formula1>
            <xm:f>項目!A4:$LCO$393218</xm:f>
          </x14:formula1>
          <xm:sqref>LCX393221:LCX393244</xm:sqref>
        </x14:dataValidation>
        <x14:dataValidation type="list" allowBlank="1" showInputMessage="1" showErrorMessage="1" xr:uid="{00000000-0002-0000-0300-000060250000}">
          <x14:formula1>
            <xm:f>項目!A4:$LMK$393218</xm:f>
          </x14:formula1>
          <xm:sqref>LMT393221:LMT393244</xm:sqref>
        </x14:dataValidation>
        <x14:dataValidation type="list" allowBlank="1" showInputMessage="1" showErrorMessage="1" xr:uid="{00000000-0002-0000-0300-000061250000}">
          <x14:formula1>
            <xm:f>項目!A4:$LWG$393218</xm:f>
          </x14:formula1>
          <xm:sqref>LWP393221:LWP393244</xm:sqref>
        </x14:dataValidation>
        <x14:dataValidation type="list" allowBlank="1" showInputMessage="1" showErrorMessage="1" xr:uid="{00000000-0002-0000-0300-000062250000}">
          <x14:formula1>
            <xm:f>項目!A4:$MGC$393218</xm:f>
          </x14:formula1>
          <xm:sqref>MGL393221:MGL393244</xm:sqref>
        </x14:dataValidation>
        <x14:dataValidation type="list" allowBlank="1" showInputMessage="1" showErrorMessage="1" xr:uid="{00000000-0002-0000-0300-000063250000}">
          <x14:formula1>
            <xm:f>項目!A4:$MPY$393218</xm:f>
          </x14:formula1>
          <xm:sqref>MQH393221:MQH393244</xm:sqref>
        </x14:dataValidation>
        <x14:dataValidation type="list" allowBlank="1" showInputMessage="1" showErrorMessage="1" xr:uid="{00000000-0002-0000-0300-000064250000}">
          <x14:formula1>
            <xm:f>項目!A4:$MZU$393218</xm:f>
          </x14:formula1>
          <xm:sqref>NAD393221:NAD393244</xm:sqref>
        </x14:dataValidation>
        <x14:dataValidation type="list" allowBlank="1" showInputMessage="1" showErrorMessage="1" xr:uid="{00000000-0002-0000-0300-000065250000}">
          <x14:formula1>
            <xm:f>項目!A4:$NJQ$393218</xm:f>
          </x14:formula1>
          <xm:sqref>NJZ393221:NJZ393244</xm:sqref>
        </x14:dataValidation>
        <x14:dataValidation type="list" allowBlank="1" showInputMessage="1" showErrorMessage="1" xr:uid="{00000000-0002-0000-0300-000066250000}">
          <x14:formula1>
            <xm:f>項目!A4:$NTM$393218</xm:f>
          </x14:formula1>
          <xm:sqref>NTV393221:NTV393244</xm:sqref>
        </x14:dataValidation>
        <x14:dataValidation type="list" allowBlank="1" showInputMessage="1" showErrorMessage="1" xr:uid="{00000000-0002-0000-0300-000067250000}">
          <x14:formula1>
            <xm:f>項目!A4:$ODI$393218</xm:f>
          </x14:formula1>
          <xm:sqref>ODR393221:ODR393244</xm:sqref>
        </x14:dataValidation>
        <x14:dataValidation type="list" allowBlank="1" showInputMessage="1" showErrorMessage="1" xr:uid="{00000000-0002-0000-0300-000068250000}">
          <x14:formula1>
            <xm:f>項目!A4:$ONE$393218</xm:f>
          </x14:formula1>
          <xm:sqref>ONN393221:ONN393244</xm:sqref>
        </x14:dataValidation>
        <x14:dataValidation type="list" allowBlank="1" showInputMessage="1" showErrorMessage="1" xr:uid="{00000000-0002-0000-0300-000069250000}">
          <x14:formula1>
            <xm:f>項目!A4:$OXA$393218</xm:f>
          </x14:formula1>
          <xm:sqref>OXJ393221:OXJ393244</xm:sqref>
        </x14:dataValidation>
        <x14:dataValidation type="list" allowBlank="1" showInputMessage="1" showErrorMessage="1" xr:uid="{00000000-0002-0000-0300-00006A250000}">
          <x14:formula1>
            <xm:f>項目!A4:$PGW$393218</xm:f>
          </x14:formula1>
          <xm:sqref>PHF393221:PHF393244</xm:sqref>
        </x14:dataValidation>
        <x14:dataValidation type="list" allowBlank="1" showInputMessage="1" showErrorMessage="1" xr:uid="{00000000-0002-0000-0300-00006B250000}">
          <x14:formula1>
            <xm:f>項目!A4:$PQS$393218</xm:f>
          </x14:formula1>
          <xm:sqref>PRB393221:PRB393244</xm:sqref>
        </x14:dataValidation>
        <x14:dataValidation type="list" allowBlank="1" showInputMessage="1" showErrorMessage="1" xr:uid="{00000000-0002-0000-0300-00006C250000}">
          <x14:formula1>
            <xm:f>項目!A4:$QAO$393218</xm:f>
          </x14:formula1>
          <xm:sqref>QAX393221:QAX393244</xm:sqref>
        </x14:dataValidation>
        <x14:dataValidation type="list" allowBlank="1" showInputMessage="1" showErrorMessage="1" xr:uid="{00000000-0002-0000-0300-00006D250000}">
          <x14:formula1>
            <xm:f>項目!A4:$QKK$393218</xm:f>
          </x14:formula1>
          <xm:sqref>QKT393221:QKT393244</xm:sqref>
        </x14:dataValidation>
        <x14:dataValidation type="list" allowBlank="1" showInputMessage="1" showErrorMessage="1" xr:uid="{00000000-0002-0000-0300-00006E250000}">
          <x14:formula1>
            <xm:f>項目!A4:$QUG$393218</xm:f>
          </x14:formula1>
          <xm:sqref>QUP393221:QUP393244</xm:sqref>
        </x14:dataValidation>
        <x14:dataValidation type="list" allowBlank="1" showInputMessage="1" showErrorMessage="1" xr:uid="{00000000-0002-0000-0300-00006F250000}">
          <x14:formula1>
            <xm:f>項目!A4:$REC$393218</xm:f>
          </x14:formula1>
          <xm:sqref>REL393221:REL393244</xm:sqref>
        </x14:dataValidation>
        <x14:dataValidation type="list" allowBlank="1" showInputMessage="1" showErrorMessage="1" xr:uid="{00000000-0002-0000-0300-000070250000}">
          <x14:formula1>
            <xm:f>項目!A4:$RNY$393218</xm:f>
          </x14:formula1>
          <xm:sqref>ROH393221:ROH393244</xm:sqref>
        </x14:dataValidation>
        <x14:dataValidation type="list" allowBlank="1" showInputMessage="1" showErrorMessage="1" xr:uid="{00000000-0002-0000-0300-000071250000}">
          <x14:formula1>
            <xm:f>項目!A4:$RXU$393218</xm:f>
          </x14:formula1>
          <xm:sqref>RYD393221:RYD393244</xm:sqref>
        </x14:dataValidation>
        <x14:dataValidation type="list" allowBlank="1" showInputMessage="1" showErrorMessage="1" xr:uid="{00000000-0002-0000-0300-000072250000}">
          <x14:formula1>
            <xm:f>項目!A4:$SHQ$393218</xm:f>
          </x14:formula1>
          <xm:sqref>SHZ393221:SHZ393244</xm:sqref>
        </x14:dataValidation>
        <x14:dataValidation type="list" allowBlank="1" showInputMessage="1" showErrorMessage="1" xr:uid="{00000000-0002-0000-0300-000073250000}">
          <x14:formula1>
            <xm:f>項目!A4:$SRM$393218</xm:f>
          </x14:formula1>
          <xm:sqref>SRV393221:SRV393244</xm:sqref>
        </x14:dataValidation>
        <x14:dataValidation type="list" allowBlank="1" showInputMessage="1" showErrorMessage="1" xr:uid="{00000000-0002-0000-0300-000074250000}">
          <x14:formula1>
            <xm:f>項目!A4:$TBI$393218</xm:f>
          </x14:formula1>
          <xm:sqref>TBR393221:TBR393244</xm:sqref>
        </x14:dataValidation>
        <x14:dataValidation type="list" allowBlank="1" showInputMessage="1" showErrorMessage="1" xr:uid="{00000000-0002-0000-0300-000075250000}">
          <x14:formula1>
            <xm:f>項目!A4:$TLE$393218</xm:f>
          </x14:formula1>
          <xm:sqref>TLN393221:TLN393244</xm:sqref>
        </x14:dataValidation>
        <x14:dataValidation type="list" allowBlank="1" showInputMessage="1" showErrorMessage="1" xr:uid="{00000000-0002-0000-0300-000076250000}">
          <x14:formula1>
            <xm:f>項目!A4:$TVA$393218</xm:f>
          </x14:formula1>
          <xm:sqref>TVJ393221:TVJ393244</xm:sqref>
        </x14:dataValidation>
        <x14:dataValidation type="list" allowBlank="1" showInputMessage="1" showErrorMessage="1" xr:uid="{00000000-0002-0000-0300-000077250000}">
          <x14:formula1>
            <xm:f>項目!A4:$UEW$393218</xm:f>
          </x14:formula1>
          <xm:sqref>UFF393221:UFF393244</xm:sqref>
        </x14:dataValidation>
        <x14:dataValidation type="list" allowBlank="1" showInputMessage="1" showErrorMessage="1" xr:uid="{00000000-0002-0000-0300-000078250000}">
          <x14:formula1>
            <xm:f>項目!A4:$UOS$393218</xm:f>
          </x14:formula1>
          <xm:sqref>UPB393221:UPB393244</xm:sqref>
        </x14:dataValidation>
        <x14:dataValidation type="list" allowBlank="1" showInputMessage="1" showErrorMessage="1" xr:uid="{00000000-0002-0000-0300-000079250000}">
          <x14:formula1>
            <xm:f>項目!A4:$UYO$393218</xm:f>
          </x14:formula1>
          <xm:sqref>UYX393221:UYX393244</xm:sqref>
        </x14:dataValidation>
        <x14:dataValidation type="list" allowBlank="1" showInputMessage="1" showErrorMessage="1" xr:uid="{00000000-0002-0000-0300-00007A250000}">
          <x14:formula1>
            <xm:f>項目!A4:$VIK$393218</xm:f>
          </x14:formula1>
          <xm:sqref>VIT393221:VIT393244</xm:sqref>
        </x14:dataValidation>
        <x14:dataValidation type="list" allowBlank="1" showInputMessage="1" showErrorMessage="1" xr:uid="{00000000-0002-0000-0300-00007B250000}">
          <x14:formula1>
            <xm:f>項目!A4:$VSG$393218</xm:f>
          </x14:formula1>
          <xm:sqref>VSP393221:VSP393244</xm:sqref>
        </x14:dataValidation>
        <x14:dataValidation type="list" allowBlank="1" showInputMessage="1" showErrorMessage="1" xr:uid="{00000000-0002-0000-0300-00007C250000}">
          <x14:formula1>
            <xm:f>項目!A4:$WCC$393218</xm:f>
          </x14:formula1>
          <xm:sqref>WCL393221:WCL393244</xm:sqref>
        </x14:dataValidation>
        <x14:dataValidation type="list" allowBlank="1" showInputMessage="1" showErrorMessage="1" xr:uid="{00000000-0002-0000-0300-00007D250000}">
          <x14:formula1>
            <xm:f>項目!A4:$WLY$393218</xm:f>
          </x14:formula1>
          <xm:sqref>WMH393221:WMH393244</xm:sqref>
        </x14:dataValidation>
        <x14:dataValidation type="list" allowBlank="1" showInputMessage="1" showErrorMessage="1" xr:uid="{00000000-0002-0000-0300-00007E250000}">
          <x14:formula1>
            <xm:f>項目!A4:$WVU$393218</xm:f>
          </x14:formula1>
          <xm:sqref>WWD393221:WWD393244</xm:sqref>
        </x14:dataValidation>
        <x14:dataValidation type="list" allowBlank="1" showInputMessage="1" showErrorMessage="1" xr:uid="{00000000-0002-0000-0300-00007F250000}">
          <x14:formula1>
            <xm:f>項目!A4:$N$458754</xm:f>
          </x14:formula1>
          <xm:sqref>V458757:V458780</xm:sqref>
        </x14:dataValidation>
        <x14:dataValidation type="list" allowBlank="1" showInputMessage="1" showErrorMessage="1" xr:uid="{00000000-0002-0000-0300-000080250000}">
          <x14:formula1>
            <xm:f>項目!A4:$JI$458754</xm:f>
          </x14:formula1>
          <xm:sqref>JR458757:JR458780</xm:sqref>
        </x14:dataValidation>
        <x14:dataValidation type="list" allowBlank="1" showInputMessage="1" showErrorMessage="1" xr:uid="{00000000-0002-0000-0300-000081250000}">
          <x14:formula1>
            <xm:f>項目!A4:$TE$458754</xm:f>
          </x14:formula1>
          <xm:sqref>TN458757:TN458780</xm:sqref>
        </x14:dataValidation>
        <x14:dataValidation type="list" allowBlank="1" showInputMessage="1" showErrorMessage="1" xr:uid="{00000000-0002-0000-0300-000082250000}">
          <x14:formula1>
            <xm:f>項目!A4:$ADA$458754</xm:f>
          </x14:formula1>
          <xm:sqref>ADJ458757:ADJ458780</xm:sqref>
        </x14:dataValidation>
        <x14:dataValidation type="list" allowBlank="1" showInputMessage="1" showErrorMessage="1" xr:uid="{00000000-0002-0000-0300-000083250000}">
          <x14:formula1>
            <xm:f>項目!A4:$AMW$458754</xm:f>
          </x14:formula1>
          <xm:sqref>ANF458757:ANF458780</xm:sqref>
        </x14:dataValidation>
        <x14:dataValidation type="list" allowBlank="1" showInputMessage="1" showErrorMessage="1" xr:uid="{00000000-0002-0000-0300-000084250000}">
          <x14:formula1>
            <xm:f>項目!A4:$AWS$458754</xm:f>
          </x14:formula1>
          <xm:sqref>AXB458757:AXB458780</xm:sqref>
        </x14:dataValidation>
        <x14:dataValidation type="list" allowBlank="1" showInputMessage="1" showErrorMessage="1" xr:uid="{00000000-0002-0000-0300-000085250000}">
          <x14:formula1>
            <xm:f>項目!A4:$BGO$458754</xm:f>
          </x14:formula1>
          <xm:sqref>BGX458757:BGX458780</xm:sqref>
        </x14:dataValidation>
        <x14:dataValidation type="list" allowBlank="1" showInputMessage="1" showErrorMessage="1" xr:uid="{00000000-0002-0000-0300-000086250000}">
          <x14:formula1>
            <xm:f>項目!A4:$BQK$458754</xm:f>
          </x14:formula1>
          <xm:sqref>BQT458757:BQT458780</xm:sqref>
        </x14:dataValidation>
        <x14:dataValidation type="list" allowBlank="1" showInputMessage="1" showErrorMessage="1" xr:uid="{00000000-0002-0000-0300-000087250000}">
          <x14:formula1>
            <xm:f>項目!A4:$CAG$458754</xm:f>
          </x14:formula1>
          <xm:sqref>CAP458757:CAP458780</xm:sqref>
        </x14:dataValidation>
        <x14:dataValidation type="list" allowBlank="1" showInputMessage="1" showErrorMessage="1" xr:uid="{00000000-0002-0000-0300-000088250000}">
          <x14:formula1>
            <xm:f>項目!A4:$CKC$458754</xm:f>
          </x14:formula1>
          <xm:sqref>CKL458757:CKL458780</xm:sqref>
        </x14:dataValidation>
        <x14:dataValidation type="list" allowBlank="1" showInputMessage="1" showErrorMessage="1" xr:uid="{00000000-0002-0000-0300-000089250000}">
          <x14:formula1>
            <xm:f>項目!A4:$CTY$458754</xm:f>
          </x14:formula1>
          <xm:sqref>CUH458757:CUH458780</xm:sqref>
        </x14:dataValidation>
        <x14:dataValidation type="list" allowBlank="1" showInputMessage="1" showErrorMessage="1" xr:uid="{00000000-0002-0000-0300-00008A250000}">
          <x14:formula1>
            <xm:f>項目!A4:$DDU$458754</xm:f>
          </x14:formula1>
          <xm:sqref>DED458757:DED458780</xm:sqref>
        </x14:dataValidation>
        <x14:dataValidation type="list" allowBlank="1" showInputMessage="1" showErrorMessage="1" xr:uid="{00000000-0002-0000-0300-00008B250000}">
          <x14:formula1>
            <xm:f>項目!A4:$DNQ$458754</xm:f>
          </x14:formula1>
          <xm:sqref>DNZ458757:DNZ458780</xm:sqref>
        </x14:dataValidation>
        <x14:dataValidation type="list" allowBlank="1" showInputMessage="1" showErrorMessage="1" xr:uid="{00000000-0002-0000-0300-00008C250000}">
          <x14:formula1>
            <xm:f>項目!A4:$DXM$458754</xm:f>
          </x14:formula1>
          <xm:sqref>DXV458757:DXV458780</xm:sqref>
        </x14:dataValidation>
        <x14:dataValidation type="list" allowBlank="1" showInputMessage="1" showErrorMessage="1" xr:uid="{00000000-0002-0000-0300-00008D250000}">
          <x14:formula1>
            <xm:f>項目!A4:$EHI$458754</xm:f>
          </x14:formula1>
          <xm:sqref>EHR458757:EHR458780</xm:sqref>
        </x14:dataValidation>
        <x14:dataValidation type="list" allowBlank="1" showInputMessage="1" showErrorMessage="1" xr:uid="{00000000-0002-0000-0300-00008E250000}">
          <x14:formula1>
            <xm:f>項目!A4:$ERE$458754</xm:f>
          </x14:formula1>
          <xm:sqref>ERN458757:ERN458780</xm:sqref>
        </x14:dataValidation>
        <x14:dataValidation type="list" allowBlank="1" showInputMessage="1" showErrorMessage="1" xr:uid="{00000000-0002-0000-0300-00008F250000}">
          <x14:formula1>
            <xm:f>項目!A4:$FBA$458754</xm:f>
          </x14:formula1>
          <xm:sqref>FBJ458757:FBJ458780</xm:sqref>
        </x14:dataValidation>
        <x14:dataValidation type="list" allowBlank="1" showInputMessage="1" showErrorMessage="1" xr:uid="{00000000-0002-0000-0300-000090250000}">
          <x14:formula1>
            <xm:f>項目!A4:$FKW$458754</xm:f>
          </x14:formula1>
          <xm:sqref>FLF458757:FLF458780</xm:sqref>
        </x14:dataValidation>
        <x14:dataValidation type="list" allowBlank="1" showInputMessage="1" showErrorMessage="1" xr:uid="{00000000-0002-0000-0300-000091250000}">
          <x14:formula1>
            <xm:f>項目!A4:$FUS$458754</xm:f>
          </x14:formula1>
          <xm:sqref>FVB458757:FVB458780</xm:sqref>
        </x14:dataValidation>
        <x14:dataValidation type="list" allowBlank="1" showInputMessage="1" showErrorMessage="1" xr:uid="{00000000-0002-0000-0300-000092250000}">
          <x14:formula1>
            <xm:f>項目!A4:$GEO$458754</xm:f>
          </x14:formula1>
          <xm:sqref>GEX458757:GEX458780</xm:sqref>
        </x14:dataValidation>
        <x14:dataValidation type="list" allowBlank="1" showInputMessage="1" showErrorMessage="1" xr:uid="{00000000-0002-0000-0300-000093250000}">
          <x14:formula1>
            <xm:f>項目!A4:$GOK$458754</xm:f>
          </x14:formula1>
          <xm:sqref>GOT458757:GOT458780</xm:sqref>
        </x14:dataValidation>
        <x14:dataValidation type="list" allowBlank="1" showInputMessage="1" showErrorMessage="1" xr:uid="{00000000-0002-0000-0300-000094250000}">
          <x14:formula1>
            <xm:f>項目!A4:$GYG$458754</xm:f>
          </x14:formula1>
          <xm:sqref>GYP458757:GYP458780</xm:sqref>
        </x14:dataValidation>
        <x14:dataValidation type="list" allowBlank="1" showInputMessage="1" showErrorMessage="1" xr:uid="{00000000-0002-0000-0300-000095250000}">
          <x14:formula1>
            <xm:f>項目!A4:$HIC$458754</xm:f>
          </x14:formula1>
          <xm:sqref>HIL458757:HIL458780</xm:sqref>
        </x14:dataValidation>
        <x14:dataValidation type="list" allowBlank="1" showInputMessage="1" showErrorMessage="1" xr:uid="{00000000-0002-0000-0300-000096250000}">
          <x14:formula1>
            <xm:f>項目!A4:$HRY$458754</xm:f>
          </x14:formula1>
          <xm:sqref>HSH458757:HSH458780</xm:sqref>
        </x14:dataValidation>
        <x14:dataValidation type="list" allowBlank="1" showInputMessage="1" showErrorMessage="1" xr:uid="{00000000-0002-0000-0300-000097250000}">
          <x14:formula1>
            <xm:f>項目!A4:$IBU$458754</xm:f>
          </x14:formula1>
          <xm:sqref>ICD458757:ICD458780</xm:sqref>
        </x14:dataValidation>
        <x14:dataValidation type="list" allowBlank="1" showInputMessage="1" showErrorMessage="1" xr:uid="{00000000-0002-0000-0300-000098250000}">
          <x14:formula1>
            <xm:f>項目!A4:$ILQ$458754</xm:f>
          </x14:formula1>
          <xm:sqref>ILZ458757:ILZ458780</xm:sqref>
        </x14:dataValidation>
        <x14:dataValidation type="list" allowBlank="1" showInputMessage="1" showErrorMessage="1" xr:uid="{00000000-0002-0000-0300-000099250000}">
          <x14:formula1>
            <xm:f>項目!A4:$IVM$458754</xm:f>
          </x14:formula1>
          <xm:sqref>IVV458757:IVV458780</xm:sqref>
        </x14:dataValidation>
        <x14:dataValidation type="list" allowBlank="1" showInputMessage="1" showErrorMessage="1" xr:uid="{00000000-0002-0000-0300-00009A250000}">
          <x14:formula1>
            <xm:f>項目!A4:$JFI$458754</xm:f>
          </x14:formula1>
          <xm:sqref>JFR458757:JFR458780</xm:sqref>
        </x14:dataValidation>
        <x14:dataValidation type="list" allowBlank="1" showInputMessage="1" showErrorMessage="1" xr:uid="{00000000-0002-0000-0300-00009B250000}">
          <x14:formula1>
            <xm:f>項目!A4:$JPE$458754</xm:f>
          </x14:formula1>
          <xm:sqref>JPN458757:JPN458780</xm:sqref>
        </x14:dataValidation>
        <x14:dataValidation type="list" allowBlank="1" showInputMessage="1" showErrorMessage="1" xr:uid="{00000000-0002-0000-0300-00009C250000}">
          <x14:formula1>
            <xm:f>項目!A4:$JZA$458754</xm:f>
          </x14:formula1>
          <xm:sqref>JZJ458757:JZJ458780</xm:sqref>
        </x14:dataValidation>
        <x14:dataValidation type="list" allowBlank="1" showInputMessage="1" showErrorMessage="1" xr:uid="{00000000-0002-0000-0300-00009D250000}">
          <x14:formula1>
            <xm:f>項目!A4:$KIW$458754</xm:f>
          </x14:formula1>
          <xm:sqref>KJF458757:KJF458780</xm:sqref>
        </x14:dataValidation>
        <x14:dataValidation type="list" allowBlank="1" showInputMessage="1" showErrorMessage="1" xr:uid="{00000000-0002-0000-0300-00009E250000}">
          <x14:formula1>
            <xm:f>項目!A4:$KSS$458754</xm:f>
          </x14:formula1>
          <xm:sqref>KTB458757:KTB458780</xm:sqref>
        </x14:dataValidation>
        <x14:dataValidation type="list" allowBlank="1" showInputMessage="1" showErrorMessage="1" xr:uid="{00000000-0002-0000-0300-00009F250000}">
          <x14:formula1>
            <xm:f>項目!A4:$LCO$458754</xm:f>
          </x14:formula1>
          <xm:sqref>LCX458757:LCX458780</xm:sqref>
        </x14:dataValidation>
        <x14:dataValidation type="list" allowBlank="1" showInputMessage="1" showErrorMessage="1" xr:uid="{00000000-0002-0000-0300-0000A0250000}">
          <x14:formula1>
            <xm:f>項目!A4:$LMK$458754</xm:f>
          </x14:formula1>
          <xm:sqref>LMT458757:LMT458780</xm:sqref>
        </x14:dataValidation>
        <x14:dataValidation type="list" allowBlank="1" showInputMessage="1" showErrorMessage="1" xr:uid="{00000000-0002-0000-0300-0000A1250000}">
          <x14:formula1>
            <xm:f>項目!A4:$LWG$458754</xm:f>
          </x14:formula1>
          <xm:sqref>LWP458757:LWP458780</xm:sqref>
        </x14:dataValidation>
        <x14:dataValidation type="list" allowBlank="1" showInputMessage="1" showErrorMessage="1" xr:uid="{00000000-0002-0000-0300-0000A2250000}">
          <x14:formula1>
            <xm:f>項目!A4:$MGC$458754</xm:f>
          </x14:formula1>
          <xm:sqref>MGL458757:MGL458780</xm:sqref>
        </x14:dataValidation>
        <x14:dataValidation type="list" allowBlank="1" showInputMessage="1" showErrorMessage="1" xr:uid="{00000000-0002-0000-0300-0000A3250000}">
          <x14:formula1>
            <xm:f>項目!A4:$MPY$458754</xm:f>
          </x14:formula1>
          <xm:sqref>MQH458757:MQH458780</xm:sqref>
        </x14:dataValidation>
        <x14:dataValidation type="list" allowBlank="1" showInputMessage="1" showErrorMessage="1" xr:uid="{00000000-0002-0000-0300-0000A4250000}">
          <x14:formula1>
            <xm:f>項目!A4:$MZU$458754</xm:f>
          </x14:formula1>
          <xm:sqref>NAD458757:NAD458780</xm:sqref>
        </x14:dataValidation>
        <x14:dataValidation type="list" allowBlank="1" showInputMessage="1" showErrorMessage="1" xr:uid="{00000000-0002-0000-0300-0000A5250000}">
          <x14:formula1>
            <xm:f>項目!A4:$NJQ$458754</xm:f>
          </x14:formula1>
          <xm:sqref>NJZ458757:NJZ458780</xm:sqref>
        </x14:dataValidation>
        <x14:dataValidation type="list" allowBlank="1" showInputMessage="1" showErrorMessage="1" xr:uid="{00000000-0002-0000-0300-0000A6250000}">
          <x14:formula1>
            <xm:f>項目!A4:$NTM$458754</xm:f>
          </x14:formula1>
          <xm:sqref>NTV458757:NTV458780</xm:sqref>
        </x14:dataValidation>
        <x14:dataValidation type="list" allowBlank="1" showInputMessage="1" showErrorMessage="1" xr:uid="{00000000-0002-0000-0300-0000A7250000}">
          <x14:formula1>
            <xm:f>項目!A4:$ODI$458754</xm:f>
          </x14:formula1>
          <xm:sqref>ODR458757:ODR458780</xm:sqref>
        </x14:dataValidation>
        <x14:dataValidation type="list" allowBlank="1" showInputMessage="1" showErrorMessage="1" xr:uid="{00000000-0002-0000-0300-0000A8250000}">
          <x14:formula1>
            <xm:f>項目!A4:$ONE$458754</xm:f>
          </x14:formula1>
          <xm:sqref>ONN458757:ONN458780</xm:sqref>
        </x14:dataValidation>
        <x14:dataValidation type="list" allowBlank="1" showInputMessage="1" showErrorMessage="1" xr:uid="{00000000-0002-0000-0300-0000A9250000}">
          <x14:formula1>
            <xm:f>項目!A4:$OXA$458754</xm:f>
          </x14:formula1>
          <xm:sqref>OXJ458757:OXJ458780</xm:sqref>
        </x14:dataValidation>
        <x14:dataValidation type="list" allowBlank="1" showInputMessage="1" showErrorMessage="1" xr:uid="{00000000-0002-0000-0300-0000AA250000}">
          <x14:formula1>
            <xm:f>項目!A4:$PGW$458754</xm:f>
          </x14:formula1>
          <xm:sqref>PHF458757:PHF458780</xm:sqref>
        </x14:dataValidation>
        <x14:dataValidation type="list" allowBlank="1" showInputMessage="1" showErrorMessage="1" xr:uid="{00000000-0002-0000-0300-0000AB250000}">
          <x14:formula1>
            <xm:f>項目!A4:$PQS$458754</xm:f>
          </x14:formula1>
          <xm:sqref>PRB458757:PRB458780</xm:sqref>
        </x14:dataValidation>
        <x14:dataValidation type="list" allowBlank="1" showInputMessage="1" showErrorMessage="1" xr:uid="{00000000-0002-0000-0300-0000AC250000}">
          <x14:formula1>
            <xm:f>項目!A4:$QAO$458754</xm:f>
          </x14:formula1>
          <xm:sqref>QAX458757:QAX458780</xm:sqref>
        </x14:dataValidation>
        <x14:dataValidation type="list" allowBlank="1" showInputMessage="1" showErrorMessage="1" xr:uid="{00000000-0002-0000-0300-0000AD250000}">
          <x14:formula1>
            <xm:f>項目!A4:$QKK$458754</xm:f>
          </x14:formula1>
          <xm:sqref>QKT458757:QKT458780</xm:sqref>
        </x14:dataValidation>
        <x14:dataValidation type="list" allowBlank="1" showInputMessage="1" showErrorMessage="1" xr:uid="{00000000-0002-0000-0300-0000AE250000}">
          <x14:formula1>
            <xm:f>項目!A4:$QUG$458754</xm:f>
          </x14:formula1>
          <xm:sqref>QUP458757:QUP458780</xm:sqref>
        </x14:dataValidation>
        <x14:dataValidation type="list" allowBlank="1" showInputMessage="1" showErrorMessage="1" xr:uid="{00000000-0002-0000-0300-0000AF250000}">
          <x14:formula1>
            <xm:f>項目!A4:$REC$458754</xm:f>
          </x14:formula1>
          <xm:sqref>REL458757:REL458780</xm:sqref>
        </x14:dataValidation>
        <x14:dataValidation type="list" allowBlank="1" showInputMessage="1" showErrorMessage="1" xr:uid="{00000000-0002-0000-0300-0000B0250000}">
          <x14:formula1>
            <xm:f>項目!A4:$RNY$458754</xm:f>
          </x14:formula1>
          <xm:sqref>ROH458757:ROH458780</xm:sqref>
        </x14:dataValidation>
        <x14:dataValidation type="list" allowBlank="1" showInputMessage="1" showErrorMessage="1" xr:uid="{00000000-0002-0000-0300-0000B1250000}">
          <x14:formula1>
            <xm:f>項目!A4:$RXU$458754</xm:f>
          </x14:formula1>
          <xm:sqref>RYD458757:RYD458780</xm:sqref>
        </x14:dataValidation>
        <x14:dataValidation type="list" allowBlank="1" showInputMessage="1" showErrorMessage="1" xr:uid="{00000000-0002-0000-0300-0000B2250000}">
          <x14:formula1>
            <xm:f>項目!A4:$SHQ$458754</xm:f>
          </x14:formula1>
          <xm:sqref>SHZ458757:SHZ458780</xm:sqref>
        </x14:dataValidation>
        <x14:dataValidation type="list" allowBlank="1" showInputMessage="1" showErrorMessage="1" xr:uid="{00000000-0002-0000-0300-0000B3250000}">
          <x14:formula1>
            <xm:f>項目!A4:$SRM$458754</xm:f>
          </x14:formula1>
          <xm:sqref>SRV458757:SRV458780</xm:sqref>
        </x14:dataValidation>
        <x14:dataValidation type="list" allowBlank="1" showInputMessage="1" showErrorMessage="1" xr:uid="{00000000-0002-0000-0300-0000B4250000}">
          <x14:formula1>
            <xm:f>項目!A4:$TBI$458754</xm:f>
          </x14:formula1>
          <xm:sqref>TBR458757:TBR458780</xm:sqref>
        </x14:dataValidation>
        <x14:dataValidation type="list" allowBlank="1" showInputMessage="1" showErrorMessage="1" xr:uid="{00000000-0002-0000-0300-0000B5250000}">
          <x14:formula1>
            <xm:f>項目!A4:$TLE$458754</xm:f>
          </x14:formula1>
          <xm:sqref>TLN458757:TLN458780</xm:sqref>
        </x14:dataValidation>
        <x14:dataValidation type="list" allowBlank="1" showInputMessage="1" showErrorMessage="1" xr:uid="{00000000-0002-0000-0300-0000B6250000}">
          <x14:formula1>
            <xm:f>項目!A4:$TVA$458754</xm:f>
          </x14:formula1>
          <xm:sqref>TVJ458757:TVJ458780</xm:sqref>
        </x14:dataValidation>
        <x14:dataValidation type="list" allowBlank="1" showInputMessage="1" showErrorMessage="1" xr:uid="{00000000-0002-0000-0300-0000B7250000}">
          <x14:formula1>
            <xm:f>項目!A4:$UEW$458754</xm:f>
          </x14:formula1>
          <xm:sqref>UFF458757:UFF458780</xm:sqref>
        </x14:dataValidation>
        <x14:dataValidation type="list" allowBlank="1" showInputMessage="1" showErrorMessage="1" xr:uid="{00000000-0002-0000-0300-0000B8250000}">
          <x14:formula1>
            <xm:f>項目!A4:$UOS$458754</xm:f>
          </x14:formula1>
          <xm:sqref>UPB458757:UPB458780</xm:sqref>
        </x14:dataValidation>
        <x14:dataValidation type="list" allowBlank="1" showInputMessage="1" showErrorMessage="1" xr:uid="{00000000-0002-0000-0300-0000B9250000}">
          <x14:formula1>
            <xm:f>項目!A4:$UYO$458754</xm:f>
          </x14:formula1>
          <xm:sqref>UYX458757:UYX458780</xm:sqref>
        </x14:dataValidation>
        <x14:dataValidation type="list" allowBlank="1" showInputMessage="1" showErrorMessage="1" xr:uid="{00000000-0002-0000-0300-0000BA250000}">
          <x14:formula1>
            <xm:f>項目!A4:$VIK$458754</xm:f>
          </x14:formula1>
          <xm:sqref>VIT458757:VIT458780</xm:sqref>
        </x14:dataValidation>
        <x14:dataValidation type="list" allowBlank="1" showInputMessage="1" showErrorMessage="1" xr:uid="{00000000-0002-0000-0300-0000BB250000}">
          <x14:formula1>
            <xm:f>項目!A4:$VSG$458754</xm:f>
          </x14:formula1>
          <xm:sqref>VSP458757:VSP458780</xm:sqref>
        </x14:dataValidation>
        <x14:dataValidation type="list" allowBlank="1" showInputMessage="1" showErrorMessage="1" xr:uid="{00000000-0002-0000-0300-0000BC250000}">
          <x14:formula1>
            <xm:f>項目!A4:$WCC$458754</xm:f>
          </x14:formula1>
          <xm:sqref>WCL458757:WCL458780</xm:sqref>
        </x14:dataValidation>
        <x14:dataValidation type="list" allowBlank="1" showInputMessage="1" showErrorMessage="1" xr:uid="{00000000-0002-0000-0300-0000BD250000}">
          <x14:formula1>
            <xm:f>項目!A4:$WLY$458754</xm:f>
          </x14:formula1>
          <xm:sqref>WMH458757:WMH458780</xm:sqref>
        </x14:dataValidation>
        <x14:dataValidation type="list" allowBlank="1" showInputMessage="1" showErrorMessage="1" xr:uid="{00000000-0002-0000-0300-0000BE250000}">
          <x14:formula1>
            <xm:f>項目!A4:$WVU$458754</xm:f>
          </x14:formula1>
          <xm:sqref>WWD458757:WWD458780</xm:sqref>
        </x14:dataValidation>
        <x14:dataValidation type="list" allowBlank="1" showInputMessage="1" showErrorMessage="1" xr:uid="{00000000-0002-0000-0300-0000BF250000}">
          <x14:formula1>
            <xm:f>項目!A4:$N$524290</xm:f>
          </x14:formula1>
          <xm:sqref>V524293:V524316</xm:sqref>
        </x14:dataValidation>
        <x14:dataValidation type="list" allowBlank="1" showInputMessage="1" showErrorMessage="1" xr:uid="{00000000-0002-0000-0300-0000C0250000}">
          <x14:formula1>
            <xm:f>項目!A4:$JI$524290</xm:f>
          </x14:formula1>
          <xm:sqref>JR524293:JR524316</xm:sqref>
        </x14:dataValidation>
        <x14:dataValidation type="list" allowBlank="1" showInputMessage="1" showErrorMessage="1" xr:uid="{00000000-0002-0000-0300-0000C1250000}">
          <x14:formula1>
            <xm:f>項目!A4:$TE$524290</xm:f>
          </x14:formula1>
          <xm:sqref>TN524293:TN524316</xm:sqref>
        </x14:dataValidation>
        <x14:dataValidation type="list" allowBlank="1" showInputMessage="1" showErrorMessage="1" xr:uid="{00000000-0002-0000-0300-0000C2250000}">
          <x14:formula1>
            <xm:f>項目!A4:$ADA$524290</xm:f>
          </x14:formula1>
          <xm:sqref>ADJ524293:ADJ524316</xm:sqref>
        </x14:dataValidation>
        <x14:dataValidation type="list" allowBlank="1" showInputMessage="1" showErrorMessage="1" xr:uid="{00000000-0002-0000-0300-0000C3250000}">
          <x14:formula1>
            <xm:f>項目!A4:$AMW$524290</xm:f>
          </x14:formula1>
          <xm:sqref>ANF524293:ANF524316</xm:sqref>
        </x14:dataValidation>
        <x14:dataValidation type="list" allowBlank="1" showInputMessage="1" showErrorMessage="1" xr:uid="{00000000-0002-0000-0300-0000C4250000}">
          <x14:formula1>
            <xm:f>項目!A4:$AWS$524290</xm:f>
          </x14:formula1>
          <xm:sqref>AXB524293:AXB524316</xm:sqref>
        </x14:dataValidation>
        <x14:dataValidation type="list" allowBlank="1" showInputMessage="1" showErrorMessage="1" xr:uid="{00000000-0002-0000-0300-0000C5250000}">
          <x14:formula1>
            <xm:f>項目!A4:$BGO$524290</xm:f>
          </x14:formula1>
          <xm:sqref>BGX524293:BGX524316</xm:sqref>
        </x14:dataValidation>
        <x14:dataValidation type="list" allowBlank="1" showInputMessage="1" showErrorMessage="1" xr:uid="{00000000-0002-0000-0300-0000C6250000}">
          <x14:formula1>
            <xm:f>項目!A4:$BQK$524290</xm:f>
          </x14:formula1>
          <xm:sqref>BQT524293:BQT524316</xm:sqref>
        </x14:dataValidation>
        <x14:dataValidation type="list" allowBlank="1" showInputMessage="1" showErrorMessage="1" xr:uid="{00000000-0002-0000-0300-0000C7250000}">
          <x14:formula1>
            <xm:f>項目!A4:$CAG$524290</xm:f>
          </x14:formula1>
          <xm:sqref>CAP524293:CAP524316</xm:sqref>
        </x14:dataValidation>
        <x14:dataValidation type="list" allowBlank="1" showInputMessage="1" showErrorMessage="1" xr:uid="{00000000-0002-0000-0300-0000C8250000}">
          <x14:formula1>
            <xm:f>項目!A4:$CKC$524290</xm:f>
          </x14:formula1>
          <xm:sqref>CKL524293:CKL524316</xm:sqref>
        </x14:dataValidation>
        <x14:dataValidation type="list" allowBlank="1" showInputMessage="1" showErrorMessage="1" xr:uid="{00000000-0002-0000-0300-0000C9250000}">
          <x14:formula1>
            <xm:f>項目!A4:$CTY$524290</xm:f>
          </x14:formula1>
          <xm:sqref>CUH524293:CUH524316</xm:sqref>
        </x14:dataValidation>
        <x14:dataValidation type="list" allowBlank="1" showInputMessage="1" showErrorMessage="1" xr:uid="{00000000-0002-0000-0300-0000CA250000}">
          <x14:formula1>
            <xm:f>項目!A4:$DDU$524290</xm:f>
          </x14:formula1>
          <xm:sqref>DED524293:DED524316</xm:sqref>
        </x14:dataValidation>
        <x14:dataValidation type="list" allowBlank="1" showInputMessage="1" showErrorMessage="1" xr:uid="{00000000-0002-0000-0300-0000CB250000}">
          <x14:formula1>
            <xm:f>項目!A4:$DNQ$524290</xm:f>
          </x14:formula1>
          <xm:sqref>DNZ524293:DNZ524316</xm:sqref>
        </x14:dataValidation>
        <x14:dataValidation type="list" allowBlank="1" showInputMessage="1" showErrorMessage="1" xr:uid="{00000000-0002-0000-0300-0000CC250000}">
          <x14:formula1>
            <xm:f>項目!A4:$DXM$524290</xm:f>
          </x14:formula1>
          <xm:sqref>DXV524293:DXV524316</xm:sqref>
        </x14:dataValidation>
        <x14:dataValidation type="list" allowBlank="1" showInputMessage="1" showErrorMessage="1" xr:uid="{00000000-0002-0000-0300-0000CD250000}">
          <x14:formula1>
            <xm:f>項目!A4:$EHI$524290</xm:f>
          </x14:formula1>
          <xm:sqref>EHR524293:EHR524316</xm:sqref>
        </x14:dataValidation>
        <x14:dataValidation type="list" allowBlank="1" showInputMessage="1" showErrorMessage="1" xr:uid="{00000000-0002-0000-0300-0000CE250000}">
          <x14:formula1>
            <xm:f>項目!A4:$ERE$524290</xm:f>
          </x14:formula1>
          <xm:sqref>ERN524293:ERN524316</xm:sqref>
        </x14:dataValidation>
        <x14:dataValidation type="list" allowBlank="1" showInputMessage="1" showErrorMessage="1" xr:uid="{00000000-0002-0000-0300-0000CF250000}">
          <x14:formula1>
            <xm:f>項目!A4:$FBA$524290</xm:f>
          </x14:formula1>
          <xm:sqref>FBJ524293:FBJ524316</xm:sqref>
        </x14:dataValidation>
        <x14:dataValidation type="list" allowBlank="1" showInputMessage="1" showErrorMessage="1" xr:uid="{00000000-0002-0000-0300-0000D0250000}">
          <x14:formula1>
            <xm:f>項目!A4:$FKW$524290</xm:f>
          </x14:formula1>
          <xm:sqref>FLF524293:FLF524316</xm:sqref>
        </x14:dataValidation>
        <x14:dataValidation type="list" allowBlank="1" showInputMessage="1" showErrorMessage="1" xr:uid="{00000000-0002-0000-0300-0000D1250000}">
          <x14:formula1>
            <xm:f>項目!A4:$FUS$524290</xm:f>
          </x14:formula1>
          <xm:sqref>FVB524293:FVB524316</xm:sqref>
        </x14:dataValidation>
        <x14:dataValidation type="list" allowBlank="1" showInputMessage="1" showErrorMessage="1" xr:uid="{00000000-0002-0000-0300-0000D2250000}">
          <x14:formula1>
            <xm:f>項目!A4:$GEO$524290</xm:f>
          </x14:formula1>
          <xm:sqref>GEX524293:GEX524316</xm:sqref>
        </x14:dataValidation>
        <x14:dataValidation type="list" allowBlank="1" showInputMessage="1" showErrorMessage="1" xr:uid="{00000000-0002-0000-0300-0000D3250000}">
          <x14:formula1>
            <xm:f>項目!A4:$GOK$524290</xm:f>
          </x14:formula1>
          <xm:sqref>GOT524293:GOT524316</xm:sqref>
        </x14:dataValidation>
        <x14:dataValidation type="list" allowBlank="1" showInputMessage="1" showErrorMessage="1" xr:uid="{00000000-0002-0000-0300-0000D4250000}">
          <x14:formula1>
            <xm:f>項目!A4:$GYG$524290</xm:f>
          </x14:formula1>
          <xm:sqref>GYP524293:GYP524316</xm:sqref>
        </x14:dataValidation>
        <x14:dataValidation type="list" allowBlank="1" showInputMessage="1" showErrorMessage="1" xr:uid="{00000000-0002-0000-0300-0000D5250000}">
          <x14:formula1>
            <xm:f>項目!A4:$HIC$524290</xm:f>
          </x14:formula1>
          <xm:sqref>HIL524293:HIL524316</xm:sqref>
        </x14:dataValidation>
        <x14:dataValidation type="list" allowBlank="1" showInputMessage="1" showErrorMessage="1" xr:uid="{00000000-0002-0000-0300-0000D6250000}">
          <x14:formula1>
            <xm:f>項目!A4:$HRY$524290</xm:f>
          </x14:formula1>
          <xm:sqref>HSH524293:HSH524316</xm:sqref>
        </x14:dataValidation>
        <x14:dataValidation type="list" allowBlank="1" showInputMessage="1" showErrorMessage="1" xr:uid="{00000000-0002-0000-0300-0000D7250000}">
          <x14:formula1>
            <xm:f>項目!A4:$IBU$524290</xm:f>
          </x14:formula1>
          <xm:sqref>ICD524293:ICD524316</xm:sqref>
        </x14:dataValidation>
        <x14:dataValidation type="list" allowBlank="1" showInputMessage="1" showErrorMessage="1" xr:uid="{00000000-0002-0000-0300-0000D8250000}">
          <x14:formula1>
            <xm:f>項目!A4:$ILQ$524290</xm:f>
          </x14:formula1>
          <xm:sqref>ILZ524293:ILZ524316</xm:sqref>
        </x14:dataValidation>
        <x14:dataValidation type="list" allowBlank="1" showInputMessage="1" showErrorMessage="1" xr:uid="{00000000-0002-0000-0300-0000D9250000}">
          <x14:formula1>
            <xm:f>項目!A4:$IVM$524290</xm:f>
          </x14:formula1>
          <xm:sqref>IVV524293:IVV524316</xm:sqref>
        </x14:dataValidation>
        <x14:dataValidation type="list" allowBlank="1" showInputMessage="1" showErrorMessage="1" xr:uid="{00000000-0002-0000-0300-0000DA250000}">
          <x14:formula1>
            <xm:f>項目!A4:$JFI$524290</xm:f>
          </x14:formula1>
          <xm:sqref>JFR524293:JFR524316</xm:sqref>
        </x14:dataValidation>
        <x14:dataValidation type="list" allowBlank="1" showInputMessage="1" showErrorMessage="1" xr:uid="{00000000-0002-0000-0300-0000DB250000}">
          <x14:formula1>
            <xm:f>項目!A4:$JPE$524290</xm:f>
          </x14:formula1>
          <xm:sqref>JPN524293:JPN524316</xm:sqref>
        </x14:dataValidation>
        <x14:dataValidation type="list" allowBlank="1" showInputMessage="1" showErrorMessage="1" xr:uid="{00000000-0002-0000-0300-0000DC250000}">
          <x14:formula1>
            <xm:f>項目!A4:$JZA$524290</xm:f>
          </x14:formula1>
          <xm:sqref>JZJ524293:JZJ524316</xm:sqref>
        </x14:dataValidation>
        <x14:dataValidation type="list" allowBlank="1" showInputMessage="1" showErrorMessage="1" xr:uid="{00000000-0002-0000-0300-0000DD250000}">
          <x14:formula1>
            <xm:f>項目!A4:$KIW$524290</xm:f>
          </x14:formula1>
          <xm:sqref>KJF524293:KJF524316</xm:sqref>
        </x14:dataValidation>
        <x14:dataValidation type="list" allowBlank="1" showInputMessage="1" showErrorMessage="1" xr:uid="{00000000-0002-0000-0300-0000DE250000}">
          <x14:formula1>
            <xm:f>項目!A4:$KSS$524290</xm:f>
          </x14:formula1>
          <xm:sqref>KTB524293:KTB524316</xm:sqref>
        </x14:dataValidation>
        <x14:dataValidation type="list" allowBlank="1" showInputMessage="1" showErrorMessage="1" xr:uid="{00000000-0002-0000-0300-0000DF250000}">
          <x14:formula1>
            <xm:f>項目!A4:$LCO$524290</xm:f>
          </x14:formula1>
          <xm:sqref>LCX524293:LCX524316</xm:sqref>
        </x14:dataValidation>
        <x14:dataValidation type="list" allowBlank="1" showInputMessage="1" showErrorMessage="1" xr:uid="{00000000-0002-0000-0300-0000E0250000}">
          <x14:formula1>
            <xm:f>項目!A4:$LMK$524290</xm:f>
          </x14:formula1>
          <xm:sqref>LMT524293:LMT524316</xm:sqref>
        </x14:dataValidation>
        <x14:dataValidation type="list" allowBlank="1" showInputMessage="1" showErrorMessage="1" xr:uid="{00000000-0002-0000-0300-0000E1250000}">
          <x14:formula1>
            <xm:f>項目!A4:$LWG$524290</xm:f>
          </x14:formula1>
          <xm:sqref>LWP524293:LWP524316</xm:sqref>
        </x14:dataValidation>
        <x14:dataValidation type="list" allowBlank="1" showInputMessage="1" showErrorMessage="1" xr:uid="{00000000-0002-0000-0300-0000E2250000}">
          <x14:formula1>
            <xm:f>項目!A4:$MGC$524290</xm:f>
          </x14:formula1>
          <xm:sqref>MGL524293:MGL524316</xm:sqref>
        </x14:dataValidation>
        <x14:dataValidation type="list" allowBlank="1" showInputMessage="1" showErrorMessage="1" xr:uid="{00000000-0002-0000-0300-0000E3250000}">
          <x14:formula1>
            <xm:f>項目!A4:$MPY$524290</xm:f>
          </x14:formula1>
          <xm:sqref>MQH524293:MQH524316</xm:sqref>
        </x14:dataValidation>
        <x14:dataValidation type="list" allowBlank="1" showInputMessage="1" showErrorMessage="1" xr:uid="{00000000-0002-0000-0300-0000E4250000}">
          <x14:formula1>
            <xm:f>項目!A4:$MZU$524290</xm:f>
          </x14:formula1>
          <xm:sqref>NAD524293:NAD524316</xm:sqref>
        </x14:dataValidation>
        <x14:dataValidation type="list" allowBlank="1" showInputMessage="1" showErrorMessage="1" xr:uid="{00000000-0002-0000-0300-0000E5250000}">
          <x14:formula1>
            <xm:f>項目!A4:$NJQ$524290</xm:f>
          </x14:formula1>
          <xm:sqref>NJZ524293:NJZ524316</xm:sqref>
        </x14:dataValidation>
        <x14:dataValidation type="list" allowBlank="1" showInputMessage="1" showErrorMessage="1" xr:uid="{00000000-0002-0000-0300-0000E6250000}">
          <x14:formula1>
            <xm:f>項目!A4:$NTM$524290</xm:f>
          </x14:formula1>
          <xm:sqref>NTV524293:NTV524316</xm:sqref>
        </x14:dataValidation>
        <x14:dataValidation type="list" allowBlank="1" showInputMessage="1" showErrorMessage="1" xr:uid="{00000000-0002-0000-0300-0000E7250000}">
          <x14:formula1>
            <xm:f>項目!A4:$ODI$524290</xm:f>
          </x14:formula1>
          <xm:sqref>ODR524293:ODR524316</xm:sqref>
        </x14:dataValidation>
        <x14:dataValidation type="list" allowBlank="1" showInputMessage="1" showErrorMessage="1" xr:uid="{00000000-0002-0000-0300-0000E8250000}">
          <x14:formula1>
            <xm:f>項目!A4:$ONE$524290</xm:f>
          </x14:formula1>
          <xm:sqref>ONN524293:ONN524316</xm:sqref>
        </x14:dataValidation>
        <x14:dataValidation type="list" allowBlank="1" showInputMessage="1" showErrorMessage="1" xr:uid="{00000000-0002-0000-0300-0000E9250000}">
          <x14:formula1>
            <xm:f>項目!A4:$OXA$524290</xm:f>
          </x14:formula1>
          <xm:sqref>OXJ524293:OXJ524316</xm:sqref>
        </x14:dataValidation>
        <x14:dataValidation type="list" allowBlank="1" showInputMessage="1" showErrorMessage="1" xr:uid="{00000000-0002-0000-0300-0000EA250000}">
          <x14:formula1>
            <xm:f>項目!A4:$PGW$524290</xm:f>
          </x14:formula1>
          <xm:sqref>PHF524293:PHF524316</xm:sqref>
        </x14:dataValidation>
        <x14:dataValidation type="list" allowBlank="1" showInputMessage="1" showErrorMessage="1" xr:uid="{00000000-0002-0000-0300-0000EB250000}">
          <x14:formula1>
            <xm:f>項目!A4:$PQS$524290</xm:f>
          </x14:formula1>
          <xm:sqref>PRB524293:PRB524316</xm:sqref>
        </x14:dataValidation>
        <x14:dataValidation type="list" allowBlank="1" showInputMessage="1" showErrorMessage="1" xr:uid="{00000000-0002-0000-0300-0000EC250000}">
          <x14:formula1>
            <xm:f>項目!A4:$QAO$524290</xm:f>
          </x14:formula1>
          <xm:sqref>QAX524293:QAX524316</xm:sqref>
        </x14:dataValidation>
        <x14:dataValidation type="list" allowBlank="1" showInputMessage="1" showErrorMessage="1" xr:uid="{00000000-0002-0000-0300-0000ED250000}">
          <x14:formula1>
            <xm:f>項目!A4:$QKK$524290</xm:f>
          </x14:formula1>
          <xm:sqref>QKT524293:QKT524316</xm:sqref>
        </x14:dataValidation>
        <x14:dataValidation type="list" allowBlank="1" showInputMessage="1" showErrorMessage="1" xr:uid="{00000000-0002-0000-0300-0000EE250000}">
          <x14:formula1>
            <xm:f>項目!A4:$QUG$524290</xm:f>
          </x14:formula1>
          <xm:sqref>QUP524293:QUP524316</xm:sqref>
        </x14:dataValidation>
        <x14:dataValidation type="list" allowBlank="1" showInputMessage="1" showErrorMessage="1" xr:uid="{00000000-0002-0000-0300-0000EF250000}">
          <x14:formula1>
            <xm:f>項目!A4:$REC$524290</xm:f>
          </x14:formula1>
          <xm:sqref>REL524293:REL524316</xm:sqref>
        </x14:dataValidation>
        <x14:dataValidation type="list" allowBlank="1" showInputMessage="1" showErrorMessage="1" xr:uid="{00000000-0002-0000-0300-0000F0250000}">
          <x14:formula1>
            <xm:f>項目!A4:$RNY$524290</xm:f>
          </x14:formula1>
          <xm:sqref>ROH524293:ROH524316</xm:sqref>
        </x14:dataValidation>
        <x14:dataValidation type="list" allowBlank="1" showInputMessage="1" showErrorMessage="1" xr:uid="{00000000-0002-0000-0300-0000F1250000}">
          <x14:formula1>
            <xm:f>項目!A4:$RXU$524290</xm:f>
          </x14:formula1>
          <xm:sqref>RYD524293:RYD524316</xm:sqref>
        </x14:dataValidation>
        <x14:dataValidation type="list" allowBlank="1" showInputMessage="1" showErrorMessage="1" xr:uid="{00000000-0002-0000-0300-0000F2250000}">
          <x14:formula1>
            <xm:f>項目!A4:$SHQ$524290</xm:f>
          </x14:formula1>
          <xm:sqref>SHZ524293:SHZ524316</xm:sqref>
        </x14:dataValidation>
        <x14:dataValidation type="list" allowBlank="1" showInputMessage="1" showErrorMessage="1" xr:uid="{00000000-0002-0000-0300-0000F3250000}">
          <x14:formula1>
            <xm:f>項目!A4:$SRM$524290</xm:f>
          </x14:formula1>
          <xm:sqref>SRV524293:SRV524316</xm:sqref>
        </x14:dataValidation>
        <x14:dataValidation type="list" allowBlank="1" showInputMessage="1" showErrorMessage="1" xr:uid="{00000000-0002-0000-0300-0000F4250000}">
          <x14:formula1>
            <xm:f>項目!A4:$TBI$524290</xm:f>
          </x14:formula1>
          <xm:sqref>TBR524293:TBR524316</xm:sqref>
        </x14:dataValidation>
        <x14:dataValidation type="list" allowBlank="1" showInputMessage="1" showErrorMessage="1" xr:uid="{00000000-0002-0000-0300-0000F5250000}">
          <x14:formula1>
            <xm:f>項目!A4:$TLE$524290</xm:f>
          </x14:formula1>
          <xm:sqref>TLN524293:TLN524316</xm:sqref>
        </x14:dataValidation>
        <x14:dataValidation type="list" allowBlank="1" showInputMessage="1" showErrorMessage="1" xr:uid="{00000000-0002-0000-0300-0000F6250000}">
          <x14:formula1>
            <xm:f>項目!A4:$TVA$524290</xm:f>
          </x14:formula1>
          <xm:sqref>TVJ524293:TVJ524316</xm:sqref>
        </x14:dataValidation>
        <x14:dataValidation type="list" allowBlank="1" showInputMessage="1" showErrorMessage="1" xr:uid="{00000000-0002-0000-0300-0000F7250000}">
          <x14:formula1>
            <xm:f>項目!A4:$UEW$524290</xm:f>
          </x14:formula1>
          <xm:sqref>UFF524293:UFF524316</xm:sqref>
        </x14:dataValidation>
        <x14:dataValidation type="list" allowBlank="1" showInputMessage="1" showErrorMessage="1" xr:uid="{00000000-0002-0000-0300-0000F8250000}">
          <x14:formula1>
            <xm:f>項目!A4:$UOS$524290</xm:f>
          </x14:formula1>
          <xm:sqref>UPB524293:UPB524316</xm:sqref>
        </x14:dataValidation>
        <x14:dataValidation type="list" allowBlank="1" showInputMessage="1" showErrorMessage="1" xr:uid="{00000000-0002-0000-0300-0000F9250000}">
          <x14:formula1>
            <xm:f>項目!A4:$UYO$524290</xm:f>
          </x14:formula1>
          <xm:sqref>UYX524293:UYX524316</xm:sqref>
        </x14:dataValidation>
        <x14:dataValidation type="list" allowBlank="1" showInputMessage="1" showErrorMessage="1" xr:uid="{00000000-0002-0000-0300-0000FA250000}">
          <x14:formula1>
            <xm:f>項目!A4:$VIK$524290</xm:f>
          </x14:formula1>
          <xm:sqref>VIT524293:VIT524316</xm:sqref>
        </x14:dataValidation>
        <x14:dataValidation type="list" allowBlank="1" showInputMessage="1" showErrorMessage="1" xr:uid="{00000000-0002-0000-0300-0000FB250000}">
          <x14:formula1>
            <xm:f>項目!A4:$VSG$524290</xm:f>
          </x14:formula1>
          <xm:sqref>VSP524293:VSP524316</xm:sqref>
        </x14:dataValidation>
        <x14:dataValidation type="list" allowBlank="1" showInputMessage="1" showErrorMessage="1" xr:uid="{00000000-0002-0000-0300-0000FC250000}">
          <x14:formula1>
            <xm:f>項目!A4:$WCC$524290</xm:f>
          </x14:formula1>
          <xm:sqref>WCL524293:WCL524316</xm:sqref>
        </x14:dataValidation>
        <x14:dataValidation type="list" allowBlank="1" showInputMessage="1" showErrorMessage="1" xr:uid="{00000000-0002-0000-0300-0000FD250000}">
          <x14:formula1>
            <xm:f>項目!A4:$WLY$524290</xm:f>
          </x14:formula1>
          <xm:sqref>WMH524293:WMH524316</xm:sqref>
        </x14:dataValidation>
        <x14:dataValidation type="list" allowBlank="1" showInputMessage="1" showErrorMessage="1" xr:uid="{00000000-0002-0000-0300-0000FE250000}">
          <x14:formula1>
            <xm:f>項目!A4:$WVU$524290</xm:f>
          </x14:formula1>
          <xm:sqref>WWD524293:WWD524316</xm:sqref>
        </x14:dataValidation>
        <x14:dataValidation type="list" allowBlank="1" showInputMessage="1" showErrorMessage="1" xr:uid="{00000000-0002-0000-0300-0000FF250000}">
          <x14:formula1>
            <xm:f>項目!A4:$N$589826</xm:f>
          </x14:formula1>
          <xm:sqref>V589829:V589852</xm:sqref>
        </x14:dataValidation>
        <x14:dataValidation type="list" allowBlank="1" showInputMessage="1" showErrorMessage="1" xr:uid="{00000000-0002-0000-0300-000000260000}">
          <x14:formula1>
            <xm:f>項目!A4:$JI$589826</xm:f>
          </x14:formula1>
          <xm:sqref>JR589829:JR589852</xm:sqref>
        </x14:dataValidation>
        <x14:dataValidation type="list" allowBlank="1" showInputMessage="1" showErrorMessage="1" xr:uid="{00000000-0002-0000-0300-000001260000}">
          <x14:formula1>
            <xm:f>項目!A4:$TE$589826</xm:f>
          </x14:formula1>
          <xm:sqref>TN589829:TN589852</xm:sqref>
        </x14:dataValidation>
        <x14:dataValidation type="list" allowBlank="1" showInputMessage="1" showErrorMessage="1" xr:uid="{00000000-0002-0000-0300-000002260000}">
          <x14:formula1>
            <xm:f>項目!A4:$ADA$589826</xm:f>
          </x14:formula1>
          <xm:sqref>ADJ589829:ADJ589852</xm:sqref>
        </x14:dataValidation>
        <x14:dataValidation type="list" allowBlank="1" showInputMessage="1" showErrorMessage="1" xr:uid="{00000000-0002-0000-0300-000003260000}">
          <x14:formula1>
            <xm:f>項目!A4:$AMW$589826</xm:f>
          </x14:formula1>
          <xm:sqref>ANF589829:ANF589852</xm:sqref>
        </x14:dataValidation>
        <x14:dataValidation type="list" allowBlank="1" showInputMessage="1" showErrorMessage="1" xr:uid="{00000000-0002-0000-0300-000004260000}">
          <x14:formula1>
            <xm:f>項目!A4:$AWS$589826</xm:f>
          </x14:formula1>
          <xm:sqref>AXB589829:AXB589852</xm:sqref>
        </x14:dataValidation>
        <x14:dataValidation type="list" allowBlank="1" showInputMessage="1" showErrorMessage="1" xr:uid="{00000000-0002-0000-0300-000005260000}">
          <x14:formula1>
            <xm:f>項目!A4:$BGO$589826</xm:f>
          </x14:formula1>
          <xm:sqref>BGX589829:BGX589852</xm:sqref>
        </x14:dataValidation>
        <x14:dataValidation type="list" allowBlank="1" showInputMessage="1" showErrorMessage="1" xr:uid="{00000000-0002-0000-0300-000006260000}">
          <x14:formula1>
            <xm:f>項目!A4:$BQK$589826</xm:f>
          </x14:formula1>
          <xm:sqref>BQT589829:BQT589852</xm:sqref>
        </x14:dataValidation>
        <x14:dataValidation type="list" allowBlank="1" showInputMessage="1" showErrorMessage="1" xr:uid="{00000000-0002-0000-0300-000007260000}">
          <x14:formula1>
            <xm:f>項目!A4:$CAG$589826</xm:f>
          </x14:formula1>
          <xm:sqref>CAP589829:CAP589852</xm:sqref>
        </x14:dataValidation>
        <x14:dataValidation type="list" allowBlank="1" showInputMessage="1" showErrorMessage="1" xr:uid="{00000000-0002-0000-0300-000008260000}">
          <x14:formula1>
            <xm:f>項目!A4:$CKC$589826</xm:f>
          </x14:formula1>
          <xm:sqref>CKL589829:CKL589852</xm:sqref>
        </x14:dataValidation>
        <x14:dataValidation type="list" allowBlank="1" showInputMessage="1" showErrorMessage="1" xr:uid="{00000000-0002-0000-0300-000009260000}">
          <x14:formula1>
            <xm:f>項目!A4:$CTY$589826</xm:f>
          </x14:formula1>
          <xm:sqref>CUH589829:CUH589852</xm:sqref>
        </x14:dataValidation>
        <x14:dataValidation type="list" allowBlank="1" showInputMessage="1" showErrorMessage="1" xr:uid="{00000000-0002-0000-0300-00000A260000}">
          <x14:formula1>
            <xm:f>項目!A4:$DDU$589826</xm:f>
          </x14:formula1>
          <xm:sqref>DED589829:DED589852</xm:sqref>
        </x14:dataValidation>
        <x14:dataValidation type="list" allowBlank="1" showInputMessage="1" showErrorMessage="1" xr:uid="{00000000-0002-0000-0300-00000B260000}">
          <x14:formula1>
            <xm:f>項目!A4:$DNQ$589826</xm:f>
          </x14:formula1>
          <xm:sqref>DNZ589829:DNZ589852</xm:sqref>
        </x14:dataValidation>
        <x14:dataValidation type="list" allowBlank="1" showInputMessage="1" showErrorMessage="1" xr:uid="{00000000-0002-0000-0300-00000C260000}">
          <x14:formula1>
            <xm:f>項目!A4:$DXM$589826</xm:f>
          </x14:formula1>
          <xm:sqref>DXV589829:DXV589852</xm:sqref>
        </x14:dataValidation>
        <x14:dataValidation type="list" allowBlank="1" showInputMessage="1" showErrorMessage="1" xr:uid="{00000000-0002-0000-0300-00000D260000}">
          <x14:formula1>
            <xm:f>項目!A4:$EHI$589826</xm:f>
          </x14:formula1>
          <xm:sqref>EHR589829:EHR589852</xm:sqref>
        </x14:dataValidation>
        <x14:dataValidation type="list" allowBlank="1" showInputMessage="1" showErrorMessage="1" xr:uid="{00000000-0002-0000-0300-00000E260000}">
          <x14:formula1>
            <xm:f>項目!A4:$ERE$589826</xm:f>
          </x14:formula1>
          <xm:sqref>ERN589829:ERN589852</xm:sqref>
        </x14:dataValidation>
        <x14:dataValidation type="list" allowBlank="1" showInputMessage="1" showErrorMessage="1" xr:uid="{00000000-0002-0000-0300-00000F260000}">
          <x14:formula1>
            <xm:f>項目!A4:$FBA$589826</xm:f>
          </x14:formula1>
          <xm:sqref>FBJ589829:FBJ589852</xm:sqref>
        </x14:dataValidation>
        <x14:dataValidation type="list" allowBlank="1" showInputMessage="1" showErrorMessage="1" xr:uid="{00000000-0002-0000-0300-000010260000}">
          <x14:formula1>
            <xm:f>項目!A4:$FKW$589826</xm:f>
          </x14:formula1>
          <xm:sqref>FLF589829:FLF589852</xm:sqref>
        </x14:dataValidation>
        <x14:dataValidation type="list" allowBlank="1" showInputMessage="1" showErrorMessage="1" xr:uid="{00000000-0002-0000-0300-000011260000}">
          <x14:formula1>
            <xm:f>項目!A4:$FUS$589826</xm:f>
          </x14:formula1>
          <xm:sqref>FVB589829:FVB589852</xm:sqref>
        </x14:dataValidation>
        <x14:dataValidation type="list" allowBlank="1" showInputMessage="1" showErrorMessage="1" xr:uid="{00000000-0002-0000-0300-000012260000}">
          <x14:formula1>
            <xm:f>項目!A4:$GEO$589826</xm:f>
          </x14:formula1>
          <xm:sqref>GEX589829:GEX589852</xm:sqref>
        </x14:dataValidation>
        <x14:dataValidation type="list" allowBlank="1" showInputMessage="1" showErrorMessage="1" xr:uid="{00000000-0002-0000-0300-000013260000}">
          <x14:formula1>
            <xm:f>項目!A4:$GOK$589826</xm:f>
          </x14:formula1>
          <xm:sqref>GOT589829:GOT589852</xm:sqref>
        </x14:dataValidation>
        <x14:dataValidation type="list" allowBlank="1" showInputMessage="1" showErrorMessage="1" xr:uid="{00000000-0002-0000-0300-000014260000}">
          <x14:formula1>
            <xm:f>項目!A4:$GYG$589826</xm:f>
          </x14:formula1>
          <xm:sqref>GYP589829:GYP589852</xm:sqref>
        </x14:dataValidation>
        <x14:dataValidation type="list" allowBlank="1" showInputMessage="1" showErrorMessage="1" xr:uid="{00000000-0002-0000-0300-000015260000}">
          <x14:formula1>
            <xm:f>項目!A4:$HIC$589826</xm:f>
          </x14:formula1>
          <xm:sqref>HIL589829:HIL589852</xm:sqref>
        </x14:dataValidation>
        <x14:dataValidation type="list" allowBlank="1" showInputMessage="1" showErrorMessage="1" xr:uid="{00000000-0002-0000-0300-000016260000}">
          <x14:formula1>
            <xm:f>項目!A4:$HRY$589826</xm:f>
          </x14:formula1>
          <xm:sqref>HSH589829:HSH589852</xm:sqref>
        </x14:dataValidation>
        <x14:dataValidation type="list" allowBlank="1" showInputMessage="1" showErrorMessage="1" xr:uid="{00000000-0002-0000-0300-000017260000}">
          <x14:formula1>
            <xm:f>項目!A4:$IBU$589826</xm:f>
          </x14:formula1>
          <xm:sqref>ICD589829:ICD589852</xm:sqref>
        </x14:dataValidation>
        <x14:dataValidation type="list" allowBlank="1" showInputMessage="1" showErrorMessage="1" xr:uid="{00000000-0002-0000-0300-000018260000}">
          <x14:formula1>
            <xm:f>項目!A4:$ILQ$589826</xm:f>
          </x14:formula1>
          <xm:sqref>ILZ589829:ILZ589852</xm:sqref>
        </x14:dataValidation>
        <x14:dataValidation type="list" allowBlank="1" showInputMessage="1" showErrorMessage="1" xr:uid="{00000000-0002-0000-0300-000019260000}">
          <x14:formula1>
            <xm:f>項目!A4:$IVM$589826</xm:f>
          </x14:formula1>
          <xm:sqref>IVV589829:IVV589852</xm:sqref>
        </x14:dataValidation>
        <x14:dataValidation type="list" allowBlank="1" showInputMessage="1" showErrorMessage="1" xr:uid="{00000000-0002-0000-0300-00001A260000}">
          <x14:formula1>
            <xm:f>項目!A4:$JFI$589826</xm:f>
          </x14:formula1>
          <xm:sqref>JFR589829:JFR589852</xm:sqref>
        </x14:dataValidation>
        <x14:dataValidation type="list" allowBlank="1" showInputMessage="1" showErrorMessage="1" xr:uid="{00000000-0002-0000-0300-00001B260000}">
          <x14:formula1>
            <xm:f>項目!A4:$JPE$589826</xm:f>
          </x14:formula1>
          <xm:sqref>JPN589829:JPN589852</xm:sqref>
        </x14:dataValidation>
        <x14:dataValidation type="list" allowBlank="1" showInputMessage="1" showErrorMessage="1" xr:uid="{00000000-0002-0000-0300-00001C260000}">
          <x14:formula1>
            <xm:f>項目!A4:$JZA$589826</xm:f>
          </x14:formula1>
          <xm:sqref>JZJ589829:JZJ589852</xm:sqref>
        </x14:dataValidation>
        <x14:dataValidation type="list" allowBlank="1" showInputMessage="1" showErrorMessage="1" xr:uid="{00000000-0002-0000-0300-00001D260000}">
          <x14:formula1>
            <xm:f>項目!A4:$KIW$589826</xm:f>
          </x14:formula1>
          <xm:sqref>KJF589829:KJF589852</xm:sqref>
        </x14:dataValidation>
        <x14:dataValidation type="list" allowBlank="1" showInputMessage="1" showErrorMessage="1" xr:uid="{00000000-0002-0000-0300-00001E260000}">
          <x14:formula1>
            <xm:f>項目!A4:$KSS$589826</xm:f>
          </x14:formula1>
          <xm:sqref>KTB589829:KTB589852</xm:sqref>
        </x14:dataValidation>
        <x14:dataValidation type="list" allowBlank="1" showInputMessage="1" showErrorMessage="1" xr:uid="{00000000-0002-0000-0300-00001F260000}">
          <x14:formula1>
            <xm:f>項目!A4:$LCO$589826</xm:f>
          </x14:formula1>
          <xm:sqref>LCX589829:LCX589852</xm:sqref>
        </x14:dataValidation>
        <x14:dataValidation type="list" allowBlank="1" showInputMessage="1" showErrorMessage="1" xr:uid="{00000000-0002-0000-0300-000020260000}">
          <x14:formula1>
            <xm:f>項目!A4:$LMK$589826</xm:f>
          </x14:formula1>
          <xm:sqref>LMT589829:LMT589852</xm:sqref>
        </x14:dataValidation>
        <x14:dataValidation type="list" allowBlank="1" showInputMessage="1" showErrorMessage="1" xr:uid="{00000000-0002-0000-0300-000021260000}">
          <x14:formula1>
            <xm:f>項目!A4:$LWG$589826</xm:f>
          </x14:formula1>
          <xm:sqref>LWP589829:LWP589852</xm:sqref>
        </x14:dataValidation>
        <x14:dataValidation type="list" allowBlank="1" showInputMessage="1" showErrorMessage="1" xr:uid="{00000000-0002-0000-0300-000022260000}">
          <x14:formula1>
            <xm:f>項目!A4:$MGC$589826</xm:f>
          </x14:formula1>
          <xm:sqref>MGL589829:MGL589852</xm:sqref>
        </x14:dataValidation>
        <x14:dataValidation type="list" allowBlank="1" showInputMessage="1" showErrorMessage="1" xr:uid="{00000000-0002-0000-0300-000023260000}">
          <x14:formula1>
            <xm:f>項目!A4:$MPY$589826</xm:f>
          </x14:formula1>
          <xm:sqref>MQH589829:MQH589852</xm:sqref>
        </x14:dataValidation>
        <x14:dataValidation type="list" allowBlank="1" showInputMessage="1" showErrorMessage="1" xr:uid="{00000000-0002-0000-0300-000024260000}">
          <x14:formula1>
            <xm:f>項目!A4:$MZU$589826</xm:f>
          </x14:formula1>
          <xm:sqref>NAD589829:NAD589852</xm:sqref>
        </x14:dataValidation>
        <x14:dataValidation type="list" allowBlank="1" showInputMessage="1" showErrorMessage="1" xr:uid="{00000000-0002-0000-0300-000025260000}">
          <x14:formula1>
            <xm:f>項目!A4:$NJQ$589826</xm:f>
          </x14:formula1>
          <xm:sqref>NJZ589829:NJZ589852</xm:sqref>
        </x14:dataValidation>
        <x14:dataValidation type="list" allowBlank="1" showInputMessage="1" showErrorMessage="1" xr:uid="{00000000-0002-0000-0300-000026260000}">
          <x14:formula1>
            <xm:f>項目!A4:$NTM$589826</xm:f>
          </x14:formula1>
          <xm:sqref>NTV589829:NTV589852</xm:sqref>
        </x14:dataValidation>
        <x14:dataValidation type="list" allowBlank="1" showInputMessage="1" showErrorMessage="1" xr:uid="{00000000-0002-0000-0300-000027260000}">
          <x14:formula1>
            <xm:f>項目!A4:$ODI$589826</xm:f>
          </x14:formula1>
          <xm:sqref>ODR589829:ODR589852</xm:sqref>
        </x14:dataValidation>
        <x14:dataValidation type="list" allowBlank="1" showInputMessage="1" showErrorMessage="1" xr:uid="{00000000-0002-0000-0300-000028260000}">
          <x14:formula1>
            <xm:f>項目!A4:$ONE$589826</xm:f>
          </x14:formula1>
          <xm:sqref>ONN589829:ONN589852</xm:sqref>
        </x14:dataValidation>
        <x14:dataValidation type="list" allowBlank="1" showInputMessage="1" showErrorMessage="1" xr:uid="{00000000-0002-0000-0300-000029260000}">
          <x14:formula1>
            <xm:f>項目!A4:$OXA$589826</xm:f>
          </x14:formula1>
          <xm:sqref>OXJ589829:OXJ589852</xm:sqref>
        </x14:dataValidation>
        <x14:dataValidation type="list" allowBlank="1" showInputMessage="1" showErrorMessage="1" xr:uid="{00000000-0002-0000-0300-00002A260000}">
          <x14:formula1>
            <xm:f>項目!A4:$PGW$589826</xm:f>
          </x14:formula1>
          <xm:sqref>PHF589829:PHF589852</xm:sqref>
        </x14:dataValidation>
        <x14:dataValidation type="list" allowBlank="1" showInputMessage="1" showErrorMessage="1" xr:uid="{00000000-0002-0000-0300-00002B260000}">
          <x14:formula1>
            <xm:f>項目!A4:$PQS$589826</xm:f>
          </x14:formula1>
          <xm:sqref>PRB589829:PRB589852</xm:sqref>
        </x14:dataValidation>
        <x14:dataValidation type="list" allowBlank="1" showInputMessage="1" showErrorMessage="1" xr:uid="{00000000-0002-0000-0300-00002C260000}">
          <x14:formula1>
            <xm:f>項目!A4:$QAO$589826</xm:f>
          </x14:formula1>
          <xm:sqref>QAX589829:QAX589852</xm:sqref>
        </x14:dataValidation>
        <x14:dataValidation type="list" allowBlank="1" showInputMessage="1" showErrorMessage="1" xr:uid="{00000000-0002-0000-0300-00002D260000}">
          <x14:formula1>
            <xm:f>項目!A4:$QKK$589826</xm:f>
          </x14:formula1>
          <xm:sqref>QKT589829:QKT589852</xm:sqref>
        </x14:dataValidation>
        <x14:dataValidation type="list" allowBlank="1" showInputMessage="1" showErrorMessage="1" xr:uid="{00000000-0002-0000-0300-00002E260000}">
          <x14:formula1>
            <xm:f>項目!A4:$QUG$589826</xm:f>
          </x14:formula1>
          <xm:sqref>QUP589829:QUP589852</xm:sqref>
        </x14:dataValidation>
        <x14:dataValidation type="list" allowBlank="1" showInputMessage="1" showErrorMessage="1" xr:uid="{00000000-0002-0000-0300-00002F260000}">
          <x14:formula1>
            <xm:f>項目!A4:$REC$589826</xm:f>
          </x14:formula1>
          <xm:sqref>REL589829:REL589852</xm:sqref>
        </x14:dataValidation>
        <x14:dataValidation type="list" allowBlank="1" showInputMessage="1" showErrorMessage="1" xr:uid="{00000000-0002-0000-0300-000030260000}">
          <x14:formula1>
            <xm:f>項目!A4:$RNY$589826</xm:f>
          </x14:formula1>
          <xm:sqref>ROH589829:ROH589852</xm:sqref>
        </x14:dataValidation>
        <x14:dataValidation type="list" allowBlank="1" showInputMessage="1" showErrorMessage="1" xr:uid="{00000000-0002-0000-0300-000031260000}">
          <x14:formula1>
            <xm:f>項目!A4:$RXU$589826</xm:f>
          </x14:formula1>
          <xm:sqref>RYD589829:RYD589852</xm:sqref>
        </x14:dataValidation>
        <x14:dataValidation type="list" allowBlank="1" showInputMessage="1" showErrorMessage="1" xr:uid="{00000000-0002-0000-0300-000032260000}">
          <x14:formula1>
            <xm:f>項目!A4:$SHQ$589826</xm:f>
          </x14:formula1>
          <xm:sqref>SHZ589829:SHZ589852</xm:sqref>
        </x14:dataValidation>
        <x14:dataValidation type="list" allowBlank="1" showInputMessage="1" showErrorMessage="1" xr:uid="{00000000-0002-0000-0300-000033260000}">
          <x14:formula1>
            <xm:f>項目!A4:$SRM$589826</xm:f>
          </x14:formula1>
          <xm:sqref>SRV589829:SRV589852</xm:sqref>
        </x14:dataValidation>
        <x14:dataValidation type="list" allowBlank="1" showInputMessage="1" showErrorMessage="1" xr:uid="{00000000-0002-0000-0300-000034260000}">
          <x14:formula1>
            <xm:f>項目!A4:$TBI$589826</xm:f>
          </x14:formula1>
          <xm:sqref>TBR589829:TBR589852</xm:sqref>
        </x14:dataValidation>
        <x14:dataValidation type="list" allowBlank="1" showInputMessage="1" showErrorMessage="1" xr:uid="{00000000-0002-0000-0300-000035260000}">
          <x14:formula1>
            <xm:f>項目!A4:$TLE$589826</xm:f>
          </x14:formula1>
          <xm:sqref>TLN589829:TLN589852</xm:sqref>
        </x14:dataValidation>
        <x14:dataValidation type="list" allowBlank="1" showInputMessage="1" showErrorMessage="1" xr:uid="{00000000-0002-0000-0300-000036260000}">
          <x14:formula1>
            <xm:f>項目!A4:$TVA$589826</xm:f>
          </x14:formula1>
          <xm:sqref>TVJ589829:TVJ589852</xm:sqref>
        </x14:dataValidation>
        <x14:dataValidation type="list" allowBlank="1" showInputMessage="1" showErrorMessage="1" xr:uid="{00000000-0002-0000-0300-000037260000}">
          <x14:formula1>
            <xm:f>項目!A4:$UEW$589826</xm:f>
          </x14:formula1>
          <xm:sqref>UFF589829:UFF589852</xm:sqref>
        </x14:dataValidation>
        <x14:dataValidation type="list" allowBlank="1" showInputMessage="1" showErrorMessage="1" xr:uid="{00000000-0002-0000-0300-000038260000}">
          <x14:formula1>
            <xm:f>項目!A4:$UOS$589826</xm:f>
          </x14:formula1>
          <xm:sqref>UPB589829:UPB589852</xm:sqref>
        </x14:dataValidation>
        <x14:dataValidation type="list" allowBlank="1" showInputMessage="1" showErrorMessage="1" xr:uid="{00000000-0002-0000-0300-000039260000}">
          <x14:formula1>
            <xm:f>項目!A4:$UYO$589826</xm:f>
          </x14:formula1>
          <xm:sqref>UYX589829:UYX589852</xm:sqref>
        </x14:dataValidation>
        <x14:dataValidation type="list" allowBlank="1" showInputMessage="1" showErrorMessage="1" xr:uid="{00000000-0002-0000-0300-00003A260000}">
          <x14:formula1>
            <xm:f>項目!A4:$VIK$589826</xm:f>
          </x14:formula1>
          <xm:sqref>VIT589829:VIT589852</xm:sqref>
        </x14:dataValidation>
        <x14:dataValidation type="list" allowBlank="1" showInputMessage="1" showErrorMessage="1" xr:uid="{00000000-0002-0000-0300-00003B260000}">
          <x14:formula1>
            <xm:f>項目!A4:$VSG$589826</xm:f>
          </x14:formula1>
          <xm:sqref>VSP589829:VSP589852</xm:sqref>
        </x14:dataValidation>
        <x14:dataValidation type="list" allowBlank="1" showInputMessage="1" showErrorMessage="1" xr:uid="{00000000-0002-0000-0300-00003C260000}">
          <x14:formula1>
            <xm:f>項目!A4:$WCC$589826</xm:f>
          </x14:formula1>
          <xm:sqref>WCL589829:WCL589852</xm:sqref>
        </x14:dataValidation>
        <x14:dataValidation type="list" allowBlank="1" showInputMessage="1" showErrorMessage="1" xr:uid="{00000000-0002-0000-0300-00003D260000}">
          <x14:formula1>
            <xm:f>項目!A4:$WLY$589826</xm:f>
          </x14:formula1>
          <xm:sqref>WMH589829:WMH589852</xm:sqref>
        </x14:dataValidation>
        <x14:dataValidation type="list" allowBlank="1" showInputMessage="1" showErrorMessage="1" xr:uid="{00000000-0002-0000-0300-00003E260000}">
          <x14:formula1>
            <xm:f>項目!A4:$WVU$589826</xm:f>
          </x14:formula1>
          <xm:sqref>WWD589829:WWD589852</xm:sqref>
        </x14:dataValidation>
        <x14:dataValidation type="list" allowBlank="1" showInputMessage="1" showErrorMessage="1" xr:uid="{00000000-0002-0000-0300-00003F260000}">
          <x14:formula1>
            <xm:f>項目!A4:$N$655362</xm:f>
          </x14:formula1>
          <xm:sqref>V655365:V655388</xm:sqref>
        </x14:dataValidation>
        <x14:dataValidation type="list" allowBlank="1" showInputMessage="1" showErrorMessage="1" xr:uid="{00000000-0002-0000-0300-000040260000}">
          <x14:formula1>
            <xm:f>項目!A4:$JI$655362</xm:f>
          </x14:formula1>
          <xm:sqref>JR655365:JR655388</xm:sqref>
        </x14:dataValidation>
        <x14:dataValidation type="list" allowBlank="1" showInputMessage="1" showErrorMessage="1" xr:uid="{00000000-0002-0000-0300-000041260000}">
          <x14:formula1>
            <xm:f>項目!A4:$TE$655362</xm:f>
          </x14:formula1>
          <xm:sqref>TN655365:TN655388</xm:sqref>
        </x14:dataValidation>
        <x14:dataValidation type="list" allowBlank="1" showInputMessage="1" showErrorMessage="1" xr:uid="{00000000-0002-0000-0300-000042260000}">
          <x14:formula1>
            <xm:f>項目!A4:$ADA$655362</xm:f>
          </x14:formula1>
          <xm:sqref>ADJ655365:ADJ655388</xm:sqref>
        </x14:dataValidation>
        <x14:dataValidation type="list" allowBlank="1" showInputMessage="1" showErrorMessage="1" xr:uid="{00000000-0002-0000-0300-000043260000}">
          <x14:formula1>
            <xm:f>項目!A4:$AMW$655362</xm:f>
          </x14:formula1>
          <xm:sqref>ANF655365:ANF655388</xm:sqref>
        </x14:dataValidation>
        <x14:dataValidation type="list" allowBlank="1" showInputMessage="1" showErrorMessage="1" xr:uid="{00000000-0002-0000-0300-000044260000}">
          <x14:formula1>
            <xm:f>項目!A4:$AWS$655362</xm:f>
          </x14:formula1>
          <xm:sqref>AXB655365:AXB655388</xm:sqref>
        </x14:dataValidation>
        <x14:dataValidation type="list" allowBlank="1" showInputMessage="1" showErrorMessage="1" xr:uid="{00000000-0002-0000-0300-000045260000}">
          <x14:formula1>
            <xm:f>項目!A4:$BGO$655362</xm:f>
          </x14:formula1>
          <xm:sqref>BGX655365:BGX655388</xm:sqref>
        </x14:dataValidation>
        <x14:dataValidation type="list" allowBlank="1" showInputMessage="1" showErrorMessage="1" xr:uid="{00000000-0002-0000-0300-000046260000}">
          <x14:formula1>
            <xm:f>項目!A4:$BQK$655362</xm:f>
          </x14:formula1>
          <xm:sqref>BQT655365:BQT655388</xm:sqref>
        </x14:dataValidation>
        <x14:dataValidation type="list" allowBlank="1" showInputMessage="1" showErrorMessage="1" xr:uid="{00000000-0002-0000-0300-000047260000}">
          <x14:formula1>
            <xm:f>項目!A4:$CAG$655362</xm:f>
          </x14:formula1>
          <xm:sqref>CAP655365:CAP655388</xm:sqref>
        </x14:dataValidation>
        <x14:dataValidation type="list" allowBlank="1" showInputMessage="1" showErrorMessage="1" xr:uid="{00000000-0002-0000-0300-000048260000}">
          <x14:formula1>
            <xm:f>項目!A4:$CKC$655362</xm:f>
          </x14:formula1>
          <xm:sqref>CKL655365:CKL655388</xm:sqref>
        </x14:dataValidation>
        <x14:dataValidation type="list" allowBlank="1" showInputMessage="1" showErrorMessage="1" xr:uid="{00000000-0002-0000-0300-000049260000}">
          <x14:formula1>
            <xm:f>項目!A4:$CTY$655362</xm:f>
          </x14:formula1>
          <xm:sqref>CUH655365:CUH655388</xm:sqref>
        </x14:dataValidation>
        <x14:dataValidation type="list" allowBlank="1" showInputMessage="1" showErrorMessage="1" xr:uid="{00000000-0002-0000-0300-00004A260000}">
          <x14:formula1>
            <xm:f>項目!A4:$DDU$655362</xm:f>
          </x14:formula1>
          <xm:sqref>DED655365:DED655388</xm:sqref>
        </x14:dataValidation>
        <x14:dataValidation type="list" allowBlank="1" showInputMessage="1" showErrorMessage="1" xr:uid="{00000000-0002-0000-0300-00004B260000}">
          <x14:formula1>
            <xm:f>項目!A4:$DNQ$655362</xm:f>
          </x14:formula1>
          <xm:sqref>DNZ655365:DNZ655388</xm:sqref>
        </x14:dataValidation>
        <x14:dataValidation type="list" allowBlank="1" showInputMessage="1" showErrorMessage="1" xr:uid="{00000000-0002-0000-0300-00004C260000}">
          <x14:formula1>
            <xm:f>項目!A4:$DXM$655362</xm:f>
          </x14:formula1>
          <xm:sqref>DXV655365:DXV655388</xm:sqref>
        </x14:dataValidation>
        <x14:dataValidation type="list" allowBlank="1" showInputMessage="1" showErrorMessage="1" xr:uid="{00000000-0002-0000-0300-00004D260000}">
          <x14:formula1>
            <xm:f>項目!A4:$EHI$655362</xm:f>
          </x14:formula1>
          <xm:sqref>EHR655365:EHR655388</xm:sqref>
        </x14:dataValidation>
        <x14:dataValidation type="list" allowBlank="1" showInputMessage="1" showErrorMessage="1" xr:uid="{00000000-0002-0000-0300-00004E260000}">
          <x14:formula1>
            <xm:f>項目!A4:$ERE$655362</xm:f>
          </x14:formula1>
          <xm:sqref>ERN655365:ERN655388</xm:sqref>
        </x14:dataValidation>
        <x14:dataValidation type="list" allowBlank="1" showInputMessage="1" showErrorMessage="1" xr:uid="{00000000-0002-0000-0300-00004F260000}">
          <x14:formula1>
            <xm:f>項目!A4:$FBA$655362</xm:f>
          </x14:formula1>
          <xm:sqref>FBJ655365:FBJ655388</xm:sqref>
        </x14:dataValidation>
        <x14:dataValidation type="list" allowBlank="1" showInputMessage="1" showErrorMessage="1" xr:uid="{00000000-0002-0000-0300-000050260000}">
          <x14:formula1>
            <xm:f>項目!A4:$FKW$655362</xm:f>
          </x14:formula1>
          <xm:sqref>FLF655365:FLF655388</xm:sqref>
        </x14:dataValidation>
        <x14:dataValidation type="list" allowBlank="1" showInputMessage="1" showErrorMessage="1" xr:uid="{00000000-0002-0000-0300-000051260000}">
          <x14:formula1>
            <xm:f>項目!A4:$FUS$655362</xm:f>
          </x14:formula1>
          <xm:sqref>FVB655365:FVB655388</xm:sqref>
        </x14:dataValidation>
        <x14:dataValidation type="list" allowBlank="1" showInputMessage="1" showErrorMessage="1" xr:uid="{00000000-0002-0000-0300-000052260000}">
          <x14:formula1>
            <xm:f>項目!A4:$GEO$655362</xm:f>
          </x14:formula1>
          <xm:sqref>GEX655365:GEX655388</xm:sqref>
        </x14:dataValidation>
        <x14:dataValidation type="list" allowBlank="1" showInputMessage="1" showErrorMessage="1" xr:uid="{00000000-0002-0000-0300-000053260000}">
          <x14:formula1>
            <xm:f>項目!A4:$GOK$655362</xm:f>
          </x14:formula1>
          <xm:sqref>GOT655365:GOT655388</xm:sqref>
        </x14:dataValidation>
        <x14:dataValidation type="list" allowBlank="1" showInputMessage="1" showErrorMessage="1" xr:uid="{00000000-0002-0000-0300-000054260000}">
          <x14:formula1>
            <xm:f>項目!A4:$GYG$655362</xm:f>
          </x14:formula1>
          <xm:sqref>GYP655365:GYP655388</xm:sqref>
        </x14:dataValidation>
        <x14:dataValidation type="list" allowBlank="1" showInputMessage="1" showErrorMessage="1" xr:uid="{00000000-0002-0000-0300-000055260000}">
          <x14:formula1>
            <xm:f>項目!A4:$HIC$655362</xm:f>
          </x14:formula1>
          <xm:sqref>HIL655365:HIL655388</xm:sqref>
        </x14:dataValidation>
        <x14:dataValidation type="list" allowBlank="1" showInputMessage="1" showErrorMessage="1" xr:uid="{00000000-0002-0000-0300-000056260000}">
          <x14:formula1>
            <xm:f>項目!A4:$HRY$655362</xm:f>
          </x14:formula1>
          <xm:sqref>HSH655365:HSH655388</xm:sqref>
        </x14:dataValidation>
        <x14:dataValidation type="list" allowBlank="1" showInputMessage="1" showErrorMessage="1" xr:uid="{00000000-0002-0000-0300-000057260000}">
          <x14:formula1>
            <xm:f>項目!A4:$IBU$655362</xm:f>
          </x14:formula1>
          <xm:sqref>ICD655365:ICD655388</xm:sqref>
        </x14:dataValidation>
        <x14:dataValidation type="list" allowBlank="1" showInputMessage="1" showErrorMessage="1" xr:uid="{00000000-0002-0000-0300-000058260000}">
          <x14:formula1>
            <xm:f>項目!A4:$ILQ$655362</xm:f>
          </x14:formula1>
          <xm:sqref>ILZ655365:ILZ655388</xm:sqref>
        </x14:dataValidation>
        <x14:dataValidation type="list" allowBlank="1" showInputMessage="1" showErrorMessage="1" xr:uid="{00000000-0002-0000-0300-000059260000}">
          <x14:formula1>
            <xm:f>項目!A4:$IVM$655362</xm:f>
          </x14:formula1>
          <xm:sqref>IVV655365:IVV655388</xm:sqref>
        </x14:dataValidation>
        <x14:dataValidation type="list" allowBlank="1" showInputMessage="1" showErrorMessage="1" xr:uid="{00000000-0002-0000-0300-00005A260000}">
          <x14:formula1>
            <xm:f>項目!A4:$JFI$655362</xm:f>
          </x14:formula1>
          <xm:sqref>JFR655365:JFR655388</xm:sqref>
        </x14:dataValidation>
        <x14:dataValidation type="list" allowBlank="1" showInputMessage="1" showErrorMessage="1" xr:uid="{00000000-0002-0000-0300-00005B260000}">
          <x14:formula1>
            <xm:f>項目!A4:$JPE$655362</xm:f>
          </x14:formula1>
          <xm:sqref>JPN655365:JPN655388</xm:sqref>
        </x14:dataValidation>
        <x14:dataValidation type="list" allowBlank="1" showInputMessage="1" showErrorMessage="1" xr:uid="{00000000-0002-0000-0300-00005C260000}">
          <x14:formula1>
            <xm:f>項目!A4:$JZA$655362</xm:f>
          </x14:formula1>
          <xm:sqref>JZJ655365:JZJ655388</xm:sqref>
        </x14:dataValidation>
        <x14:dataValidation type="list" allowBlank="1" showInputMessage="1" showErrorMessage="1" xr:uid="{00000000-0002-0000-0300-00005D260000}">
          <x14:formula1>
            <xm:f>項目!A4:$KIW$655362</xm:f>
          </x14:formula1>
          <xm:sqref>KJF655365:KJF655388</xm:sqref>
        </x14:dataValidation>
        <x14:dataValidation type="list" allowBlank="1" showInputMessage="1" showErrorMessage="1" xr:uid="{00000000-0002-0000-0300-00005E260000}">
          <x14:formula1>
            <xm:f>項目!A4:$KSS$655362</xm:f>
          </x14:formula1>
          <xm:sqref>KTB655365:KTB655388</xm:sqref>
        </x14:dataValidation>
        <x14:dataValidation type="list" allowBlank="1" showInputMessage="1" showErrorMessage="1" xr:uid="{00000000-0002-0000-0300-00005F260000}">
          <x14:formula1>
            <xm:f>項目!A4:$LCO$655362</xm:f>
          </x14:formula1>
          <xm:sqref>LCX655365:LCX655388</xm:sqref>
        </x14:dataValidation>
        <x14:dataValidation type="list" allowBlank="1" showInputMessage="1" showErrorMessage="1" xr:uid="{00000000-0002-0000-0300-000060260000}">
          <x14:formula1>
            <xm:f>項目!A4:$LMK$655362</xm:f>
          </x14:formula1>
          <xm:sqref>LMT655365:LMT655388</xm:sqref>
        </x14:dataValidation>
        <x14:dataValidation type="list" allowBlank="1" showInputMessage="1" showErrorMessage="1" xr:uid="{00000000-0002-0000-0300-000061260000}">
          <x14:formula1>
            <xm:f>項目!A4:$LWG$655362</xm:f>
          </x14:formula1>
          <xm:sqref>LWP655365:LWP655388</xm:sqref>
        </x14:dataValidation>
        <x14:dataValidation type="list" allowBlank="1" showInputMessage="1" showErrorMessage="1" xr:uid="{00000000-0002-0000-0300-000062260000}">
          <x14:formula1>
            <xm:f>項目!A4:$MGC$655362</xm:f>
          </x14:formula1>
          <xm:sqref>MGL655365:MGL655388</xm:sqref>
        </x14:dataValidation>
        <x14:dataValidation type="list" allowBlank="1" showInputMessage="1" showErrorMessage="1" xr:uid="{00000000-0002-0000-0300-000063260000}">
          <x14:formula1>
            <xm:f>項目!A4:$MPY$655362</xm:f>
          </x14:formula1>
          <xm:sqref>MQH655365:MQH655388</xm:sqref>
        </x14:dataValidation>
        <x14:dataValidation type="list" allowBlank="1" showInputMessage="1" showErrorMessage="1" xr:uid="{00000000-0002-0000-0300-000064260000}">
          <x14:formula1>
            <xm:f>項目!A4:$MZU$655362</xm:f>
          </x14:formula1>
          <xm:sqref>NAD655365:NAD655388</xm:sqref>
        </x14:dataValidation>
        <x14:dataValidation type="list" allowBlank="1" showInputMessage="1" showErrorMessage="1" xr:uid="{00000000-0002-0000-0300-000065260000}">
          <x14:formula1>
            <xm:f>項目!A4:$NJQ$655362</xm:f>
          </x14:formula1>
          <xm:sqref>NJZ655365:NJZ655388</xm:sqref>
        </x14:dataValidation>
        <x14:dataValidation type="list" allowBlank="1" showInputMessage="1" showErrorMessage="1" xr:uid="{00000000-0002-0000-0300-000066260000}">
          <x14:formula1>
            <xm:f>項目!A4:$NTM$655362</xm:f>
          </x14:formula1>
          <xm:sqref>NTV655365:NTV655388</xm:sqref>
        </x14:dataValidation>
        <x14:dataValidation type="list" allowBlank="1" showInputMessage="1" showErrorMessage="1" xr:uid="{00000000-0002-0000-0300-000067260000}">
          <x14:formula1>
            <xm:f>項目!A4:$ODI$655362</xm:f>
          </x14:formula1>
          <xm:sqref>ODR655365:ODR655388</xm:sqref>
        </x14:dataValidation>
        <x14:dataValidation type="list" allowBlank="1" showInputMessage="1" showErrorMessage="1" xr:uid="{00000000-0002-0000-0300-000068260000}">
          <x14:formula1>
            <xm:f>項目!A4:$ONE$655362</xm:f>
          </x14:formula1>
          <xm:sqref>ONN655365:ONN655388</xm:sqref>
        </x14:dataValidation>
        <x14:dataValidation type="list" allowBlank="1" showInputMessage="1" showErrorMessage="1" xr:uid="{00000000-0002-0000-0300-000069260000}">
          <x14:formula1>
            <xm:f>項目!A4:$OXA$655362</xm:f>
          </x14:formula1>
          <xm:sqref>OXJ655365:OXJ655388</xm:sqref>
        </x14:dataValidation>
        <x14:dataValidation type="list" allowBlank="1" showInputMessage="1" showErrorMessage="1" xr:uid="{00000000-0002-0000-0300-00006A260000}">
          <x14:formula1>
            <xm:f>項目!A4:$PGW$655362</xm:f>
          </x14:formula1>
          <xm:sqref>PHF655365:PHF655388</xm:sqref>
        </x14:dataValidation>
        <x14:dataValidation type="list" allowBlank="1" showInputMessage="1" showErrorMessage="1" xr:uid="{00000000-0002-0000-0300-00006B260000}">
          <x14:formula1>
            <xm:f>項目!A4:$PQS$655362</xm:f>
          </x14:formula1>
          <xm:sqref>PRB655365:PRB655388</xm:sqref>
        </x14:dataValidation>
        <x14:dataValidation type="list" allowBlank="1" showInputMessage="1" showErrorMessage="1" xr:uid="{00000000-0002-0000-0300-00006C260000}">
          <x14:formula1>
            <xm:f>項目!A4:$QAO$655362</xm:f>
          </x14:formula1>
          <xm:sqref>QAX655365:QAX655388</xm:sqref>
        </x14:dataValidation>
        <x14:dataValidation type="list" allowBlank="1" showInputMessage="1" showErrorMessage="1" xr:uid="{00000000-0002-0000-0300-00006D260000}">
          <x14:formula1>
            <xm:f>項目!A4:$QKK$655362</xm:f>
          </x14:formula1>
          <xm:sqref>QKT655365:QKT655388</xm:sqref>
        </x14:dataValidation>
        <x14:dataValidation type="list" allowBlank="1" showInputMessage="1" showErrorMessage="1" xr:uid="{00000000-0002-0000-0300-00006E260000}">
          <x14:formula1>
            <xm:f>項目!A4:$QUG$655362</xm:f>
          </x14:formula1>
          <xm:sqref>QUP655365:QUP655388</xm:sqref>
        </x14:dataValidation>
        <x14:dataValidation type="list" allowBlank="1" showInputMessage="1" showErrorMessage="1" xr:uid="{00000000-0002-0000-0300-00006F260000}">
          <x14:formula1>
            <xm:f>項目!A4:$REC$655362</xm:f>
          </x14:formula1>
          <xm:sqref>REL655365:REL655388</xm:sqref>
        </x14:dataValidation>
        <x14:dataValidation type="list" allowBlank="1" showInputMessage="1" showErrorMessage="1" xr:uid="{00000000-0002-0000-0300-000070260000}">
          <x14:formula1>
            <xm:f>項目!A4:$RNY$655362</xm:f>
          </x14:formula1>
          <xm:sqref>ROH655365:ROH655388</xm:sqref>
        </x14:dataValidation>
        <x14:dataValidation type="list" allowBlank="1" showInputMessage="1" showErrorMessage="1" xr:uid="{00000000-0002-0000-0300-000071260000}">
          <x14:formula1>
            <xm:f>項目!A4:$RXU$655362</xm:f>
          </x14:formula1>
          <xm:sqref>RYD655365:RYD655388</xm:sqref>
        </x14:dataValidation>
        <x14:dataValidation type="list" allowBlank="1" showInputMessage="1" showErrorMessage="1" xr:uid="{00000000-0002-0000-0300-000072260000}">
          <x14:formula1>
            <xm:f>項目!A4:$SHQ$655362</xm:f>
          </x14:formula1>
          <xm:sqref>SHZ655365:SHZ655388</xm:sqref>
        </x14:dataValidation>
        <x14:dataValidation type="list" allowBlank="1" showInputMessage="1" showErrorMessage="1" xr:uid="{00000000-0002-0000-0300-000073260000}">
          <x14:formula1>
            <xm:f>項目!A4:$SRM$655362</xm:f>
          </x14:formula1>
          <xm:sqref>SRV655365:SRV655388</xm:sqref>
        </x14:dataValidation>
        <x14:dataValidation type="list" allowBlank="1" showInputMessage="1" showErrorMessage="1" xr:uid="{00000000-0002-0000-0300-000074260000}">
          <x14:formula1>
            <xm:f>項目!A4:$TBI$655362</xm:f>
          </x14:formula1>
          <xm:sqref>TBR655365:TBR655388</xm:sqref>
        </x14:dataValidation>
        <x14:dataValidation type="list" allowBlank="1" showInputMessage="1" showErrorMessage="1" xr:uid="{00000000-0002-0000-0300-000075260000}">
          <x14:formula1>
            <xm:f>項目!A4:$TLE$655362</xm:f>
          </x14:formula1>
          <xm:sqref>TLN655365:TLN655388</xm:sqref>
        </x14:dataValidation>
        <x14:dataValidation type="list" allowBlank="1" showInputMessage="1" showErrorMessage="1" xr:uid="{00000000-0002-0000-0300-000076260000}">
          <x14:formula1>
            <xm:f>項目!A4:$TVA$655362</xm:f>
          </x14:formula1>
          <xm:sqref>TVJ655365:TVJ655388</xm:sqref>
        </x14:dataValidation>
        <x14:dataValidation type="list" allowBlank="1" showInputMessage="1" showErrorMessage="1" xr:uid="{00000000-0002-0000-0300-000077260000}">
          <x14:formula1>
            <xm:f>項目!A4:$UEW$655362</xm:f>
          </x14:formula1>
          <xm:sqref>UFF655365:UFF655388</xm:sqref>
        </x14:dataValidation>
        <x14:dataValidation type="list" allowBlank="1" showInputMessage="1" showErrorMessage="1" xr:uid="{00000000-0002-0000-0300-000078260000}">
          <x14:formula1>
            <xm:f>項目!A4:$UOS$655362</xm:f>
          </x14:formula1>
          <xm:sqref>UPB655365:UPB655388</xm:sqref>
        </x14:dataValidation>
        <x14:dataValidation type="list" allowBlank="1" showInputMessage="1" showErrorMessage="1" xr:uid="{00000000-0002-0000-0300-000079260000}">
          <x14:formula1>
            <xm:f>項目!A4:$UYO$655362</xm:f>
          </x14:formula1>
          <xm:sqref>UYX655365:UYX655388</xm:sqref>
        </x14:dataValidation>
        <x14:dataValidation type="list" allowBlank="1" showInputMessage="1" showErrorMessage="1" xr:uid="{00000000-0002-0000-0300-00007A260000}">
          <x14:formula1>
            <xm:f>項目!A4:$VIK$655362</xm:f>
          </x14:formula1>
          <xm:sqref>VIT655365:VIT655388</xm:sqref>
        </x14:dataValidation>
        <x14:dataValidation type="list" allowBlank="1" showInputMessage="1" showErrorMessage="1" xr:uid="{00000000-0002-0000-0300-00007B260000}">
          <x14:formula1>
            <xm:f>項目!A4:$VSG$655362</xm:f>
          </x14:formula1>
          <xm:sqref>VSP655365:VSP655388</xm:sqref>
        </x14:dataValidation>
        <x14:dataValidation type="list" allowBlank="1" showInputMessage="1" showErrorMessage="1" xr:uid="{00000000-0002-0000-0300-00007C260000}">
          <x14:formula1>
            <xm:f>項目!A4:$WCC$655362</xm:f>
          </x14:formula1>
          <xm:sqref>WCL655365:WCL655388</xm:sqref>
        </x14:dataValidation>
        <x14:dataValidation type="list" allowBlank="1" showInputMessage="1" showErrorMessage="1" xr:uid="{00000000-0002-0000-0300-00007D260000}">
          <x14:formula1>
            <xm:f>項目!A4:$WLY$655362</xm:f>
          </x14:formula1>
          <xm:sqref>WMH655365:WMH655388</xm:sqref>
        </x14:dataValidation>
        <x14:dataValidation type="list" allowBlank="1" showInputMessage="1" showErrorMessage="1" xr:uid="{00000000-0002-0000-0300-00007E260000}">
          <x14:formula1>
            <xm:f>項目!A4:$WVU$655362</xm:f>
          </x14:formula1>
          <xm:sqref>WWD655365:WWD655388</xm:sqref>
        </x14:dataValidation>
        <x14:dataValidation type="list" allowBlank="1" showInputMessage="1" showErrorMessage="1" xr:uid="{00000000-0002-0000-0300-00007F260000}">
          <x14:formula1>
            <xm:f>項目!A4:$N$720898</xm:f>
          </x14:formula1>
          <xm:sqref>V720901:V720924</xm:sqref>
        </x14:dataValidation>
        <x14:dataValidation type="list" allowBlank="1" showInputMessage="1" showErrorMessage="1" xr:uid="{00000000-0002-0000-0300-000080260000}">
          <x14:formula1>
            <xm:f>項目!A4:$JI$720898</xm:f>
          </x14:formula1>
          <xm:sqref>JR720901:JR720924</xm:sqref>
        </x14:dataValidation>
        <x14:dataValidation type="list" allowBlank="1" showInputMessage="1" showErrorMessage="1" xr:uid="{00000000-0002-0000-0300-000081260000}">
          <x14:formula1>
            <xm:f>項目!A4:$TE$720898</xm:f>
          </x14:formula1>
          <xm:sqref>TN720901:TN720924</xm:sqref>
        </x14:dataValidation>
        <x14:dataValidation type="list" allowBlank="1" showInputMessage="1" showErrorMessage="1" xr:uid="{00000000-0002-0000-0300-000082260000}">
          <x14:formula1>
            <xm:f>項目!A4:$ADA$720898</xm:f>
          </x14:formula1>
          <xm:sqref>ADJ720901:ADJ720924</xm:sqref>
        </x14:dataValidation>
        <x14:dataValidation type="list" allowBlank="1" showInputMessage="1" showErrorMessage="1" xr:uid="{00000000-0002-0000-0300-000083260000}">
          <x14:formula1>
            <xm:f>項目!A4:$AMW$720898</xm:f>
          </x14:formula1>
          <xm:sqref>ANF720901:ANF720924</xm:sqref>
        </x14:dataValidation>
        <x14:dataValidation type="list" allowBlank="1" showInputMessage="1" showErrorMessage="1" xr:uid="{00000000-0002-0000-0300-000084260000}">
          <x14:formula1>
            <xm:f>項目!A4:$AWS$720898</xm:f>
          </x14:formula1>
          <xm:sqref>AXB720901:AXB720924</xm:sqref>
        </x14:dataValidation>
        <x14:dataValidation type="list" allowBlank="1" showInputMessage="1" showErrorMessage="1" xr:uid="{00000000-0002-0000-0300-000085260000}">
          <x14:formula1>
            <xm:f>項目!A4:$BGO$720898</xm:f>
          </x14:formula1>
          <xm:sqref>BGX720901:BGX720924</xm:sqref>
        </x14:dataValidation>
        <x14:dataValidation type="list" allowBlank="1" showInputMessage="1" showErrorMessage="1" xr:uid="{00000000-0002-0000-0300-000086260000}">
          <x14:formula1>
            <xm:f>項目!A4:$BQK$720898</xm:f>
          </x14:formula1>
          <xm:sqref>BQT720901:BQT720924</xm:sqref>
        </x14:dataValidation>
        <x14:dataValidation type="list" allowBlank="1" showInputMessage="1" showErrorMessage="1" xr:uid="{00000000-0002-0000-0300-000087260000}">
          <x14:formula1>
            <xm:f>項目!A4:$CAG$720898</xm:f>
          </x14:formula1>
          <xm:sqref>CAP720901:CAP720924</xm:sqref>
        </x14:dataValidation>
        <x14:dataValidation type="list" allowBlank="1" showInputMessage="1" showErrorMessage="1" xr:uid="{00000000-0002-0000-0300-000088260000}">
          <x14:formula1>
            <xm:f>項目!A4:$CKC$720898</xm:f>
          </x14:formula1>
          <xm:sqref>CKL720901:CKL720924</xm:sqref>
        </x14:dataValidation>
        <x14:dataValidation type="list" allowBlank="1" showInputMessage="1" showErrorMessage="1" xr:uid="{00000000-0002-0000-0300-000089260000}">
          <x14:formula1>
            <xm:f>項目!A4:$CTY$720898</xm:f>
          </x14:formula1>
          <xm:sqref>CUH720901:CUH720924</xm:sqref>
        </x14:dataValidation>
        <x14:dataValidation type="list" allowBlank="1" showInputMessage="1" showErrorMessage="1" xr:uid="{00000000-0002-0000-0300-00008A260000}">
          <x14:formula1>
            <xm:f>項目!A4:$DDU$720898</xm:f>
          </x14:formula1>
          <xm:sqref>DED720901:DED720924</xm:sqref>
        </x14:dataValidation>
        <x14:dataValidation type="list" allowBlank="1" showInputMessage="1" showErrorMessage="1" xr:uid="{00000000-0002-0000-0300-00008B260000}">
          <x14:formula1>
            <xm:f>項目!A4:$DNQ$720898</xm:f>
          </x14:formula1>
          <xm:sqref>DNZ720901:DNZ720924</xm:sqref>
        </x14:dataValidation>
        <x14:dataValidation type="list" allowBlank="1" showInputMessage="1" showErrorMessage="1" xr:uid="{00000000-0002-0000-0300-00008C260000}">
          <x14:formula1>
            <xm:f>項目!A4:$DXM$720898</xm:f>
          </x14:formula1>
          <xm:sqref>DXV720901:DXV720924</xm:sqref>
        </x14:dataValidation>
        <x14:dataValidation type="list" allowBlank="1" showInputMessage="1" showErrorMessage="1" xr:uid="{00000000-0002-0000-0300-00008D260000}">
          <x14:formula1>
            <xm:f>項目!A4:$EHI$720898</xm:f>
          </x14:formula1>
          <xm:sqref>EHR720901:EHR720924</xm:sqref>
        </x14:dataValidation>
        <x14:dataValidation type="list" allowBlank="1" showInputMessage="1" showErrorMessage="1" xr:uid="{00000000-0002-0000-0300-00008E260000}">
          <x14:formula1>
            <xm:f>項目!A4:$ERE$720898</xm:f>
          </x14:formula1>
          <xm:sqref>ERN720901:ERN720924</xm:sqref>
        </x14:dataValidation>
        <x14:dataValidation type="list" allowBlank="1" showInputMessage="1" showErrorMessage="1" xr:uid="{00000000-0002-0000-0300-00008F260000}">
          <x14:formula1>
            <xm:f>項目!A4:$FBA$720898</xm:f>
          </x14:formula1>
          <xm:sqref>FBJ720901:FBJ720924</xm:sqref>
        </x14:dataValidation>
        <x14:dataValidation type="list" allowBlank="1" showInputMessage="1" showErrorMessage="1" xr:uid="{00000000-0002-0000-0300-000090260000}">
          <x14:formula1>
            <xm:f>項目!A4:$FKW$720898</xm:f>
          </x14:formula1>
          <xm:sqref>FLF720901:FLF720924</xm:sqref>
        </x14:dataValidation>
        <x14:dataValidation type="list" allowBlank="1" showInputMessage="1" showErrorMessage="1" xr:uid="{00000000-0002-0000-0300-000091260000}">
          <x14:formula1>
            <xm:f>項目!A4:$FUS$720898</xm:f>
          </x14:formula1>
          <xm:sqref>FVB720901:FVB720924</xm:sqref>
        </x14:dataValidation>
        <x14:dataValidation type="list" allowBlank="1" showInputMessage="1" showErrorMessage="1" xr:uid="{00000000-0002-0000-0300-000092260000}">
          <x14:formula1>
            <xm:f>項目!A4:$GEO$720898</xm:f>
          </x14:formula1>
          <xm:sqref>GEX720901:GEX720924</xm:sqref>
        </x14:dataValidation>
        <x14:dataValidation type="list" allowBlank="1" showInputMessage="1" showErrorMessage="1" xr:uid="{00000000-0002-0000-0300-000093260000}">
          <x14:formula1>
            <xm:f>項目!A4:$GOK$720898</xm:f>
          </x14:formula1>
          <xm:sqref>GOT720901:GOT720924</xm:sqref>
        </x14:dataValidation>
        <x14:dataValidation type="list" allowBlank="1" showInputMessage="1" showErrorMessage="1" xr:uid="{00000000-0002-0000-0300-000094260000}">
          <x14:formula1>
            <xm:f>項目!A4:$GYG$720898</xm:f>
          </x14:formula1>
          <xm:sqref>GYP720901:GYP720924</xm:sqref>
        </x14:dataValidation>
        <x14:dataValidation type="list" allowBlank="1" showInputMessage="1" showErrorMessage="1" xr:uid="{00000000-0002-0000-0300-000095260000}">
          <x14:formula1>
            <xm:f>項目!A4:$HIC$720898</xm:f>
          </x14:formula1>
          <xm:sqref>HIL720901:HIL720924</xm:sqref>
        </x14:dataValidation>
        <x14:dataValidation type="list" allowBlank="1" showInputMessage="1" showErrorMessage="1" xr:uid="{00000000-0002-0000-0300-000096260000}">
          <x14:formula1>
            <xm:f>項目!A4:$HRY$720898</xm:f>
          </x14:formula1>
          <xm:sqref>HSH720901:HSH720924</xm:sqref>
        </x14:dataValidation>
        <x14:dataValidation type="list" allowBlank="1" showInputMessage="1" showErrorMessage="1" xr:uid="{00000000-0002-0000-0300-000097260000}">
          <x14:formula1>
            <xm:f>項目!A4:$IBU$720898</xm:f>
          </x14:formula1>
          <xm:sqref>ICD720901:ICD720924</xm:sqref>
        </x14:dataValidation>
        <x14:dataValidation type="list" allowBlank="1" showInputMessage="1" showErrorMessage="1" xr:uid="{00000000-0002-0000-0300-000098260000}">
          <x14:formula1>
            <xm:f>項目!A4:$ILQ$720898</xm:f>
          </x14:formula1>
          <xm:sqref>ILZ720901:ILZ720924</xm:sqref>
        </x14:dataValidation>
        <x14:dataValidation type="list" allowBlank="1" showInputMessage="1" showErrorMessage="1" xr:uid="{00000000-0002-0000-0300-000099260000}">
          <x14:formula1>
            <xm:f>項目!A4:$IVM$720898</xm:f>
          </x14:formula1>
          <xm:sqref>IVV720901:IVV720924</xm:sqref>
        </x14:dataValidation>
        <x14:dataValidation type="list" allowBlank="1" showInputMessage="1" showErrorMessage="1" xr:uid="{00000000-0002-0000-0300-00009A260000}">
          <x14:formula1>
            <xm:f>項目!A4:$JFI$720898</xm:f>
          </x14:formula1>
          <xm:sqref>JFR720901:JFR720924</xm:sqref>
        </x14:dataValidation>
        <x14:dataValidation type="list" allowBlank="1" showInputMessage="1" showErrorMessage="1" xr:uid="{00000000-0002-0000-0300-00009B260000}">
          <x14:formula1>
            <xm:f>項目!A4:$JPE$720898</xm:f>
          </x14:formula1>
          <xm:sqref>JPN720901:JPN720924</xm:sqref>
        </x14:dataValidation>
        <x14:dataValidation type="list" allowBlank="1" showInputMessage="1" showErrorMessage="1" xr:uid="{00000000-0002-0000-0300-00009C260000}">
          <x14:formula1>
            <xm:f>項目!A4:$JZA$720898</xm:f>
          </x14:formula1>
          <xm:sqref>JZJ720901:JZJ720924</xm:sqref>
        </x14:dataValidation>
        <x14:dataValidation type="list" allowBlank="1" showInputMessage="1" showErrorMessage="1" xr:uid="{00000000-0002-0000-0300-00009D260000}">
          <x14:formula1>
            <xm:f>項目!A4:$KIW$720898</xm:f>
          </x14:formula1>
          <xm:sqref>KJF720901:KJF720924</xm:sqref>
        </x14:dataValidation>
        <x14:dataValidation type="list" allowBlank="1" showInputMessage="1" showErrorMessage="1" xr:uid="{00000000-0002-0000-0300-00009E260000}">
          <x14:formula1>
            <xm:f>項目!A4:$KSS$720898</xm:f>
          </x14:formula1>
          <xm:sqref>KTB720901:KTB720924</xm:sqref>
        </x14:dataValidation>
        <x14:dataValidation type="list" allowBlank="1" showInputMessage="1" showErrorMessage="1" xr:uid="{00000000-0002-0000-0300-00009F260000}">
          <x14:formula1>
            <xm:f>項目!A4:$LCO$720898</xm:f>
          </x14:formula1>
          <xm:sqref>LCX720901:LCX720924</xm:sqref>
        </x14:dataValidation>
        <x14:dataValidation type="list" allowBlank="1" showInputMessage="1" showErrorMessage="1" xr:uid="{00000000-0002-0000-0300-0000A0260000}">
          <x14:formula1>
            <xm:f>項目!A4:$LMK$720898</xm:f>
          </x14:formula1>
          <xm:sqref>LMT720901:LMT720924</xm:sqref>
        </x14:dataValidation>
        <x14:dataValidation type="list" allowBlank="1" showInputMessage="1" showErrorMessage="1" xr:uid="{00000000-0002-0000-0300-0000A1260000}">
          <x14:formula1>
            <xm:f>項目!A4:$LWG$720898</xm:f>
          </x14:formula1>
          <xm:sqref>LWP720901:LWP720924</xm:sqref>
        </x14:dataValidation>
        <x14:dataValidation type="list" allowBlank="1" showInputMessage="1" showErrorMessage="1" xr:uid="{00000000-0002-0000-0300-0000A2260000}">
          <x14:formula1>
            <xm:f>項目!A4:$MGC$720898</xm:f>
          </x14:formula1>
          <xm:sqref>MGL720901:MGL720924</xm:sqref>
        </x14:dataValidation>
        <x14:dataValidation type="list" allowBlank="1" showInputMessage="1" showErrorMessage="1" xr:uid="{00000000-0002-0000-0300-0000A3260000}">
          <x14:formula1>
            <xm:f>項目!A4:$MPY$720898</xm:f>
          </x14:formula1>
          <xm:sqref>MQH720901:MQH720924</xm:sqref>
        </x14:dataValidation>
        <x14:dataValidation type="list" allowBlank="1" showInputMessage="1" showErrorMessage="1" xr:uid="{00000000-0002-0000-0300-0000A4260000}">
          <x14:formula1>
            <xm:f>項目!A4:$MZU$720898</xm:f>
          </x14:formula1>
          <xm:sqref>NAD720901:NAD720924</xm:sqref>
        </x14:dataValidation>
        <x14:dataValidation type="list" allowBlank="1" showInputMessage="1" showErrorMessage="1" xr:uid="{00000000-0002-0000-0300-0000A5260000}">
          <x14:formula1>
            <xm:f>項目!A4:$NJQ$720898</xm:f>
          </x14:formula1>
          <xm:sqref>NJZ720901:NJZ720924</xm:sqref>
        </x14:dataValidation>
        <x14:dataValidation type="list" allowBlank="1" showInputMessage="1" showErrorMessage="1" xr:uid="{00000000-0002-0000-0300-0000A6260000}">
          <x14:formula1>
            <xm:f>項目!A4:$NTM$720898</xm:f>
          </x14:formula1>
          <xm:sqref>NTV720901:NTV720924</xm:sqref>
        </x14:dataValidation>
        <x14:dataValidation type="list" allowBlank="1" showInputMessage="1" showErrorMessage="1" xr:uid="{00000000-0002-0000-0300-0000A7260000}">
          <x14:formula1>
            <xm:f>項目!A4:$ODI$720898</xm:f>
          </x14:formula1>
          <xm:sqref>ODR720901:ODR720924</xm:sqref>
        </x14:dataValidation>
        <x14:dataValidation type="list" allowBlank="1" showInputMessage="1" showErrorMessage="1" xr:uid="{00000000-0002-0000-0300-0000A8260000}">
          <x14:formula1>
            <xm:f>項目!A4:$ONE$720898</xm:f>
          </x14:formula1>
          <xm:sqref>ONN720901:ONN720924</xm:sqref>
        </x14:dataValidation>
        <x14:dataValidation type="list" allowBlank="1" showInputMessage="1" showErrorMessage="1" xr:uid="{00000000-0002-0000-0300-0000A9260000}">
          <x14:formula1>
            <xm:f>項目!A4:$OXA$720898</xm:f>
          </x14:formula1>
          <xm:sqref>OXJ720901:OXJ720924</xm:sqref>
        </x14:dataValidation>
        <x14:dataValidation type="list" allowBlank="1" showInputMessage="1" showErrorMessage="1" xr:uid="{00000000-0002-0000-0300-0000AA260000}">
          <x14:formula1>
            <xm:f>項目!A4:$PGW$720898</xm:f>
          </x14:formula1>
          <xm:sqref>PHF720901:PHF720924</xm:sqref>
        </x14:dataValidation>
        <x14:dataValidation type="list" allowBlank="1" showInputMessage="1" showErrorMessage="1" xr:uid="{00000000-0002-0000-0300-0000AB260000}">
          <x14:formula1>
            <xm:f>項目!A4:$PQS$720898</xm:f>
          </x14:formula1>
          <xm:sqref>PRB720901:PRB720924</xm:sqref>
        </x14:dataValidation>
        <x14:dataValidation type="list" allowBlank="1" showInputMessage="1" showErrorMessage="1" xr:uid="{00000000-0002-0000-0300-0000AC260000}">
          <x14:formula1>
            <xm:f>項目!A4:$QAO$720898</xm:f>
          </x14:formula1>
          <xm:sqref>QAX720901:QAX720924</xm:sqref>
        </x14:dataValidation>
        <x14:dataValidation type="list" allowBlank="1" showInputMessage="1" showErrorMessage="1" xr:uid="{00000000-0002-0000-0300-0000AD260000}">
          <x14:formula1>
            <xm:f>項目!A4:$QKK$720898</xm:f>
          </x14:formula1>
          <xm:sqref>QKT720901:QKT720924</xm:sqref>
        </x14:dataValidation>
        <x14:dataValidation type="list" allowBlank="1" showInputMessage="1" showErrorMessage="1" xr:uid="{00000000-0002-0000-0300-0000AE260000}">
          <x14:formula1>
            <xm:f>項目!A4:$QUG$720898</xm:f>
          </x14:formula1>
          <xm:sqref>QUP720901:QUP720924</xm:sqref>
        </x14:dataValidation>
        <x14:dataValidation type="list" allowBlank="1" showInputMessage="1" showErrorMessage="1" xr:uid="{00000000-0002-0000-0300-0000AF260000}">
          <x14:formula1>
            <xm:f>項目!A4:$REC$720898</xm:f>
          </x14:formula1>
          <xm:sqref>REL720901:REL720924</xm:sqref>
        </x14:dataValidation>
        <x14:dataValidation type="list" allowBlank="1" showInputMessage="1" showErrorMessage="1" xr:uid="{00000000-0002-0000-0300-0000B0260000}">
          <x14:formula1>
            <xm:f>項目!A4:$RNY$720898</xm:f>
          </x14:formula1>
          <xm:sqref>ROH720901:ROH720924</xm:sqref>
        </x14:dataValidation>
        <x14:dataValidation type="list" allowBlank="1" showInputMessage="1" showErrorMessage="1" xr:uid="{00000000-0002-0000-0300-0000B1260000}">
          <x14:formula1>
            <xm:f>項目!A4:$RXU$720898</xm:f>
          </x14:formula1>
          <xm:sqref>RYD720901:RYD720924</xm:sqref>
        </x14:dataValidation>
        <x14:dataValidation type="list" allowBlank="1" showInputMessage="1" showErrorMessage="1" xr:uid="{00000000-0002-0000-0300-0000B2260000}">
          <x14:formula1>
            <xm:f>項目!A4:$SHQ$720898</xm:f>
          </x14:formula1>
          <xm:sqref>SHZ720901:SHZ720924</xm:sqref>
        </x14:dataValidation>
        <x14:dataValidation type="list" allowBlank="1" showInputMessage="1" showErrorMessage="1" xr:uid="{00000000-0002-0000-0300-0000B3260000}">
          <x14:formula1>
            <xm:f>項目!A4:$SRM$720898</xm:f>
          </x14:formula1>
          <xm:sqref>SRV720901:SRV720924</xm:sqref>
        </x14:dataValidation>
        <x14:dataValidation type="list" allowBlank="1" showInputMessage="1" showErrorMessage="1" xr:uid="{00000000-0002-0000-0300-0000B4260000}">
          <x14:formula1>
            <xm:f>項目!A4:$TBI$720898</xm:f>
          </x14:formula1>
          <xm:sqref>TBR720901:TBR720924</xm:sqref>
        </x14:dataValidation>
        <x14:dataValidation type="list" allowBlank="1" showInputMessage="1" showErrorMessage="1" xr:uid="{00000000-0002-0000-0300-0000B5260000}">
          <x14:formula1>
            <xm:f>項目!A4:$TLE$720898</xm:f>
          </x14:formula1>
          <xm:sqref>TLN720901:TLN720924</xm:sqref>
        </x14:dataValidation>
        <x14:dataValidation type="list" allowBlank="1" showInputMessage="1" showErrorMessage="1" xr:uid="{00000000-0002-0000-0300-0000B6260000}">
          <x14:formula1>
            <xm:f>項目!A4:$TVA$720898</xm:f>
          </x14:formula1>
          <xm:sqref>TVJ720901:TVJ720924</xm:sqref>
        </x14:dataValidation>
        <x14:dataValidation type="list" allowBlank="1" showInputMessage="1" showErrorMessage="1" xr:uid="{00000000-0002-0000-0300-0000B7260000}">
          <x14:formula1>
            <xm:f>項目!A4:$UEW$720898</xm:f>
          </x14:formula1>
          <xm:sqref>UFF720901:UFF720924</xm:sqref>
        </x14:dataValidation>
        <x14:dataValidation type="list" allowBlank="1" showInputMessage="1" showErrorMessage="1" xr:uid="{00000000-0002-0000-0300-0000B8260000}">
          <x14:formula1>
            <xm:f>項目!A4:$UOS$720898</xm:f>
          </x14:formula1>
          <xm:sqref>UPB720901:UPB720924</xm:sqref>
        </x14:dataValidation>
        <x14:dataValidation type="list" allowBlank="1" showInputMessage="1" showErrorMessage="1" xr:uid="{00000000-0002-0000-0300-0000B9260000}">
          <x14:formula1>
            <xm:f>項目!A4:$UYO$720898</xm:f>
          </x14:formula1>
          <xm:sqref>UYX720901:UYX720924</xm:sqref>
        </x14:dataValidation>
        <x14:dataValidation type="list" allowBlank="1" showInputMessage="1" showErrorMessage="1" xr:uid="{00000000-0002-0000-0300-0000BA260000}">
          <x14:formula1>
            <xm:f>項目!A4:$VIK$720898</xm:f>
          </x14:formula1>
          <xm:sqref>VIT720901:VIT720924</xm:sqref>
        </x14:dataValidation>
        <x14:dataValidation type="list" allowBlank="1" showInputMessage="1" showErrorMessage="1" xr:uid="{00000000-0002-0000-0300-0000BB260000}">
          <x14:formula1>
            <xm:f>項目!A4:$VSG$720898</xm:f>
          </x14:formula1>
          <xm:sqref>VSP720901:VSP720924</xm:sqref>
        </x14:dataValidation>
        <x14:dataValidation type="list" allowBlank="1" showInputMessage="1" showErrorMessage="1" xr:uid="{00000000-0002-0000-0300-0000BC260000}">
          <x14:formula1>
            <xm:f>項目!A4:$WCC$720898</xm:f>
          </x14:formula1>
          <xm:sqref>WCL720901:WCL720924</xm:sqref>
        </x14:dataValidation>
        <x14:dataValidation type="list" allowBlank="1" showInputMessage="1" showErrorMessage="1" xr:uid="{00000000-0002-0000-0300-0000BD260000}">
          <x14:formula1>
            <xm:f>項目!A4:$WLY$720898</xm:f>
          </x14:formula1>
          <xm:sqref>WMH720901:WMH720924</xm:sqref>
        </x14:dataValidation>
        <x14:dataValidation type="list" allowBlank="1" showInputMessage="1" showErrorMessage="1" xr:uid="{00000000-0002-0000-0300-0000BE260000}">
          <x14:formula1>
            <xm:f>項目!A4:$WVU$720898</xm:f>
          </x14:formula1>
          <xm:sqref>WWD720901:WWD720924</xm:sqref>
        </x14:dataValidation>
        <x14:dataValidation type="list" allowBlank="1" showInputMessage="1" showErrorMessage="1" xr:uid="{00000000-0002-0000-0300-0000BF260000}">
          <x14:formula1>
            <xm:f>項目!A4:$N$786434</xm:f>
          </x14:formula1>
          <xm:sqref>V786437:V786460</xm:sqref>
        </x14:dataValidation>
        <x14:dataValidation type="list" allowBlank="1" showInputMessage="1" showErrorMessage="1" xr:uid="{00000000-0002-0000-0300-0000C0260000}">
          <x14:formula1>
            <xm:f>項目!A4:$JI$786434</xm:f>
          </x14:formula1>
          <xm:sqref>JR786437:JR786460</xm:sqref>
        </x14:dataValidation>
        <x14:dataValidation type="list" allowBlank="1" showInputMessage="1" showErrorMessage="1" xr:uid="{00000000-0002-0000-0300-0000C1260000}">
          <x14:formula1>
            <xm:f>項目!A4:$TE$786434</xm:f>
          </x14:formula1>
          <xm:sqref>TN786437:TN786460</xm:sqref>
        </x14:dataValidation>
        <x14:dataValidation type="list" allowBlank="1" showInputMessage="1" showErrorMessage="1" xr:uid="{00000000-0002-0000-0300-0000C2260000}">
          <x14:formula1>
            <xm:f>項目!A4:$ADA$786434</xm:f>
          </x14:formula1>
          <xm:sqref>ADJ786437:ADJ786460</xm:sqref>
        </x14:dataValidation>
        <x14:dataValidation type="list" allowBlank="1" showInputMessage="1" showErrorMessage="1" xr:uid="{00000000-0002-0000-0300-0000C3260000}">
          <x14:formula1>
            <xm:f>項目!A4:$AMW$786434</xm:f>
          </x14:formula1>
          <xm:sqref>ANF786437:ANF786460</xm:sqref>
        </x14:dataValidation>
        <x14:dataValidation type="list" allowBlank="1" showInputMessage="1" showErrorMessage="1" xr:uid="{00000000-0002-0000-0300-0000C4260000}">
          <x14:formula1>
            <xm:f>項目!A4:$AWS$786434</xm:f>
          </x14:formula1>
          <xm:sqref>AXB786437:AXB786460</xm:sqref>
        </x14:dataValidation>
        <x14:dataValidation type="list" allowBlank="1" showInputMessage="1" showErrorMessage="1" xr:uid="{00000000-0002-0000-0300-0000C5260000}">
          <x14:formula1>
            <xm:f>項目!A4:$BGO$786434</xm:f>
          </x14:formula1>
          <xm:sqref>BGX786437:BGX786460</xm:sqref>
        </x14:dataValidation>
        <x14:dataValidation type="list" allowBlank="1" showInputMessage="1" showErrorMessage="1" xr:uid="{00000000-0002-0000-0300-0000C6260000}">
          <x14:formula1>
            <xm:f>項目!A4:$BQK$786434</xm:f>
          </x14:formula1>
          <xm:sqref>BQT786437:BQT786460</xm:sqref>
        </x14:dataValidation>
        <x14:dataValidation type="list" allowBlank="1" showInputMessage="1" showErrorMessage="1" xr:uid="{00000000-0002-0000-0300-0000C7260000}">
          <x14:formula1>
            <xm:f>項目!A4:$CAG$786434</xm:f>
          </x14:formula1>
          <xm:sqref>CAP786437:CAP786460</xm:sqref>
        </x14:dataValidation>
        <x14:dataValidation type="list" allowBlank="1" showInputMessage="1" showErrorMessage="1" xr:uid="{00000000-0002-0000-0300-0000C8260000}">
          <x14:formula1>
            <xm:f>項目!A4:$CKC$786434</xm:f>
          </x14:formula1>
          <xm:sqref>CKL786437:CKL786460</xm:sqref>
        </x14:dataValidation>
        <x14:dataValidation type="list" allowBlank="1" showInputMessage="1" showErrorMessage="1" xr:uid="{00000000-0002-0000-0300-0000C9260000}">
          <x14:formula1>
            <xm:f>項目!A4:$CTY$786434</xm:f>
          </x14:formula1>
          <xm:sqref>CUH786437:CUH786460</xm:sqref>
        </x14:dataValidation>
        <x14:dataValidation type="list" allowBlank="1" showInputMessage="1" showErrorMessage="1" xr:uid="{00000000-0002-0000-0300-0000CA260000}">
          <x14:formula1>
            <xm:f>項目!A4:$DDU$786434</xm:f>
          </x14:formula1>
          <xm:sqref>DED786437:DED786460</xm:sqref>
        </x14:dataValidation>
        <x14:dataValidation type="list" allowBlank="1" showInputMessage="1" showErrorMessage="1" xr:uid="{00000000-0002-0000-0300-0000CB260000}">
          <x14:formula1>
            <xm:f>項目!A4:$DNQ$786434</xm:f>
          </x14:formula1>
          <xm:sqref>DNZ786437:DNZ786460</xm:sqref>
        </x14:dataValidation>
        <x14:dataValidation type="list" allowBlank="1" showInputMessage="1" showErrorMessage="1" xr:uid="{00000000-0002-0000-0300-0000CC260000}">
          <x14:formula1>
            <xm:f>項目!A4:$DXM$786434</xm:f>
          </x14:formula1>
          <xm:sqref>DXV786437:DXV786460</xm:sqref>
        </x14:dataValidation>
        <x14:dataValidation type="list" allowBlank="1" showInputMessage="1" showErrorMessage="1" xr:uid="{00000000-0002-0000-0300-0000CD260000}">
          <x14:formula1>
            <xm:f>項目!A4:$EHI$786434</xm:f>
          </x14:formula1>
          <xm:sqref>EHR786437:EHR786460</xm:sqref>
        </x14:dataValidation>
        <x14:dataValidation type="list" allowBlank="1" showInputMessage="1" showErrorMessage="1" xr:uid="{00000000-0002-0000-0300-0000CE260000}">
          <x14:formula1>
            <xm:f>項目!A4:$ERE$786434</xm:f>
          </x14:formula1>
          <xm:sqref>ERN786437:ERN786460</xm:sqref>
        </x14:dataValidation>
        <x14:dataValidation type="list" allowBlank="1" showInputMessage="1" showErrorMessage="1" xr:uid="{00000000-0002-0000-0300-0000CF260000}">
          <x14:formula1>
            <xm:f>項目!A4:$FBA$786434</xm:f>
          </x14:formula1>
          <xm:sqref>FBJ786437:FBJ786460</xm:sqref>
        </x14:dataValidation>
        <x14:dataValidation type="list" allowBlank="1" showInputMessage="1" showErrorMessage="1" xr:uid="{00000000-0002-0000-0300-0000D0260000}">
          <x14:formula1>
            <xm:f>項目!A4:$FKW$786434</xm:f>
          </x14:formula1>
          <xm:sqref>FLF786437:FLF786460</xm:sqref>
        </x14:dataValidation>
        <x14:dataValidation type="list" allowBlank="1" showInputMessage="1" showErrorMessage="1" xr:uid="{00000000-0002-0000-0300-0000D1260000}">
          <x14:formula1>
            <xm:f>項目!A4:$FUS$786434</xm:f>
          </x14:formula1>
          <xm:sqref>FVB786437:FVB786460</xm:sqref>
        </x14:dataValidation>
        <x14:dataValidation type="list" allowBlank="1" showInputMessage="1" showErrorMessage="1" xr:uid="{00000000-0002-0000-0300-0000D2260000}">
          <x14:formula1>
            <xm:f>項目!A4:$GEO$786434</xm:f>
          </x14:formula1>
          <xm:sqref>GEX786437:GEX786460</xm:sqref>
        </x14:dataValidation>
        <x14:dataValidation type="list" allowBlank="1" showInputMessage="1" showErrorMessage="1" xr:uid="{00000000-0002-0000-0300-0000D3260000}">
          <x14:formula1>
            <xm:f>項目!A4:$GOK$786434</xm:f>
          </x14:formula1>
          <xm:sqref>GOT786437:GOT786460</xm:sqref>
        </x14:dataValidation>
        <x14:dataValidation type="list" allowBlank="1" showInputMessage="1" showErrorMessage="1" xr:uid="{00000000-0002-0000-0300-0000D4260000}">
          <x14:formula1>
            <xm:f>項目!A4:$GYG$786434</xm:f>
          </x14:formula1>
          <xm:sqref>GYP786437:GYP786460</xm:sqref>
        </x14:dataValidation>
        <x14:dataValidation type="list" allowBlank="1" showInputMessage="1" showErrorMessage="1" xr:uid="{00000000-0002-0000-0300-0000D5260000}">
          <x14:formula1>
            <xm:f>項目!A4:$HIC$786434</xm:f>
          </x14:formula1>
          <xm:sqref>HIL786437:HIL786460</xm:sqref>
        </x14:dataValidation>
        <x14:dataValidation type="list" allowBlank="1" showInputMessage="1" showErrorMessage="1" xr:uid="{00000000-0002-0000-0300-0000D6260000}">
          <x14:formula1>
            <xm:f>項目!A4:$HRY$786434</xm:f>
          </x14:formula1>
          <xm:sqref>HSH786437:HSH786460</xm:sqref>
        </x14:dataValidation>
        <x14:dataValidation type="list" allowBlank="1" showInputMessage="1" showErrorMessage="1" xr:uid="{00000000-0002-0000-0300-0000D7260000}">
          <x14:formula1>
            <xm:f>項目!A4:$IBU$786434</xm:f>
          </x14:formula1>
          <xm:sqref>ICD786437:ICD786460</xm:sqref>
        </x14:dataValidation>
        <x14:dataValidation type="list" allowBlank="1" showInputMessage="1" showErrorMessage="1" xr:uid="{00000000-0002-0000-0300-0000D8260000}">
          <x14:formula1>
            <xm:f>項目!A4:$ILQ$786434</xm:f>
          </x14:formula1>
          <xm:sqref>ILZ786437:ILZ786460</xm:sqref>
        </x14:dataValidation>
        <x14:dataValidation type="list" allowBlank="1" showInputMessage="1" showErrorMessage="1" xr:uid="{00000000-0002-0000-0300-0000D9260000}">
          <x14:formula1>
            <xm:f>項目!A4:$IVM$786434</xm:f>
          </x14:formula1>
          <xm:sqref>IVV786437:IVV786460</xm:sqref>
        </x14:dataValidation>
        <x14:dataValidation type="list" allowBlank="1" showInputMessage="1" showErrorMessage="1" xr:uid="{00000000-0002-0000-0300-0000DA260000}">
          <x14:formula1>
            <xm:f>項目!A4:$JFI$786434</xm:f>
          </x14:formula1>
          <xm:sqref>JFR786437:JFR786460</xm:sqref>
        </x14:dataValidation>
        <x14:dataValidation type="list" allowBlank="1" showInputMessage="1" showErrorMessage="1" xr:uid="{00000000-0002-0000-0300-0000DB260000}">
          <x14:formula1>
            <xm:f>項目!A4:$JPE$786434</xm:f>
          </x14:formula1>
          <xm:sqref>JPN786437:JPN786460</xm:sqref>
        </x14:dataValidation>
        <x14:dataValidation type="list" allowBlank="1" showInputMessage="1" showErrorMessage="1" xr:uid="{00000000-0002-0000-0300-0000DC260000}">
          <x14:formula1>
            <xm:f>項目!A4:$JZA$786434</xm:f>
          </x14:formula1>
          <xm:sqref>JZJ786437:JZJ786460</xm:sqref>
        </x14:dataValidation>
        <x14:dataValidation type="list" allowBlank="1" showInputMessage="1" showErrorMessage="1" xr:uid="{00000000-0002-0000-0300-0000DD260000}">
          <x14:formula1>
            <xm:f>項目!A4:$KIW$786434</xm:f>
          </x14:formula1>
          <xm:sqref>KJF786437:KJF786460</xm:sqref>
        </x14:dataValidation>
        <x14:dataValidation type="list" allowBlank="1" showInputMessage="1" showErrorMessage="1" xr:uid="{00000000-0002-0000-0300-0000DE260000}">
          <x14:formula1>
            <xm:f>項目!A4:$KSS$786434</xm:f>
          </x14:formula1>
          <xm:sqref>KTB786437:KTB786460</xm:sqref>
        </x14:dataValidation>
        <x14:dataValidation type="list" allowBlank="1" showInputMessage="1" showErrorMessage="1" xr:uid="{00000000-0002-0000-0300-0000DF260000}">
          <x14:formula1>
            <xm:f>項目!A4:$LCO$786434</xm:f>
          </x14:formula1>
          <xm:sqref>LCX786437:LCX786460</xm:sqref>
        </x14:dataValidation>
        <x14:dataValidation type="list" allowBlank="1" showInputMessage="1" showErrorMessage="1" xr:uid="{00000000-0002-0000-0300-0000E0260000}">
          <x14:formula1>
            <xm:f>項目!A4:$LMK$786434</xm:f>
          </x14:formula1>
          <xm:sqref>LMT786437:LMT786460</xm:sqref>
        </x14:dataValidation>
        <x14:dataValidation type="list" allowBlank="1" showInputMessage="1" showErrorMessage="1" xr:uid="{00000000-0002-0000-0300-0000E1260000}">
          <x14:formula1>
            <xm:f>項目!A4:$LWG$786434</xm:f>
          </x14:formula1>
          <xm:sqref>LWP786437:LWP786460</xm:sqref>
        </x14:dataValidation>
        <x14:dataValidation type="list" allowBlank="1" showInputMessage="1" showErrorMessage="1" xr:uid="{00000000-0002-0000-0300-0000E2260000}">
          <x14:formula1>
            <xm:f>項目!A4:$MGC$786434</xm:f>
          </x14:formula1>
          <xm:sqref>MGL786437:MGL786460</xm:sqref>
        </x14:dataValidation>
        <x14:dataValidation type="list" allowBlank="1" showInputMessage="1" showErrorMessage="1" xr:uid="{00000000-0002-0000-0300-0000E3260000}">
          <x14:formula1>
            <xm:f>項目!A4:$MPY$786434</xm:f>
          </x14:formula1>
          <xm:sqref>MQH786437:MQH786460</xm:sqref>
        </x14:dataValidation>
        <x14:dataValidation type="list" allowBlank="1" showInputMessage="1" showErrorMessage="1" xr:uid="{00000000-0002-0000-0300-0000E4260000}">
          <x14:formula1>
            <xm:f>項目!A4:$MZU$786434</xm:f>
          </x14:formula1>
          <xm:sqref>NAD786437:NAD786460</xm:sqref>
        </x14:dataValidation>
        <x14:dataValidation type="list" allowBlank="1" showInputMessage="1" showErrorMessage="1" xr:uid="{00000000-0002-0000-0300-0000E5260000}">
          <x14:formula1>
            <xm:f>項目!A4:$NJQ$786434</xm:f>
          </x14:formula1>
          <xm:sqref>NJZ786437:NJZ786460</xm:sqref>
        </x14:dataValidation>
        <x14:dataValidation type="list" allowBlank="1" showInputMessage="1" showErrorMessage="1" xr:uid="{00000000-0002-0000-0300-0000E6260000}">
          <x14:formula1>
            <xm:f>項目!A4:$NTM$786434</xm:f>
          </x14:formula1>
          <xm:sqref>NTV786437:NTV786460</xm:sqref>
        </x14:dataValidation>
        <x14:dataValidation type="list" allowBlank="1" showInputMessage="1" showErrorMessage="1" xr:uid="{00000000-0002-0000-0300-0000E7260000}">
          <x14:formula1>
            <xm:f>項目!A4:$ODI$786434</xm:f>
          </x14:formula1>
          <xm:sqref>ODR786437:ODR786460</xm:sqref>
        </x14:dataValidation>
        <x14:dataValidation type="list" allowBlank="1" showInputMessage="1" showErrorMessage="1" xr:uid="{00000000-0002-0000-0300-0000E8260000}">
          <x14:formula1>
            <xm:f>項目!A4:$ONE$786434</xm:f>
          </x14:formula1>
          <xm:sqref>ONN786437:ONN786460</xm:sqref>
        </x14:dataValidation>
        <x14:dataValidation type="list" allowBlank="1" showInputMessage="1" showErrorMessage="1" xr:uid="{00000000-0002-0000-0300-0000E9260000}">
          <x14:formula1>
            <xm:f>項目!A4:$OXA$786434</xm:f>
          </x14:formula1>
          <xm:sqref>OXJ786437:OXJ786460</xm:sqref>
        </x14:dataValidation>
        <x14:dataValidation type="list" allowBlank="1" showInputMessage="1" showErrorMessage="1" xr:uid="{00000000-0002-0000-0300-0000EA260000}">
          <x14:formula1>
            <xm:f>項目!A4:$PGW$786434</xm:f>
          </x14:formula1>
          <xm:sqref>PHF786437:PHF786460</xm:sqref>
        </x14:dataValidation>
        <x14:dataValidation type="list" allowBlank="1" showInputMessage="1" showErrorMessage="1" xr:uid="{00000000-0002-0000-0300-0000EB260000}">
          <x14:formula1>
            <xm:f>項目!A4:$PQS$786434</xm:f>
          </x14:formula1>
          <xm:sqref>PRB786437:PRB786460</xm:sqref>
        </x14:dataValidation>
        <x14:dataValidation type="list" allowBlank="1" showInputMessage="1" showErrorMessage="1" xr:uid="{00000000-0002-0000-0300-0000EC260000}">
          <x14:formula1>
            <xm:f>項目!A4:$QAO$786434</xm:f>
          </x14:formula1>
          <xm:sqref>QAX786437:QAX786460</xm:sqref>
        </x14:dataValidation>
        <x14:dataValidation type="list" allowBlank="1" showInputMessage="1" showErrorMessage="1" xr:uid="{00000000-0002-0000-0300-0000ED260000}">
          <x14:formula1>
            <xm:f>項目!A4:$QKK$786434</xm:f>
          </x14:formula1>
          <xm:sqref>QKT786437:QKT786460</xm:sqref>
        </x14:dataValidation>
        <x14:dataValidation type="list" allowBlank="1" showInputMessage="1" showErrorMessage="1" xr:uid="{00000000-0002-0000-0300-0000EE260000}">
          <x14:formula1>
            <xm:f>項目!A4:$QUG$786434</xm:f>
          </x14:formula1>
          <xm:sqref>QUP786437:QUP786460</xm:sqref>
        </x14:dataValidation>
        <x14:dataValidation type="list" allowBlank="1" showInputMessage="1" showErrorMessage="1" xr:uid="{00000000-0002-0000-0300-0000EF260000}">
          <x14:formula1>
            <xm:f>項目!A4:$REC$786434</xm:f>
          </x14:formula1>
          <xm:sqref>REL786437:REL786460</xm:sqref>
        </x14:dataValidation>
        <x14:dataValidation type="list" allowBlank="1" showInputMessage="1" showErrorMessage="1" xr:uid="{00000000-0002-0000-0300-0000F0260000}">
          <x14:formula1>
            <xm:f>項目!A4:$RNY$786434</xm:f>
          </x14:formula1>
          <xm:sqref>ROH786437:ROH786460</xm:sqref>
        </x14:dataValidation>
        <x14:dataValidation type="list" allowBlank="1" showInputMessage="1" showErrorMessage="1" xr:uid="{00000000-0002-0000-0300-0000F1260000}">
          <x14:formula1>
            <xm:f>項目!A4:$RXU$786434</xm:f>
          </x14:formula1>
          <xm:sqref>RYD786437:RYD786460</xm:sqref>
        </x14:dataValidation>
        <x14:dataValidation type="list" allowBlank="1" showInputMessage="1" showErrorMessage="1" xr:uid="{00000000-0002-0000-0300-0000F2260000}">
          <x14:formula1>
            <xm:f>項目!A4:$SHQ$786434</xm:f>
          </x14:formula1>
          <xm:sqref>SHZ786437:SHZ786460</xm:sqref>
        </x14:dataValidation>
        <x14:dataValidation type="list" allowBlank="1" showInputMessage="1" showErrorMessage="1" xr:uid="{00000000-0002-0000-0300-0000F3260000}">
          <x14:formula1>
            <xm:f>項目!A4:$SRM$786434</xm:f>
          </x14:formula1>
          <xm:sqref>SRV786437:SRV786460</xm:sqref>
        </x14:dataValidation>
        <x14:dataValidation type="list" allowBlank="1" showInputMessage="1" showErrorMessage="1" xr:uid="{00000000-0002-0000-0300-0000F4260000}">
          <x14:formula1>
            <xm:f>項目!A4:$TBI$786434</xm:f>
          </x14:formula1>
          <xm:sqref>TBR786437:TBR786460</xm:sqref>
        </x14:dataValidation>
        <x14:dataValidation type="list" allowBlank="1" showInputMessage="1" showErrorMessage="1" xr:uid="{00000000-0002-0000-0300-0000F5260000}">
          <x14:formula1>
            <xm:f>項目!A4:$TLE$786434</xm:f>
          </x14:formula1>
          <xm:sqref>TLN786437:TLN786460</xm:sqref>
        </x14:dataValidation>
        <x14:dataValidation type="list" allowBlank="1" showInputMessage="1" showErrorMessage="1" xr:uid="{00000000-0002-0000-0300-0000F6260000}">
          <x14:formula1>
            <xm:f>項目!A4:$TVA$786434</xm:f>
          </x14:formula1>
          <xm:sqref>TVJ786437:TVJ786460</xm:sqref>
        </x14:dataValidation>
        <x14:dataValidation type="list" allowBlank="1" showInputMessage="1" showErrorMessage="1" xr:uid="{00000000-0002-0000-0300-0000F7260000}">
          <x14:formula1>
            <xm:f>項目!A4:$UEW$786434</xm:f>
          </x14:formula1>
          <xm:sqref>UFF786437:UFF786460</xm:sqref>
        </x14:dataValidation>
        <x14:dataValidation type="list" allowBlank="1" showInputMessage="1" showErrorMessage="1" xr:uid="{00000000-0002-0000-0300-0000F8260000}">
          <x14:formula1>
            <xm:f>項目!A4:$UOS$786434</xm:f>
          </x14:formula1>
          <xm:sqref>UPB786437:UPB786460</xm:sqref>
        </x14:dataValidation>
        <x14:dataValidation type="list" allowBlank="1" showInputMessage="1" showErrorMessage="1" xr:uid="{00000000-0002-0000-0300-0000F9260000}">
          <x14:formula1>
            <xm:f>項目!A4:$UYO$786434</xm:f>
          </x14:formula1>
          <xm:sqref>UYX786437:UYX786460</xm:sqref>
        </x14:dataValidation>
        <x14:dataValidation type="list" allowBlank="1" showInputMessage="1" showErrorMessage="1" xr:uid="{00000000-0002-0000-0300-0000FA260000}">
          <x14:formula1>
            <xm:f>項目!A4:$VIK$786434</xm:f>
          </x14:formula1>
          <xm:sqref>VIT786437:VIT786460</xm:sqref>
        </x14:dataValidation>
        <x14:dataValidation type="list" allowBlank="1" showInputMessage="1" showErrorMessage="1" xr:uid="{00000000-0002-0000-0300-0000FB260000}">
          <x14:formula1>
            <xm:f>項目!A4:$VSG$786434</xm:f>
          </x14:formula1>
          <xm:sqref>VSP786437:VSP786460</xm:sqref>
        </x14:dataValidation>
        <x14:dataValidation type="list" allowBlank="1" showInputMessage="1" showErrorMessage="1" xr:uid="{00000000-0002-0000-0300-0000FC260000}">
          <x14:formula1>
            <xm:f>項目!A4:$WCC$786434</xm:f>
          </x14:formula1>
          <xm:sqref>WCL786437:WCL786460</xm:sqref>
        </x14:dataValidation>
        <x14:dataValidation type="list" allowBlank="1" showInputMessage="1" showErrorMessage="1" xr:uid="{00000000-0002-0000-0300-0000FD260000}">
          <x14:formula1>
            <xm:f>項目!A4:$WLY$786434</xm:f>
          </x14:formula1>
          <xm:sqref>WMH786437:WMH786460</xm:sqref>
        </x14:dataValidation>
        <x14:dataValidation type="list" allowBlank="1" showInputMessage="1" showErrorMessage="1" xr:uid="{00000000-0002-0000-0300-0000FE260000}">
          <x14:formula1>
            <xm:f>項目!A4:$WVU$786434</xm:f>
          </x14:formula1>
          <xm:sqref>WWD786437:WWD786460</xm:sqref>
        </x14:dataValidation>
        <x14:dataValidation type="list" allowBlank="1" showInputMessage="1" showErrorMessage="1" xr:uid="{00000000-0002-0000-0300-0000FF260000}">
          <x14:formula1>
            <xm:f>項目!A4:$N$851970</xm:f>
          </x14:formula1>
          <xm:sqref>V851973:V851996</xm:sqref>
        </x14:dataValidation>
        <x14:dataValidation type="list" allowBlank="1" showInputMessage="1" showErrorMessage="1" xr:uid="{00000000-0002-0000-0300-000000270000}">
          <x14:formula1>
            <xm:f>項目!A4:$JI$851970</xm:f>
          </x14:formula1>
          <xm:sqref>JR851973:JR851996</xm:sqref>
        </x14:dataValidation>
        <x14:dataValidation type="list" allowBlank="1" showInputMessage="1" showErrorMessage="1" xr:uid="{00000000-0002-0000-0300-000001270000}">
          <x14:formula1>
            <xm:f>項目!A4:$TE$851970</xm:f>
          </x14:formula1>
          <xm:sqref>TN851973:TN851996</xm:sqref>
        </x14:dataValidation>
        <x14:dataValidation type="list" allowBlank="1" showInputMessage="1" showErrorMessage="1" xr:uid="{00000000-0002-0000-0300-000002270000}">
          <x14:formula1>
            <xm:f>項目!A4:$ADA$851970</xm:f>
          </x14:formula1>
          <xm:sqref>ADJ851973:ADJ851996</xm:sqref>
        </x14:dataValidation>
        <x14:dataValidation type="list" allowBlank="1" showInputMessage="1" showErrorMessage="1" xr:uid="{00000000-0002-0000-0300-000003270000}">
          <x14:formula1>
            <xm:f>項目!A4:$AMW$851970</xm:f>
          </x14:formula1>
          <xm:sqref>ANF851973:ANF851996</xm:sqref>
        </x14:dataValidation>
        <x14:dataValidation type="list" allowBlank="1" showInputMessage="1" showErrorMessage="1" xr:uid="{00000000-0002-0000-0300-000004270000}">
          <x14:formula1>
            <xm:f>項目!A4:$AWS$851970</xm:f>
          </x14:formula1>
          <xm:sqref>AXB851973:AXB851996</xm:sqref>
        </x14:dataValidation>
        <x14:dataValidation type="list" allowBlank="1" showInputMessage="1" showErrorMessage="1" xr:uid="{00000000-0002-0000-0300-000005270000}">
          <x14:formula1>
            <xm:f>項目!A4:$BGO$851970</xm:f>
          </x14:formula1>
          <xm:sqref>BGX851973:BGX851996</xm:sqref>
        </x14:dataValidation>
        <x14:dataValidation type="list" allowBlank="1" showInputMessage="1" showErrorMessage="1" xr:uid="{00000000-0002-0000-0300-000006270000}">
          <x14:formula1>
            <xm:f>項目!A4:$BQK$851970</xm:f>
          </x14:formula1>
          <xm:sqref>BQT851973:BQT851996</xm:sqref>
        </x14:dataValidation>
        <x14:dataValidation type="list" allowBlank="1" showInputMessage="1" showErrorMessage="1" xr:uid="{00000000-0002-0000-0300-000007270000}">
          <x14:formula1>
            <xm:f>項目!A4:$CAG$851970</xm:f>
          </x14:formula1>
          <xm:sqref>CAP851973:CAP851996</xm:sqref>
        </x14:dataValidation>
        <x14:dataValidation type="list" allowBlank="1" showInputMessage="1" showErrorMessage="1" xr:uid="{00000000-0002-0000-0300-000008270000}">
          <x14:formula1>
            <xm:f>項目!A4:$CKC$851970</xm:f>
          </x14:formula1>
          <xm:sqref>CKL851973:CKL851996</xm:sqref>
        </x14:dataValidation>
        <x14:dataValidation type="list" allowBlank="1" showInputMessage="1" showErrorMessage="1" xr:uid="{00000000-0002-0000-0300-000009270000}">
          <x14:formula1>
            <xm:f>項目!A4:$CTY$851970</xm:f>
          </x14:formula1>
          <xm:sqref>CUH851973:CUH851996</xm:sqref>
        </x14:dataValidation>
        <x14:dataValidation type="list" allowBlank="1" showInputMessage="1" showErrorMessage="1" xr:uid="{00000000-0002-0000-0300-00000A270000}">
          <x14:formula1>
            <xm:f>項目!A4:$DDU$851970</xm:f>
          </x14:formula1>
          <xm:sqref>DED851973:DED851996</xm:sqref>
        </x14:dataValidation>
        <x14:dataValidation type="list" allowBlank="1" showInputMessage="1" showErrorMessage="1" xr:uid="{00000000-0002-0000-0300-00000B270000}">
          <x14:formula1>
            <xm:f>項目!A4:$DNQ$851970</xm:f>
          </x14:formula1>
          <xm:sqref>DNZ851973:DNZ851996</xm:sqref>
        </x14:dataValidation>
        <x14:dataValidation type="list" allowBlank="1" showInputMessage="1" showErrorMessage="1" xr:uid="{00000000-0002-0000-0300-00000C270000}">
          <x14:formula1>
            <xm:f>項目!A4:$DXM$851970</xm:f>
          </x14:formula1>
          <xm:sqref>DXV851973:DXV851996</xm:sqref>
        </x14:dataValidation>
        <x14:dataValidation type="list" allowBlank="1" showInputMessage="1" showErrorMessage="1" xr:uid="{00000000-0002-0000-0300-00000D270000}">
          <x14:formula1>
            <xm:f>項目!A4:$EHI$851970</xm:f>
          </x14:formula1>
          <xm:sqref>EHR851973:EHR851996</xm:sqref>
        </x14:dataValidation>
        <x14:dataValidation type="list" allowBlank="1" showInputMessage="1" showErrorMessage="1" xr:uid="{00000000-0002-0000-0300-00000E270000}">
          <x14:formula1>
            <xm:f>項目!A4:$ERE$851970</xm:f>
          </x14:formula1>
          <xm:sqref>ERN851973:ERN851996</xm:sqref>
        </x14:dataValidation>
        <x14:dataValidation type="list" allowBlank="1" showInputMessage="1" showErrorMessage="1" xr:uid="{00000000-0002-0000-0300-00000F270000}">
          <x14:formula1>
            <xm:f>項目!A4:$FBA$851970</xm:f>
          </x14:formula1>
          <xm:sqref>FBJ851973:FBJ851996</xm:sqref>
        </x14:dataValidation>
        <x14:dataValidation type="list" allowBlank="1" showInputMessage="1" showErrorMessage="1" xr:uid="{00000000-0002-0000-0300-000010270000}">
          <x14:formula1>
            <xm:f>項目!A4:$FKW$851970</xm:f>
          </x14:formula1>
          <xm:sqref>FLF851973:FLF851996</xm:sqref>
        </x14:dataValidation>
        <x14:dataValidation type="list" allowBlank="1" showInputMessage="1" showErrorMessage="1" xr:uid="{00000000-0002-0000-0300-000011270000}">
          <x14:formula1>
            <xm:f>項目!A4:$FUS$851970</xm:f>
          </x14:formula1>
          <xm:sqref>FVB851973:FVB851996</xm:sqref>
        </x14:dataValidation>
        <x14:dataValidation type="list" allowBlank="1" showInputMessage="1" showErrorMessage="1" xr:uid="{00000000-0002-0000-0300-000012270000}">
          <x14:formula1>
            <xm:f>項目!A4:$GEO$851970</xm:f>
          </x14:formula1>
          <xm:sqref>GEX851973:GEX851996</xm:sqref>
        </x14:dataValidation>
        <x14:dataValidation type="list" allowBlank="1" showInputMessage="1" showErrorMessage="1" xr:uid="{00000000-0002-0000-0300-000013270000}">
          <x14:formula1>
            <xm:f>項目!A4:$GOK$851970</xm:f>
          </x14:formula1>
          <xm:sqref>GOT851973:GOT851996</xm:sqref>
        </x14:dataValidation>
        <x14:dataValidation type="list" allowBlank="1" showInputMessage="1" showErrorMessage="1" xr:uid="{00000000-0002-0000-0300-000014270000}">
          <x14:formula1>
            <xm:f>項目!A4:$GYG$851970</xm:f>
          </x14:formula1>
          <xm:sqref>GYP851973:GYP851996</xm:sqref>
        </x14:dataValidation>
        <x14:dataValidation type="list" allowBlank="1" showInputMessage="1" showErrorMessage="1" xr:uid="{00000000-0002-0000-0300-000015270000}">
          <x14:formula1>
            <xm:f>項目!A4:$HIC$851970</xm:f>
          </x14:formula1>
          <xm:sqref>HIL851973:HIL851996</xm:sqref>
        </x14:dataValidation>
        <x14:dataValidation type="list" allowBlank="1" showInputMessage="1" showErrorMessage="1" xr:uid="{00000000-0002-0000-0300-000016270000}">
          <x14:formula1>
            <xm:f>項目!A4:$HRY$851970</xm:f>
          </x14:formula1>
          <xm:sqref>HSH851973:HSH851996</xm:sqref>
        </x14:dataValidation>
        <x14:dataValidation type="list" allowBlank="1" showInputMessage="1" showErrorMessage="1" xr:uid="{00000000-0002-0000-0300-000017270000}">
          <x14:formula1>
            <xm:f>項目!A4:$IBU$851970</xm:f>
          </x14:formula1>
          <xm:sqref>ICD851973:ICD851996</xm:sqref>
        </x14:dataValidation>
        <x14:dataValidation type="list" allowBlank="1" showInputMessage="1" showErrorMessage="1" xr:uid="{00000000-0002-0000-0300-000018270000}">
          <x14:formula1>
            <xm:f>項目!A4:$ILQ$851970</xm:f>
          </x14:formula1>
          <xm:sqref>ILZ851973:ILZ851996</xm:sqref>
        </x14:dataValidation>
        <x14:dataValidation type="list" allowBlank="1" showInputMessage="1" showErrorMessage="1" xr:uid="{00000000-0002-0000-0300-000019270000}">
          <x14:formula1>
            <xm:f>項目!A4:$IVM$851970</xm:f>
          </x14:formula1>
          <xm:sqref>IVV851973:IVV851996</xm:sqref>
        </x14:dataValidation>
        <x14:dataValidation type="list" allowBlank="1" showInputMessage="1" showErrorMessage="1" xr:uid="{00000000-0002-0000-0300-00001A270000}">
          <x14:formula1>
            <xm:f>項目!A4:$JFI$851970</xm:f>
          </x14:formula1>
          <xm:sqref>JFR851973:JFR851996</xm:sqref>
        </x14:dataValidation>
        <x14:dataValidation type="list" allowBlank="1" showInputMessage="1" showErrorMessage="1" xr:uid="{00000000-0002-0000-0300-00001B270000}">
          <x14:formula1>
            <xm:f>項目!A4:$JPE$851970</xm:f>
          </x14:formula1>
          <xm:sqref>JPN851973:JPN851996</xm:sqref>
        </x14:dataValidation>
        <x14:dataValidation type="list" allowBlank="1" showInputMessage="1" showErrorMessage="1" xr:uid="{00000000-0002-0000-0300-00001C270000}">
          <x14:formula1>
            <xm:f>項目!A4:$JZA$851970</xm:f>
          </x14:formula1>
          <xm:sqref>JZJ851973:JZJ851996</xm:sqref>
        </x14:dataValidation>
        <x14:dataValidation type="list" allowBlank="1" showInputMessage="1" showErrorMessage="1" xr:uid="{00000000-0002-0000-0300-00001D270000}">
          <x14:formula1>
            <xm:f>項目!A4:$KIW$851970</xm:f>
          </x14:formula1>
          <xm:sqref>KJF851973:KJF851996</xm:sqref>
        </x14:dataValidation>
        <x14:dataValidation type="list" allowBlank="1" showInputMessage="1" showErrorMessage="1" xr:uid="{00000000-0002-0000-0300-00001E270000}">
          <x14:formula1>
            <xm:f>項目!A4:$KSS$851970</xm:f>
          </x14:formula1>
          <xm:sqref>KTB851973:KTB851996</xm:sqref>
        </x14:dataValidation>
        <x14:dataValidation type="list" allowBlank="1" showInputMessage="1" showErrorMessage="1" xr:uid="{00000000-0002-0000-0300-00001F270000}">
          <x14:formula1>
            <xm:f>項目!A4:$LCO$851970</xm:f>
          </x14:formula1>
          <xm:sqref>LCX851973:LCX851996</xm:sqref>
        </x14:dataValidation>
        <x14:dataValidation type="list" allowBlank="1" showInputMessage="1" showErrorMessage="1" xr:uid="{00000000-0002-0000-0300-000020270000}">
          <x14:formula1>
            <xm:f>項目!A4:$LMK$851970</xm:f>
          </x14:formula1>
          <xm:sqref>LMT851973:LMT851996</xm:sqref>
        </x14:dataValidation>
        <x14:dataValidation type="list" allowBlank="1" showInputMessage="1" showErrorMessage="1" xr:uid="{00000000-0002-0000-0300-000021270000}">
          <x14:formula1>
            <xm:f>項目!A4:$LWG$851970</xm:f>
          </x14:formula1>
          <xm:sqref>LWP851973:LWP851996</xm:sqref>
        </x14:dataValidation>
        <x14:dataValidation type="list" allowBlank="1" showInputMessage="1" showErrorMessage="1" xr:uid="{00000000-0002-0000-0300-000022270000}">
          <x14:formula1>
            <xm:f>項目!A4:$MGC$851970</xm:f>
          </x14:formula1>
          <xm:sqref>MGL851973:MGL851996</xm:sqref>
        </x14:dataValidation>
        <x14:dataValidation type="list" allowBlank="1" showInputMessage="1" showErrorMessage="1" xr:uid="{00000000-0002-0000-0300-000023270000}">
          <x14:formula1>
            <xm:f>項目!A4:$MPY$851970</xm:f>
          </x14:formula1>
          <xm:sqref>MQH851973:MQH851996</xm:sqref>
        </x14:dataValidation>
        <x14:dataValidation type="list" allowBlank="1" showInputMessage="1" showErrorMessage="1" xr:uid="{00000000-0002-0000-0300-000024270000}">
          <x14:formula1>
            <xm:f>項目!A4:$MZU$851970</xm:f>
          </x14:formula1>
          <xm:sqref>NAD851973:NAD851996</xm:sqref>
        </x14:dataValidation>
        <x14:dataValidation type="list" allowBlank="1" showInputMessage="1" showErrorMessage="1" xr:uid="{00000000-0002-0000-0300-000025270000}">
          <x14:formula1>
            <xm:f>項目!A4:$NJQ$851970</xm:f>
          </x14:formula1>
          <xm:sqref>NJZ851973:NJZ851996</xm:sqref>
        </x14:dataValidation>
        <x14:dataValidation type="list" allowBlank="1" showInputMessage="1" showErrorMessage="1" xr:uid="{00000000-0002-0000-0300-000026270000}">
          <x14:formula1>
            <xm:f>項目!A4:$NTM$851970</xm:f>
          </x14:formula1>
          <xm:sqref>NTV851973:NTV851996</xm:sqref>
        </x14:dataValidation>
        <x14:dataValidation type="list" allowBlank="1" showInputMessage="1" showErrorMessage="1" xr:uid="{00000000-0002-0000-0300-000027270000}">
          <x14:formula1>
            <xm:f>項目!A4:$ODI$851970</xm:f>
          </x14:formula1>
          <xm:sqref>ODR851973:ODR851996</xm:sqref>
        </x14:dataValidation>
        <x14:dataValidation type="list" allowBlank="1" showInputMessage="1" showErrorMessage="1" xr:uid="{00000000-0002-0000-0300-000028270000}">
          <x14:formula1>
            <xm:f>項目!A4:$ONE$851970</xm:f>
          </x14:formula1>
          <xm:sqref>ONN851973:ONN851996</xm:sqref>
        </x14:dataValidation>
        <x14:dataValidation type="list" allowBlank="1" showInputMessage="1" showErrorMessage="1" xr:uid="{00000000-0002-0000-0300-000029270000}">
          <x14:formula1>
            <xm:f>項目!A4:$OXA$851970</xm:f>
          </x14:formula1>
          <xm:sqref>OXJ851973:OXJ851996</xm:sqref>
        </x14:dataValidation>
        <x14:dataValidation type="list" allowBlank="1" showInputMessage="1" showErrorMessage="1" xr:uid="{00000000-0002-0000-0300-00002A270000}">
          <x14:formula1>
            <xm:f>項目!A4:$PGW$851970</xm:f>
          </x14:formula1>
          <xm:sqref>PHF851973:PHF851996</xm:sqref>
        </x14:dataValidation>
        <x14:dataValidation type="list" allowBlank="1" showInputMessage="1" showErrorMessage="1" xr:uid="{00000000-0002-0000-0300-00002B270000}">
          <x14:formula1>
            <xm:f>項目!A4:$PQS$851970</xm:f>
          </x14:formula1>
          <xm:sqref>PRB851973:PRB851996</xm:sqref>
        </x14:dataValidation>
        <x14:dataValidation type="list" allowBlank="1" showInputMessage="1" showErrorMessage="1" xr:uid="{00000000-0002-0000-0300-00002C270000}">
          <x14:formula1>
            <xm:f>項目!A4:$QAO$851970</xm:f>
          </x14:formula1>
          <xm:sqref>QAX851973:QAX851996</xm:sqref>
        </x14:dataValidation>
        <x14:dataValidation type="list" allowBlank="1" showInputMessage="1" showErrorMessage="1" xr:uid="{00000000-0002-0000-0300-00002D270000}">
          <x14:formula1>
            <xm:f>項目!A4:$QKK$851970</xm:f>
          </x14:formula1>
          <xm:sqref>QKT851973:QKT851996</xm:sqref>
        </x14:dataValidation>
        <x14:dataValidation type="list" allowBlank="1" showInputMessage="1" showErrorMessage="1" xr:uid="{00000000-0002-0000-0300-00002E270000}">
          <x14:formula1>
            <xm:f>項目!A4:$QUG$851970</xm:f>
          </x14:formula1>
          <xm:sqref>QUP851973:QUP851996</xm:sqref>
        </x14:dataValidation>
        <x14:dataValidation type="list" allowBlank="1" showInputMessage="1" showErrorMessage="1" xr:uid="{00000000-0002-0000-0300-00002F270000}">
          <x14:formula1>
            <xm:f>項目!A4:$REC$851970</xm:f>
          </x14:formula1>
          <xm:sqref>REL851973:REL851996</xm:sqref>
        </x14:dataValidation>
        <x14:dataValidation type="list" allowBlank="1" showInputMessage="1" showErrorMessage="1" xr:uid="{00000000-0002-0000-0300-000030270000}">
          <x14:formula1>
            <xm:f>項目!A4:$RNY$851970</xm:f>
          </x14:formula1>
          <xm:sqref>ROH851973:ROH851996</xm:sqref>
        </x14:dataValidation>
        <x14:dataValidation type="list" allowBlank="1" showInputMessage="1" showErrorMessage="1" xr:uid="{00000000-0002-0000-0300-000031270000}">
          <x14:formula1>
            <xm:f>項目!A4:$RXU$851970</xm:f>
          </x14:formula1>
          <xm:sqref>RYD851973:RYD851996</xm:sqref>
        </x14:dataValidation>
        <x14:dataValidation type="list" allowBlank="1" showInputMessage="1" showErrorMessage="1" xr:uid="{00000000-0002-0000-0300-000032270000}">
          <x14:formula1>
            <xm:f>項目!A4:$SHQ$851970</xm:f>
          </x14:formula1>
          <xm:sqref>SHZ851973:SHZ851996</xm:sqref>
        </x14:dataValidation>
        <x14:dataValidation type="list" allowBlank="1" showInputMessage="1" showErrorMessage="1" xr:uid="{00000000-0002-0000-0300-000033270000}">
          <x14:formula1>
            <xm:f>項目!A4:$SRM$851970</xm:f>
          </x14:formula1>
          <xm:sqref>SRV851973:SRV851996</xm:sqref>
        </x14:dataValidation>
        <x14:dataValidation type="list" allowBlank="1" showInputMessage="1" showErrorMessage="1" xr:uid="{00000000-0002-0000-0300-000034270000}">
          <x14:formula1>
            <xm:f>項目!A4:$TBI$851970</xm:f>
          </x14:formula1>
          <xm:sqref>TBR851973:TBR851996</xm:sqref>
        </x14:dataValidation>
        <x14:dataValidation type="list" allowBlank="1" showInputMessage="1" showErrorMessage="1" xr:uid="{00000000-0002-0000-0300-000035270000}">
          <x14:formula1>
            <xm:f>項目!A4:$TLE$851970</xm:f>
          </x14:formula1>
          <xm:sqref>TLN851973:TLN851996</xm:sqref>
        </x14:dataValidation>
        <x14:dataValidation type="list" allowBlank="1" showInputMessage="1" showErrorMessage="1" xr:uid="{00000000-0002-0000-0300-000036270000}">
          <x14:formula1>
            <xm:f>項目!A4:$TVA$851970</xm:f>
          </x14:formula1>
          <xm:sqref>TVJ851973:TVJ851996</xm:sqref>
        </x14:dataValidation>
        <x14:dataValidation type="list" allowBlank="1" showInputMessage="1" showErrorMessage="1" xr:uid="{00000000-0002-0000-0300-000037270000}">
          <x14:formula1>
            <xm:f>項目!A4:$UEW$851970</xm:f>
          </x14:formula1>
          <xm:sqref>UFF851973:UFF851996</xm:sqref>
        </x14:dataValidation>
        <x14:dataValidation type="list" allowBlank="1" showInputMessage="1" showErrorMessage="1" xr:uid="{00000000-0002-0000-0300-000038270000}">
          <x14:formula1>
            <xm:f>項目!A4:$UOS$851970</xm:f>
          </x14:formula1>
          <xm:sqref>UPB851973:UPB851996</xm:sqref>
        </x14:dataValidation>
        <x14:dataValidation type="list" allowBlank="1" showInputMessage="1" showErrorMessage="1" xr:uid="{00000000-0002-0000-0300-000039270000}">
          <x14:formula1>
            <xm:f>項目!A4:$UYO$851970</xm:f>
          </x14:formula1>
          <xm:sqref>UYX851973:UYX851996</xm:sqref>
        </x14:dataValidation>
        <x14:dataValidation type="list" allowBlank="1" showInputMessage="1" showErrorMessage="1" xr:uid="{00000000-0002-0000-0300-00003A270000}">
          <x14:formula1>
            <xm:f>項目!A4:$VIK$851970</xm:f>
          </x14:formula1>
          <xm:sqref>VIT851973:VIT851996</xm:sqref>
        </x14:dataValidation>
        <x14:dataValidation type="list" allowBlank="1" showInputMessage="1" showErrorMessage="1" xr:uid="{00000000-0002-0000-0300-00003B270000}">
          <x14:formula1>
            <xm:f>項目!A4:$VSG$851970</xm:f>
          </x14:formula1>
          <xm:sqref>VSP851973:VSP851996</xm:sqref>
        </x14:dataValidation>
        <x14:dataValidation type="list" allowBlank="1" showInputMessage="1" showErrorMessage="1" xr:uid="{00000000-0002-0000-0300-00003C270000}">
          <x14:formula1>
            <xm:f>項目!A4:$WCC$851970</xm:f>
          </x14:formula1>
          <xm:sqref>WCL851973:WCL851996</xm:sqref>
        </x14:dataValidation>
        <x14:dataValidation type="list" allowBlank="1" showInputMessage="1" showErrorMessage="1" xr:uid="{00000000-0002-0000-0300-00003D270000}">
          <x14:formula1>
            <xm:f>項目!A4:$WLY$851970</xm:f>
          </x14:formula1>
          <xm:sqref>WMH851973:WMH851996</xm:sqref>
        </x14:dataValidation>
        <x14:dataValidation type="list" allowBlank="1" showInputMessage="1" showErrorMessage="1" xr:uid="{00000000-0002-0000-0300-00003E270000}">
          <x14:formula1>
            <xm:f>項目!A4:$WVU$851970</xm:f>
          </x14:formula1>
          <xm:sqref>WWD851973:WWD851996</xm:sqref>
        </x14:dataValidation>
        <x14:dataValidation type="list" allowBlank="1" showInputMessage="1" showErrorMessage="1" xr:uid="{00000000-0002-0000-0300-00003F270000}">
          <x14:formula1>
            <xm:f>項目!A4:$N$917506</xm:f>
          </x14:formula1>
          <xm:sqref>V917509:V917532</xm:sqref>
        </x14:dataValidation>
        <x14:dataValidation type="list" allowBlank="1" showInputMessage="1" showErrorMessage="1" xr:uid="{00000000-0002-0000-0300-000040270000}">
          <x14:formula1>
            <xm:f>項目!A4:$JI$917506</xm:f>
          </x14:formula1>
          <xm:sqref>JR917509:JR917532</xm:sqref>
        </x14:dataValidation>
        <x14:dataValidation type="list" allowBlank="1" showInputMessage="1" showErrorMessage="1" xr:uid="{00000000-0002-0000-0300-000041270000}">
          <x14:formula1>
            <xm:f>項目!A4:$TE$917506</xm:f>
          </x14:formula1>
          <xm:sqref>TN917509:TN917532</xm:sqref>
        </x14:dataValidation>
        <x14:dataValidation type="list" allowBlank="1" showInputMessage="1" showErrorMessage="1" xr:uid="{00000000-0002-0000-0300-000042270000}">
          <x14:formula1>
            <xm:f>項目!A4:$ADA$917506</xm:f>
          </x14:formula1>
          <xm:sqref>ADJ917509:ADJ917532</xm:sqref>
        </x14:dataValidation>
        <x14:dataValidation type="list" allowBlank="1" showInputMessage="1" showErrorMessage="1" xr:uid="{00000000-0002-0000-0300-000043270000}">
          <x14:formula1>
            <xm:f>項目!A4:$AMW$917506</xm:f>
          </x14:formula1>
          <xm:sqref>ANF917509:ANF917532</xm:sqref>
        </x14:dataValidation>
        <x14:dataValidation type="list" allowBlank="1" showInputMessage="1" showErrorMessage="1" xr:uid="{00000000-0002-0000-0300-000044270000}">
          <x14:formula1>
            <xm:f>項目!A4:$AWS$917506</xm:f>
          </x14:formula1>
          <xm:sqref>AXB917509:AXB917532</xm:sqref>
        </x14:dataValidation>
        <x14:dataValidation type="list" allowBlank="1" showInputMessage="1" showErrorMessage="1" xr:uid="{00000000-0002-0000-0300-000045270000}">
          <x14:formula1>
            <xm:f>項目!A4:$BGO$917506</xm:f>
          </x14:formula1>
          <xm:sqref>BGX917509:BGX917532</xm:sqref>
        </x14:dataValidation>
        <x14:dataValidation type="list" allowBlank="1" showInputMessage="1" showErrorMessage="1" xr:uid="{00000000-0002-0000-0300-000046270000}">
          <x14:formula1>
            <xm:f>項目!A4:$BQK$917506</xm:f>
          </x14:formula1>
          <xm:sqref>BQT917509:BQT917532</xm:sqref>
        </x14:dataValidation>
        <x14:dataValidation type="list" allowBlank="1" showInputMessage="1" showErrorMessage="1" xr:uid="{00000000-0002-0000-0300-000047270000}">
          <x14:formula1>
            <xm:f>項目!A4:$CAG$917506</xm:f>
          </x14:formula1>
          <xm:sqref>CAP917509:CAP917532</xm:sqref>
        </x14:dataValidation>
        <x14:dataValidation type="list" allowBlank="1" showInputMessage="1" showErrorMessage="1" xr:uid="{00000000-0002-0000-0300-000048270000}">
          <x14:formula1>
            <xm:f>項目!A4:$CKC$917506</xm:f>
          </x14:formula1>
          <xm:sqref>CKL917509:CKL917532</xm:sqref>
        </x14:dataValidation>
        <x14:dataValidation type="list" allowBlank="1" showInputMessage="1" showErrorMessage="1" xr:uid="{00000000-0002-0000-0300-000049270000}">
          <x14:formula1>
            <xm:f>項目!A4:$CTY$917506</xm:f>
          </x14:formula1>
          <xm:sqref>CUH917509:CUH917532</xm:sqref>
        </x14:dataValidation>
        <x14:dataValidation type="list" allowBlank="1" showInputMessage="1" showErrorMessage="1" xr:uid="{00000000-0002-0000-0300-00004A270000}">
          <x14:formula1>
            <xm:f>項目!A4:$DDU$917506</xm:f>
          </x14:formula1>
          <xm:sqref>DED917509:DED917532</xm:sqref>
        </x14:dataValidation>
        <x14:dataValidation type="list" allowBlank="1" showInputMessage="1" showErrorMessage="1" xr:uid="{00000000-0002-0000-0300-00004B270000}">
          <x14:formula1>
            <xm:f>項目!A4:$DNQ$917506</xm:f>
          </x14:formula1>
          <xm:sqref>DNZ917509:DNZ917532</xm:sqref>
        </x14:dataValidation>
        <x14:dataValidation type="list" allowBlank="1" showInputMessage="1" showErrorMessage="1" xr:uid="{00000000-0002-0000-0300-00004C270000}">
          <x14:formula1>
            <xm:f>項目!A4:$DXM$917506</xm:f>
          </x14:formula1>
          <xm:sqref>DXV917509:DXV917532</xm:sqref>
        </x14:dataValidation>
        <x14:dataValidation type="list" allowBlank="1" showInputMessage="1" showErrorMessage="1" xr:uid="{00000000-0002-0000-0300-00004D270000}">
          <x14:formula1>
            <xm:f>項目!A4:$EHI$917506</xm:f>
          </x14:formula1>
          <xm:sqref>EHR917509:EHR917532</xm:sqref>
        </x14:dataValidation>
        <x14:dataValidation type="list" allowBlank="1" showInputMessage="1" showErrorMessage="1" xr:uid="{00000000-0002-0000-0300-00004E270000}">
          <x14:formula1>
            <xm:f>項目!A4:$ERE$917506</xm:f>
          </x14:formula1>
          <xm:sqref>ERN917509:ERN917532</xm:sqref>
        </x14:dataValidation>
        <x14:dataValidation type="list" allowBlank="1" showInputMessage="1" showErrorMessage="1" xr:uid="{00000000-0002-0000-0300-00004F270000}">
          <x14:formula1>
            <xm:f>項目!A4:$FBA$917506</xm:f>
          </x14:formula1>
          <xm:sqref>FBJ917509:FBJ917532</xm:sqref>
        </x14:dataValidation>
        <x14:dataValidation type="list" allowBlank="1" showInputMessage="1" showErrorMessage="1" xr:uid="{00000000-0002-0000-0300-000050270000}">
          <x14:formula1>
            <xm:f>項目!A4:$FKW$917506</xm:f>
          </x14:formula1>
          <xm:sqref>FLF917509:FLF917532</xm:sqref>
        </x14:dataValidation>
        <x14:dataValidation type="list" allowBlank="1" showInputMessage="1" showErrorMessage="1" xr:uid="{00000000-0002-0000-0300-000051270000}">
          <x14:formula1>
            <xm:f>項目!A4:$FUS$917506</xm:f>
          </x14:formula1>
          <xm:sqref>FVB917509:FVB917532</xm:sqref>
        </x14:dataValidation>
        <x14:dataValidation type="list" allowBlank="1" showInputMessage="1" showErrorMessage="1" xr:uid="{00000000-0002-0000-0300-000052270000}">
          <x14:formula1>
            <xm:f>項目!A4:$GEO$917506</xm:f>
          </x14:formula1>
          <xm:sqref>GEX917509:GEX917532</xm:sqref>
        </x14:dataValidation>
        <x14:dataValidation type="list" allowBlank="1" showInputMessage="1" showErrorMessage="1" xr:uid="{00000000-0002-0000-0300-000053270000}">
          <x14:formula1>
            <xm:f>項目!A4:$GOK$917506</xm:f>
          </x14:formula1>
          <xm:sqref>GOT917509:GOT917532</xm:sqref>
        </x14:dataValidation>
        <x14:dataValidation type="list" allowBlank="1" showInputMessage="1" showErrorMessage="1" xr:uid="{00000000-0002-0000-0300-000054270000}">
          <x14:formula1>
            <xm:f>項目!A4:$GYG$917506</xm:f>
          </x14:formula1>
          <xm:sqref>GYP917509:GYP917532</xm:sqref>
        </x14:dataValidation>
        <x14:dataValidation type="list" allowBlank="1" showInputMessage="1" showErrorMessage="1" xr:uid="{00000000-0002-0000-0300-000055270000}">
          <x14:formula1>
            <xm:f>項目!A4:$HIC$917506</xm:f>
          </x14:formula1>
          <xm:sqref>HIL917509:HIL917532</xm:sqref>
        </x14:dataValidation>
        <x14:dataValidation type="list" allowBlank="1" showInputMessage="1" showErrorMessage="1" xr:uid="{00000000-0002-0000-0300-000056270000}">
          <x14:formula1>
            <xm:f>項目!A4:$HRY$917506</xm:f>
          </x14:formula1>
          <xm:sqref>HSH917509:HSH917532</xm:sqref>
        </x14:dataValidation>
        <x14:dataValidation type="list" allowBlank="1" showInputMessage="1" showErrorMessage="1" xr:uid="{00000000-0002-0000-0300-000057270000}">
          <x14:formula1>
            <xm:f>項目!A4:$IBU$917506</xm:f>
          </x14:formula1>
          <xm:sqref>ICD917509:ICD917532</xm:sqref>
        </x14:dataValidation>
        <x14:dataValidation type="list" allowBlank="1" showInputMessage="1" showErrorMessage="1" xr:uid="{00000000-0002-0000-0300-000058270000}">
          <x14:formula1>
            <xm:f>項目!A4:$ILQ$917506</xm:f>
          </x14:formula1>
          <xm:sqref>ILZ917509:ILZ917532</xm:sqref>
        </x14:dataValidation>
        <x14:dataValidation type="list" allowBlank="1" showInputMessage="1" showErrorMessage="1" xr:uid="{00000000-0002-0000-0300-000059270000}">
          <x14:formula1>
            <xm:f>項目!A4:$IVM$917506</xm:f>
          </x14:formula1>
          <xm:sqref>IVV917509:IVV917532</xm:sqref>
        </x14:dataValidation>
        <x14:dataValidation type="list" allowBlank="1" showInputMessage="1" showErrorMessage="1" xr:uid="{00000000-0002-0000-0300-00005A270000}">
          <x14:formula1>
            <xm:f>項目!A4:$JFI$917506</xm:f>
          </x14:formula1>
          <xm:sqref>JFR917509:JFR917532</xm:sqref>
        </x14:dataValidation>
        <x14:dataValidation type="list" allowBlank="1" showInputMessage="1" showErrorMessage="1" xr:uid="{00000000-0002-0000-0300-00005B270000}">
          <x14:formula1>
            <xm:f>項目!A4:$JPE$917506</xm:f>
          </x14:formula1>
          <xm:sqref>JPN917509:JPN917532</xm:sqref>
        </x14:dataValidation>
        <x14:dataValidation type="list" allowBlank="1" showInputMessage="1" showErrorMessage="1" xr:uid="{00000000-0002-0000-0300-00005C270000}">
          <x14:formula1>
            <xm:f>項目!A4:$JZA$917506</xm:f>
          </x14:formula1>
          <xm:sqref>JZJ917509:JZJ917532</xm:sqref>
        </x14:dataValidation>
        <x14:dataValidation type="list" allowBlank="1" showInputMessage="1" showErrorMessage="1" xr:uid="{00000000-0002-0000-0300-00005D270000}">
          <x14:formula1>
            <xm:f>項目!A4:$KIW$917506</xm:f>
          </x14:formula1>
          <xm:sqref>KJF917509:KJF917532</xm:sqref>
        </x14:dataValidation>
        <x14:dataValidation type="list" allowBlank="1" showInputMessage="1" showErrorMessage="1" xr:uid="{00000000-0002-0000-0300-00005E270000}">
          <x14:formula1>
            <xm:f>項目!A4:$KSS$917506</xm:f>
          </x14:formula1>
          <xm:sqref>KTB917509:KTB917532</xm:sqref>
        </x14:dataValidation>
        <x14:dataValidation type="list" allowBlank="1" showInputMessage="1" showErrorMessage="1" xr:uid="{00000000-0002-0000-0300-00005F270000}">
          <x14:formula1>
            <xm:f>項目!A4:$LCO$917506</xm:f>
          </x14:formula1>
          <xm:sqref>LCX917509:LCX917532</xm:sqref>
        </x14:dataValidation>
        <x14:dataValidation type="list" allowBlank="1" showInputMessage="1" showErrorMessage="1" xr:uid="{00000000-0002-0000-0300-000060270000}">
          <x14:formula1>
            <xm:f>項目!A4:$LMK$917506</xm:f>
          </x14:formula1>
          <xm:sqref>LMT917509:LMT917532</xm:sqref>
        </x14:dataValidation>
        <x14:dataValidation type="list" allowBlank="1" showInputMessage="1" showErrorMessage="1" xr:uid="{00000000-0002-0000-0300-000061270000}">
          <x14:formula1>
            <xm:f>項目!A4:$LWG$917506</xm:f>
          </x14:formula1>
          <xm:sqref>LWP917509:LWP917532</xm:sqref>
        </x14:dataValidation>
        <x14:dataValidation type="list" allowBlank="1" showInputMessage="1" showErrorMessage="1" xr:uid="{00000000-0002-0000-0300-000062270000}">
          <x14:formula1>
            <xm:f>項目!A4:$MGC$917506</xm:f>
          </x14:formula1>
          <xm:sqref>MGL917509:MGL917532</xm:sqref>
        </x14:dataValidation>
        <x14:dataValidation type="list" allowBlank="1" showInputMessage="1" showErrorMessage="1" xr:uid="{00000000-0002-0000-0300-000063270000}">
          <x14:formula1>
            <xm:f>項目!A4:$MPY$917506</xm:f>
          </x14:formula1>
          <xm:sqref>MQH917509:MQH917532</xm:sqref>
        </x14:dataValidation>
        <x14:dataValidation type="list" allowBlank="1" showInputMessage="1" showErrorMessage="1" xr:uid="{00000000-0002-0000-0300-000064270000}">
          <x14:formula1>
            <xm:f>項目!A4:$MZU$917506</xm:f>
          </x14:formula1>
          <xm:sqref>NAD917509:NAD917532</xm:sqref>
        </x14:dataValidation>
        <x14:dataValidation type="list" allowBlank="1" showInputMessage="1" showErrorMessage="1" xr:uid="{00000000-0002-0000-0300-000065270000}">
          <x14:formula1>
            <xm:f>項目!A4:$NJQ$917506</xm:f>
          </x14:formula1>
          <xm:sqref>NJZ917509:NJZ917532</xm:sqref>
        </x14:dataValidation>
        <x14:dataValidation type="list" allowBlank="1" showInputMessage="1" showErrorMessage="1" xr:uid="{00000000-0002-0000-0300-000066270000}">
          <x14:formula1>
            <xm:f>項目!A4:$NTM$917506</xm:f>
          </x14:formula1>
          <xm:sqref>NTV917509:NTV917532</xm:sqref>
        </x14:dataValidation>
        <x14:dataValidation type="list" allowBlank="1" showInputMessage="1" showErrorMessage="1" xr:uid="{00000000-0002-0000-0300-000067270000}">
          <x14:formula1>
            <xm:f>項目!A4:$ODI$917506</xm:f>
          </x14:formula1>
          <xm:sqref>ODR917509:ODR917532</xm:sqref>
        </x14:dataValidation>
        <x14:dataValidation type="list" allowBlank="1" showInputMessage="1" showErrorMessage="1" xr:uid="{00000000-0002-0000-0300-000068270000}">
          <x14:formula1>
            <xm:f>項目!A4:$ONE$917506</xm:f>
          </x14:formula1>
          <xm:sqref>ONN917509:ONN917532</xm:sqref>
        </x14:dataValidation>
        <x14:dataValidation type="list" allowBlank="1" showInputMessage="1" showErrorMessage="1" xr:uid="{00000000-0002-0000-0300-000069270000}">
          <x14:formula1>
            <xm:f>項目!A4:$OXA$917506</xm:f>
          </x14:formula1>
          <xm:sqref>OXJ917509:OXJ917532</xm:sqref>
        </x14:dataValidation>
        <x14:dataValidation type="list" allowBlank="1" showInputMessage="1" showErrorMessage="1" xr:uid="{00000000-0002-0000-0300-00006A270000}">
          <x14:formula1>
            <xm:f>項目!A4:$PGW$917506</xm:f>
          </x14:formula1>
          <xm:sqref>PHF917509:PHF917532</xm:sqref>
        </x14:dataValidation>
        <x14:dataValidation type="list" allowBlank="1" showInputMessage="1" showErrorMessage="1" xr:uid="{00000000-0002-0000-0300-00006B270000}">
          <x14:formula1>
            <xm:f>項目!A4:$PQS$917506</xm:f>
          </x14:formula1>
          <xm:sqref>PRB917509:PRB917532</xm:sqref>
        </x14:dataValidation>
        <x14:dataValidation type="list" allowBlank="1" showInputMessage="1" showErrorMessage="1" xr:uid="{00000000-0002-0000-0300-00006C270000}">
          <x14:formula1>
            <xm:f>項目!A4:$QAO$917506</xm:f>
          </x14:formula1>
          <xm:sqref>QAX917509:QAX917532</xm:sqref>
        </x14:dataValidation>
        <x14:dataValidation type="list" allowBlank="1" showInputMessage="1" showErrorMessage="1" xr:uid="{00000000-0002-0000-0300-00006D270000}">
          <x14:formula1>
            <xm:f>項目!A4:$QKK$917506</xm:f>
          </x14:formula1>
          <xm:sqref>QKT917509:QKT917532</xm:sqref>
        </x14:dataValidation>
        <x14:dataValidation type="list" allowBlank="1" showInputMessage="1" showErrorMessage="1" xr:uid="{00000000-0002-0000-0300-00006E270000}">
          <x14:formula1>
            <xm:f>項目!A4:$QUG$917506</xm:f>
          </x14:formula1>
          <xm:sqref>QUP917509:QUP917532</xm:sqref>
        </x14:dataValidation>
        <x14:dataValidation type="list" allowBlank="1" showInputMessage="1" showErrorMessage="1" xr:uid="{00000000-0002-0000-0300-00006F270000}">
          <x14:formula1>
            <xm:f>項目!A4:$REC$917506</xm:f>
          </x14:formula1>
          <xm:sqref>REL917509:REL917532</xm:sqref>
        </x14:dataValidation>
        <x14:dataValidation type="list" allowBlank="1" showInputMessage="1" showErrorMessage="1" xr:uid="{00000000-0002-0000-0300-000070270000}">
          <x14:formula1>
            <xm:f>項目!A4:$RNY$917506</xm:f>
          </x14:formula1>
          <xm:sqref>ROH917509:ROH917532</xm:sqref>
        </x14:dataValidation>
        <x14:dataValidation type="list" allowBlank="1" showInputMessage="1" showErrorMessage="1" xr:uid="{00000000-0002-0000-0300-000071270000}">
          <x14:formula1>
            <xm:f>項目!A4:$RXU$917506</xm:f>
          </x14:formula1>
          <xm:sqref>RYD917509:RYD917532</xm:sqref>
        </x14:dataValidation>
        <x14:dataValidation type="list" allowBlank="1" showInputMessage="1" showErrorMessage="1" xr:uid="{00000000-0002-0000-0300-000072270000}">
          <x14:formula1>
            <xm:f>項目!A4:$SHQ$917506</xm:f>
          </x14:formula1>
          <xm:sqref>SHZ917509:SHZ917532</xm:sqref>
        </x14:dataValidation>
        <x14:dataValidation type="list" allowBlank="1" showInputMessage="1" showErrorMessage="1" xr:uid="{00000000-0002-0000-0300-000073270000}">
          <x14:formula1>
            <xm:f>項目!A4:$SRM$917506</xm:f>
          </x14:formula1>
          <xm:sqref>SRV917509:SRV917532</xm:sqref>
        </x14:dataValidation>
        <x14:dataValidation type="list" allowBlank="1" showInputMessage="1" showErrorMessage="1" xr:uid="{00000000-0002-0000-0300-000074270000}">
          <x14:formula1>
            <xm:f>項目!A4:$TBI$917506</xm:f>
          </x14:formula1>
          <xm:sqref>TBR917509:TBR917532</xm:sqref>
        </x14:dataValidation>
        <x14:dataValidation type="list" allowBlank="1" showInputMessage="1" showErrorMessage="1" xr:uid="{00000000-0002-0000-0300-000075270000}">
          <x14:formula1>
            <xm:f>項目!A4:$TLE$917506</xm:f>
          </x14:formula1>
          <xm:sqref>TLN917509:TLN917532</xm:sqref>
        </x14:dataValidation>
        <x14:dataValidation type="list" allowBlank="1" showInputMessage="1" showErrorMessage="1" xr:uid="{00000000-0002-0000-0300-000076270000}">
          <x14:formula1>
            <xm:f>項目!A4:$TVA$917506</xm:f>
          </x14:formula1>
          <xm:sqref>TVJ917509:TVJ917532</xm:sqref>
        </x14:dataValidation>
        <x14:dataValidation type="list" allowBlank="1" showInputMessage="1" showErrorMessage="1" xr:uid="{00000000-0002-0000-0300-000077270000}">
          <x14:formula1>
            <xm:f>項目!A4:$UEW$917506</xm:f>
          </x14:formula1>
          <xm:sqref>UFF917509:UFF917532</xm:sqref>
        </x14:dataValidation>
        <x14:dataValidation type="list" allowBlank="1" showInputMessage="1" showErrorMessage="1" xr:uid="{00000000-0002-0000-0300-000078270000}">
          <x14:formula1>
            <xm:f>項目!A4:$UOS$917506</xm:f>
          </x14:formula1>
          <xm:sqref>UPB917509:UPB917532</xm:sqref>
        </x14:dataValidation>
        <x14:dataValidation type="list" allowBlank="1" showInputMessage="1" showErrorMessage="1" xr:uid="{00000000-0002-0000-0300-000079270000}">
          <x14:formula1>
            <xm:f>項目!A4:$UYO$917506</xm:f>
          </x14:formula1>
          <xm:sqref>UYX917509:UYX917532</xm:sqref>
        </x14:dataValidation>
        <x14:dataValidation type="list" allowBlank="1" showInputMessage="1" showErrorMessage="1" xr:uid="{00000000-0002-0000-0300-00007A270000}">
          <x14:formula1>
            <xm:f>項目!A4:$VIK$917506</xm:f>
          </x14:formula1>
          <xm:sqref>VIT917509:VIT917532</xm:sqref>
        </x14:dataValidation>
        <x14:dataValidation type="list" allowBlank="1" showInputMessage="1" showErrorMessage="1" xr:uid="{00000000-0002-0000-0300-00007B270000}">
          <x14:formula1>
            <xm:f>項目!A4:$VSG$917506</xm:f>
          </x14:formula1>
          <xm:sqref>VSP917509:VSP917532</xm:sqref>
        </x14:dataValidation>
        <x14:dataValidation type="list" allowBlank="1" showInputMessage="1" showErrorMessage="1" xr:uid="{00000000-0002-0000-0300-00007C270000}">
          <x14:formula1>
            <xm:f>項目!A4:$WCC$917506</xm:f>
          </x14:formula1>
          <xm:sqref>WCL917509:WCL917532</xm:sqref>
        </x14:dataValidation>
        <x14:dataValidation type="list" allowBlank="1" showInputMessage="1" showErrorMessage="1" xr:uid="{00000000-0002-0000-0300-00007D270000}">
          <x14:formula1>
            <xm:f>項目!A4:$WLY$917506</xm:f>
          </x14:formula1>
          <xm:sqref>WMH917509:WMH917532</xm:sqref>
        </x14:dataValidation>
        <x14:dataValidation type="list" allowBlank="1" showInputMessage="1" showErrorMessage="1" xr:uid="{00000000-0002-0000-0300-00007E270000}">
          <x14:formula1>
            <xm:f>項目!A4:$WVU$917506</xm:f>
          </x14:formula1>
          <xm:sqref>WWD917509:WWD917532</xm:sqref>
        </x14:dataValidation>
        <x14:dataValidation type="list" allowBlank="1" showInputMessage="1" showErrorMessage="1" xr:uid="{00000000-0002-0000-0300-00007F270000}">
          <x14:formula1>
            <xm:f>項目!A4:$N$983042</xm:f>
          </x14:formula1>
          <xm:sqref>V983045:V983068</xm:sqref>
        </x14:dataValidation>
        <x14:dataValidation type="list" allowBlank="1" showInputMessage="1" showErrorMessage="1" xr:uid="{00000000-0002-0000-0300-000080270000}">
          <x14:formula1>
            <xm:f>項目!A4:$JI$983042</xm:f>
          </x14:formula1>
          <xm:sqref>JR983045:JR983068</xm:sqref>
        </x14:dataValidation>
        <x14:dataValidation type="list" allowBlank="1" showInputMessage="1" showErrorMessage="1" xr:uid="{00000000-0002-0000-0300-000081270000}">
          <x14:formula1>
            <xm:f>項目!A4:$TE$983042</xm:f>
          </x14:formula1>
          <xm:sqref>TN983045:TN983068</xm:sqref>
        </x14:dataValidation>
        <x14:dataValidation type="list" allowBlank="1" showInputMessage="1" showErrorMessage="1" xr:uid="{00000000-0002-0000-0300-000082270000}">
          <x14:formula1>
            <xm:f>項目!A4:$ADA$983042</xm:f>
          </x14:formula1>
          <xm:sqref>ADJ983045:ADJ983068</xm:sqref>
        </x14:dataValidation>
        <x14:dataValidation type="list" allowBlank="1" showInputMessage="1" showErrorMessage="1" xr:uid="{00000000-0002-0000-0300-000083270000}">
          <x14:formula1>
            <xm:f>項目!A4:$AMW$983042</xm:f>
          </x14:formula1>
          <xm:sqref>ANF983045:ANF983068</xm:sqref>
        </x14:dataValidation>
        <x14:dataValidation type="list" allowBlank="1" showInputMessage="1" showErrorMessage="1" xr:uid="{00000000-0002-0000-0300-000084270000}">
          <x14:formula1>
            <xm:f>項目!A4:$AWS$983042</xm:f>
          </x14:formula1>
          <xm:sqref>AXB983045:AXB983068</xm:sqref>
        </x14:dataValidation>
        <x14:dataValidation type="list" allowBlank="1" showInputMessage="1" showErrorMessage="1" xr:uid="{00000000-0002-0000-0300-000085270000}">
          <x14:formula1>
            <xm:f>項目!A4:$BGO$983042</xm:f>
          </x14:formula1>
          <xm:sqref>BGX983045:BGX983068</xm:sqref>
        </x14:dataValidation>
        <x14:dataValidation type="list" allowBlank="1" showInputMessage="1" showErrorMessage="1" xr:uid="{00000000-0002-0000-0300-000086270000}">
          <x14:formula1>
            <xm:f>項目!A4:$BQK$983042</xm:f>
          </x14:formula1>
          <xm:sqref>BQT983045:BQT983068</xm:sqref>
        </x14:dataValidation>
        <x14:dataValidation type="list" allowBlank="1" showInputMessage="1" showErrorMessage="1" xr:uid="{00000000-0002-0000-0300-000087270000}">
          <x14:formula1>
            <xm:f>項目!A4:$CAG$983042</xm:f>
          </x14:formula1>
          <xm:sqref>CAP983045:CAP983068</xm:sqref>
        </x14:dataValidation>
        <x14:dataValidation type="list" allowBlank="1" showInputMessage="1" showErrorMessage="1" xr:uid="{00000000-0002-0000-0300-000088270000}">
          <x14:formula1>
            <xm:f>項目!A4:$CKC$983042</xm:f>
          </x14:formula1>
          <xm:sqref>CKL983045:CKL983068</xm:sqref>
        </x14:dataValidation>
        <x14:dataValidation type="list" allowBlank="1" showInputMessage="1" showErrorMessage="1" xr:uid="{00000000-0002-0000-0300-000089270000}">
          <x14:formula1>
            <xm:f>項目!A4:$CTY$983042</xm:f>
          </x14:formula1>
          <xm:sqref>CUH983045:CUH983068</xm:sqref>
        </x14:dataValidation>
        <x14:dataValidation type="list" allowBlank="1" showInputMessage="1" showErrorMessage="1" xr:uid="{00000000-0002-0000-0300-00008A270000}">
          <x14:formula1>
            <xm:f>項目!A4:$DDU$983042</xm:f>
          </x14:formula1>
          <xm:sqref>DED983045:DED983068</xm:sqref>
        </x14:dataValidation>
        <x14:dataValidation type="list" allowBlank="1" showInputMessage="1" showErrorMessage="1" xr:uid="{00000000-0002-0000-0300-00008B270000}">
          <x14:formula1>
            <xm:f>項目!A4:$DNQ$983042</xm:f>
          </x14:formula1>
          <xm:sqref>DNZ983045:DNZ983068</xm:sqref>
        </x14:dataValidation>
        <x14:dataValidation type="list" allowBlank="1" showInputMessage="1" showErrorMessage="1" xr:uid="{00000000-0002-0000-0300-00008C270000}">
          <x14:formula1>
            <xm:f>項目!A4:$DXM$983042</xm:f>
          </x14:formula1>
          <xm:sqref>DXV983045:DXV983068</xm:sqref>
        </x14:dataValidation>
        <x14:dataValidation type="list" allowBlank="1" showInputMessage="1" showErrorMessage="1" xr:uid="{00000000-0002-0000-0300-00008D270000}">
          <x14:formula1>
            <xm:f>項目!A4:$EHI$983042</xm:f>
          </x14:formula1>
          <xm:sqref>EHR983045:EHR983068</xm:sqref>
        </x14:dataValidation>
        <x14:dataValidation type="list" allowBlank="1" showInputMessage="1" showErrorMessage="1" xr:uid="{00000000-0002-0000-0300-00008E270000}">
          <x14:formula1>
            <xm:f>項目!A4:$ERE$983042</xm:f>
          </x14:formula1>
          <xm:sqref>ERN983045:ERN983068</xm:sqref>
        </x14:dataValidation>
        <x14:dataValidation type="list" allowBlank="1" showInputMessage="1" showErrorMessage="1" xr:uid="{00000000-0002-0000-0300-00008F270000}">
          <x14:formula1>
            <xm:f>項目!A4:$FBA$983042</xm:f>
          </x14:formula1>
          <xm:sqref>FBJ983045:FBJ983068</xm:sqref>
        </x14:dataValidation>
        <x14:dataValidation type="list" allowBlank="1" showInputMessage="1" showErrorMessage="1" xr:uid="{00000000-0002-0000-0300-000090270000}">
          <x14:formula1>
            <xm:f>項目!A4:$FKW$983042</xm:f>
          </x14:formula1>
          <xm:sqref>FLF983045:FLF983068</xm:sqref>
        </x14:dataValidation>
        <x14:dataValidation type="list" allowBlank="1" showInputMessage="1" showErrorMessage="1" xr:uid="{00000000-0002-0000-0300-000091270000}">
          <x14:formula1>
            <xm:f>項目!A4:$FUS$983042</xm:f>
          </x14:formula1>
          <xm:sqref>FVB983045:FVB983068</xm:sqref>
        </x14:dataValidation>
        <x14:dataValidation type="list" allowBlank="1" showInputMessage="1" showErrorMessage="1" xr:uid="{00000000-0002-0000-0300-000092270000}">
          <x14:formula1>
            <xm:f>項目!A4:$GEO$983042</xm:f>
          </x14:formula1>
          <xm:sqref>GEX983045:GEX983068</xm:sqref>
        </x14:dataValidation>
        <x14:dataValidation type="list" allowBlank="1" showInputMessage="1" showErrorMessage="1" xr:uid="{00000000-0002-0000-0300-000093270000}">
          <x14:formula1>
            <xm:f>項目!A4:$GOK$983042</xm:f>
          </x14:formula1>
          <xm:sqref>GOT983045:GOT983068</xm:sqref>
        </x14:dataValidation>
        <x14:dataValidation type="list" allowBlank="1" showInputMessage="1" showErrorMessage="1" xr:uid="{00000000-0002-0000-0300-000094270000}">
          <x14:formula1>
            <xm:f>項目!A4:$GYG$983042</xm:f>
          </x14:formula1>
          <xm:sqref>GYP983045:GYP983068</xm:sqref>
        </x14:dataValidation>
        <x14:dataValidation type="list" allowBlank="1" showInputMessage="1" showErrorMessage="1" xr:uid="{00000000-0002-0000-0300-000095270000}">
          <x14:formula1>
            <xm:f>項目!A4:$HIC$983042</xm:f>
          </x14:formula1>
          <xm:sqref>HIL983045:HIL983068</xm:sqref>
        </x14:dataValidation>
        <x14:dataValidation type="list" allowBlank="1" showInputMessage="1" showErrorMessage="1" xr:uid="{00000000-0002-0000-0300-000096270000}">
          <x14:formula1>
            <xm:f>項目!A4:$HRY$983042</xm:f>
          </x14:formula1>
          <xm:sqref>HSH983045:HSH983068</xm:sqref>
        </x14:dataValidation>
        <x14:dataValidation type="list" allowBlank="1" showInputMessage="1" showErrorMessage="1" xr:uid="{00000000-0002-0000-0300-000097270000}">
          <x14:formula1>
            <xm:f>項目!A4:$IBU$983042</xm:f>
          </x14:formula1>
          <xm:sqref>ICD983045:ICD983068</xm:sqref>
        </x14:dataValidation>
        <x14:dataValidation type="list" allowBlank="1" showInputMessage="1" showErrorMessage="1" xr:uid="{00000000-0002-0000-0300-000098270000}">
          <x14:formula1>
            <xm:f>項目!A4:$ILQ$983042</xm:f>
          </x14:formula1>
          <xm:sqref>ILZ983045:ILZ983068</xm:sqref>
        </x14:dataValidation>
        <x14:dataValidation type="list" allowBlank="1" showInputMessage="1" showErrorMessage="1" xr:uid="{00000000-0002-0000-0300-000099270000}">
          <x14:formula1>
            <xm:f>項目!A4:$IVM$983042</xm:f>
          </x14:formula1>
          <xm:sqref>IVV983045:IVV983068</xm:sqref>
        </x14:dataValidation>
        <x14:dataValidation type="list" allowBlank="1" showInputMessage="1" showErrorMessage="1" xr:uid="{00000000-0002-0000-0300-00009A270000}">
          <x14:formula1>
            <xm:f>項目!A4:$JFI$983042</xm:f>
          </x14:formula1>
          <xm:sqref>JFR983045:JFR983068</xm:sqref>
        </x14:dataValidation>
        <x14:dataValidation type="list" allowBlank="1" showInputMessage="1" showErrorMessage="1" xr:uid="{00000000-0002-0000-0300-00009B270000}">
          <x14:formula1>
            <xm:f>項目!A4:$JPE$983042</xm:f>
          </x14:formula1>
          <xm:sqref>JPN983045:JPN983068</xm:sqref>
        </x14:dataValidation>
        <x14:dataValidation type="list" allowBlank="1" showInputMessage="1" showErrorMessage="1" xr:uid="{00000000-0002-0000-0300-00009C270000}">
          <x14:formula1>
            <xm:f>項目!A4:$JZA$983042</xm:f>
          </x14:formula1>
          <xm:sqref>JZJ983045:JZJ983068</xm:sqref>
        </x14:dataValidation>
        <x14:dataValidation type="list" allowBlank="1" showInputMessage="1" showErrorMessage="1" xr:uid="{00000000-0002-0000-0300-00009D270000}">
          <x14:formula1>
            <xm:f>項目!A4:$KIW$983042</xm:f>
          </x14:formula1>
          <xm:sqref>KJF983045:KJF983068</xm:sqref>
        </x14:dataValidation>
        <x14:dataValidation type="list" allowBlank="1" showInputMessage="1" showErrorMessage="1" xr:uid="{00000000-0002-0000-0300-00009E270000}">
          <x14:formula1>
            <xm:f>項目!A4:$KSS$983042</xm:f>
          </x14:formula1>
          <xm:sqref>KTB983045:KTB983068</xm:sqref>
        </x14:dataValidation>
        <x14:dataValidation type="list" allowBlank="1" showInputMessage="1" showErrorMessage="1" xr:uid="{00000000-0002-0000-0300-00009F270000}">
          <x14:formula1>
            <xm:f>項目!A4:$LCO$983042</xm:f>
          </x14:formula1>
          <xm:sqref>LCX983045:LCX983068</xm:sqref>
        </x14:dataValidation>
        <x14:dataValidation type="list" allowBlank="1" showInputMessage="1" showErrorMessage="1" xr:uid="{00000000-0002-0000-0300-0000A0270000}">
          <x14:formula1>
            <xm:f>項目!A4:$LMK$983042</xm:f>
          </x14:formula1>
          <xm:sqref>LMT983045:LMT983068</xm:sqref>
        </x14:dataValidation>
        <x14:dataValidation type="list" allowBlank="1" showInputMessage="1" showErrorMessage="1" xr:uid="{00000000-0002-0000-0300-0000A1270000}">
          <x14:formula1>
            <xm:f>項目!A4:$LWG$983042</xm:f>
          </x14:formula1>
          <xm:sqref>LWP983045:LWP983068</xm:sqref>
        </x14:dataValidation>
        <x14:dataValidation type="list" allowBlank="1" showInputMessage="1" showErrorMessage="1" xr:uid="{00000000-0002-0000-0300-0000A2270000}">
          <x14:formula1>
            <xm:f>項目!A4:$MGC$983042</xm:f>
          </x14:formula1>
          <xm:sqref>MGL983045:MGL983068</xm:sqref>
        </x14:dataValidation>
        <x14:dataValidation type="list" allowBlank="1" showInputMessage="1" showErrorMessage="1" xr:uid="{00000000-0002-0000-0300-0000A3270000}">
          <x14:formula1>
            <xm:f>項目!A4:$MPY$983042</xm:f>
          </x14:formula1>
          <xm:sqref>MQH983045:MQH983068</xm:sqref>
        </x14:dataValidation>
        <x14:dataValidation type="list" allowBlank="1" showInputMessage="1" showErrorMessage="1" xr:uid="{00000000-0002-0000-0300-0000A4270000}">
          <x14:formula1>
            <xm:f>項目!A4:$MZU$983042</xm:f>
          </x14:formula1>
          <xm:sqref>NAD983045:NAD983068</xm:sqref>
        </x14:dataValidation>
        <x14:dataValidation type="list" allowBlank="1" showInputMessage="1" showErrorMessage="1" xr:uid="{00000000-0002-0000-0300-0000A5270000}">
          <x14:formula1>
            <xm:f>項目!A4:$NJQ$983042</xm:f>
          </x14:formula1>
          <xm:sqref>NJZ983045:NJZ983068</xm:sqref>
        </x14:dataValidation>
        <x14:dataValidation type="list" allowBlank="1" showInputMessage="1" showErrorMessage="1" xr:uid="{00000000-0002-0000-0300-0000A6270000}">
          <x14:formula1>
            <xm:f>項目!A4:$NTM$983042</xm:f>
          </x14:formula1>
          <xm:sqref>NTV983045:NTV983068</xm:sqref>
        </x14:dataValidation>
        <x14:dataValidation type="list" allowBlank="1" showInputMessage="1" showErrorMessage="1" xr:uid="{00000000-0002-0000-0300-0000A7270000}">
          <x14:formula1>
            <xm:f>項目!A4:$ODI$983042</xm:f>
          </x14:formula1>
          <xm:sqref>ODR983045:ODR983068</xm:sqref>
        </x14:dataValidation>
        <x14:dataValidation type="list" allowBlank="1" showInputMessage="1" showErrorMessage="1" xr:uid="{00000000-0002-0000-0300-0000A8270000}">
          <x14:formula1>
            <xm:f>項目!A4:$ONE$983042</xm:f>
          </x14:formula1>
          <xm:sqref>ONN983045:ONN983068</xm:sqref>
        </x14:dataValidation>
        <x14:dataValidation type="list" allowBlank="1" showInputMessage="1" showErrorMessage="1" xr:uid="{00000000-0002-0000-0300-0000A9270000}">
          <x14:formula1>
            <xm:f>項目!A4:$OXA$983042</xm:f>
          </x14:formula1>
          <xm:sqref>OXJ983045:OXJ983068</xm:sqref>
        </x14:dataValidation>
        <x14:dataValidation type="list" allowBlank="1" showInputMessage="1" showErrorMessage="1" xr:uid="{00000000-0002-0000-0300-0000AA270000}">
          <x14:formula1>
            <xm:f>項目!A4:$PGW$983042</xm:f>
          </x14:formula1>
          <xm:sqref>PHF983045:PHF983068</xm:sqref>
        </x14:dataValidation>
        <x14:dataValidation type="list" allowBlank="1" showInputMessage="1" showErrorMessage="1" xr:uid="{00000000-0002-0000-0300-0000AB270000}">
          <x14:formula1>
            <xm:f>項目!A4:$PQS$983042</xm:f>
          </x14:formula1>
          <xm:sqref>PRB983045:PRB983068</xm:sqref>
        </x14:dataValidation>
        <x14:dataValidation type="list" allowBlank="1" showInputMessage="1" showErrorMessage="1" xr:uid="{00000000-0002-0000-0300-0000AC270000}">
          <x14:formula1>
            <xm:f>項目!A4:$QAO$983042</xm:f>
          </x14:formula1>
          <xm:sqref>QAX983045:QAX983068</xm:sqref>
        </x14:dataValidation>
        <x14:dataValidation type="list" allowBlank="1" showInputMessage="1" showErrorMessage="1" xr:uid="{00000000-0002-0000-0300-0000AD270000}">
          <x14:formula1>
            <xm:f>項目!A4:$QKK$983042</xm:f>
          </x14:formula1>
          <xm:sqref>QKT983045:QKT983068</xm:sqref>
        </x14:dataValidation>
        <x14:dataValidation type="list" allowBlank="1" showInputMessage="1" showErrorMessage="1" xr:uid="{00000000-0002-0000-0300-0000AE270000}">
          <x14:formula1>
            <xm:f>項目!A4:$QUG$983042</xm:f>
          </x14:formula1>
          <xm:sqref>QUP983045:QUP983068</xm:sqref>
        </x14:dataValidation>
        <x14:dataValidation type="list" allowBlank="1" showInputMessage="1" showErrorMessage="1" xr:uid="{00000000-0002-0000-0300-0000AF270000}">
          <x14:formula1>
            <xm:f>項目!A4:$REC$983042</xm:f>
          </x14:formula1>
          <xm:sqref>REL983045:REL983068</xm:sqref>
        </x14:dataValidation>
        <x14:dataValidation type="list" allowBlank="1" showInputMessage="1" showErrorMessage="1" xr:uid="{00000000-0002-0000-0300-0000B0270000}">
          <x14:formula1>
            <xm:f>項目!A4:$RNY$983042</xm:f>
          </x14:formula1>
          <xm:sqref>ROH983045:ROH983068</xm:sqref>
        </x14:dataValidation>
        <x14:dataValidation type="list" allowBlank="1" showInputMessage="1" showErrorMessage="1" xr:uid="{00000000-0002-0000-0300-0000B1270000}">
          <x14:formula1>
            <xm:f>項目!A4:$RXU$983042</xm:f>
          </x14:formula1>
          <xm:sqref>RYD983045:RYD983068</xm:sqref>
        </x14:dataValidation>
        <x14:dataValidation type="list" allowBlank="1" showInputMessage="1" showErrorMessage="1" xr:uid="{00000000-0002-0000-0300-0000B2270000}">
          <x14:formula1>
            <xm:f>項目!A4:$SHQ$983042</xm:f>
          </x14:formula1>
          <xm:sqref>SHZ983045:SHZ983068</xm:sqref>
        </x14:dataValidation>
        <x14:dataValidation type="list" allowBlank="1" showInputMessage="1" showErrorMessage="1" xr:uid="{00000000-0002-0000-0300-0000B3270000}">
          <x14:formula1>
            <xm:f>項目!A4:$SRM$983042</xm:f>
          </x14:formula1>
          <xm:sqref>SRV983045:SRV983068</xm:sqref>
        </x14:dataValidation>
        <x14:dataValidation type="list" allowBlank="1" showInputMessage="1" showErrorMessage="1" xr:uid="{00000000-0002-0000-0300-0000B4270000}">
          <x14:formula1>
            <xm:f>項目!A4:$TBI$983042</xm:f>
          </x14:formula1>
          <xm:sqref>TBR983045:TBR983068</xm:sqref>
        </x14:dataValidation>
        <x14:dataValidation type="list" allowBlank="1" showInputMessage="1" showErrorMessage="1" xr:uid="{00000000-0002-0000-0300-0000B5270000}">
          <x14:formula1>
            <xm:f>項目!A4:$TLE$983042</xm:f>
          </x14:formula1>
          <xm:sqref>TLN983045:TLN983068</xm:sqref>
        </x14:dataValidation>
        <x14:dataValidation type="list" allowBlank="1" showInputMessage="1" showErrorMessage="1" xr:uid="{00000000-0002-0000-0300-0000B6270000}">
          <x14:formula1>
            <xm:f>項目!A4:$TVA$983042</xm:f>
          </x14:formula1>
          <xm:sqref>TVJ983045:TVJ983068</xm:sqref>
        </x14:dataValidation>
        <x14:dataValidation type="list" allowBlank="1" showInputMessage="1" showErrorMessage="1" xr:uid="{00000000-0002-0000-0300-0000B7270000}">
          <x14:formula1>
            <xm:f>項目!A4:$UEW$983042</xm:f>
          </x14:formula1>
          <xm:sqref>UFF983045:UFF983068</xm:sqref>
        </x14:dataValidation>
        <x14:dataValidation type="list" allowBlank="1" showInputMessage="1" showErrorMessage="1" xr:uid="{00000000-0002-0000-0300-0000B8270000}">
          <x14:formula1>
            <xm:f>項目!A4:$UOS$983042</xm:f>
          </x14:formula1>
          <xm:sqref>UPB983045:UPB983068</xm:sqref>
        </x14:dataValidation>
        <x14:dataValidation type="list" allowBlank="1" showInputMessage="1" showErrorMessage="1" xr:uid="{00000000-0002-0000-0300-0000B9270000}">
          <x14:formula1>
            <xm:f>項目!A4:$UYO$983042</xm:f>
          </x14:formula1>
          <xm:sqref>UYX983045:UYX983068</xm:sqref>
        </x14:dataValidation>
        <x14:dataValidation type="list" allowBlank="1" showInputMessage="1" showErrorMessage="1" xr:uid="{00000000-0002-0000-0300-0000BA270000}">
          <x14:formula1>
            <xm:f>項目!A4:$VIK$983042</xm:f>
          </x14:formula1>
          <xm:sqref>VIT983045:VIT983068</xm:sqref>
        </x14:dataValidation>
        <x14:dataValidation type="list" allowBlank="1" showInputMessage="1" showErrorMessage="1" xr:uid="{00000000-0002-0000-0300-0000BB270000}">
          <x14:formula1>
            <xm:f>項目!A4:$VSG$983042</xm:f>
          </x14:formula1>
          <xm:sqref>VSP983045:VSP983068</xm:sqref>
        </x14:dataValidation>
        <x14:dataValidation type="list" allowBlank="1" showInputMessage="1" showErrorMessage="1" xr:uid="{00000000-0002-0000-0300-0000BC270000}">
          <x14:formula1>
            <xm:f>項目!A4:$WCC$983042</xm:f>
          </x14:formula1>
          <xm:sqref>WCL983045:WCL983068</xm:sqref>
        </x14:dataValidation>
        <x14:dataValidation type="list" allowBlank="1" showInputMessage="1" showErrorMessage="1" xr:uid="{00000000-0002-0000-0300-0000BD270000}">
          <x14:formula1>
            <xm:f>項目!A4:$WLY$983042</xm:f>
          </x14:formula1>
          <xm:sqref>WMH983045:WMH983068</xm:sqref>
        </x14:dataValidation>
        <x14:dataValidation type="list" allowBlank="1" showInputMessage="1" showErrorMessage="1" xr:uid="{00000000-0002-0000-0300-0000BE270000}">
          <x14:formula1>
            <xm:f>項目!A4:$WVU$983042</xm:f>
          </x14:formula1>
          <xm:sqref>WWD983045:WWD983068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pageSetUpPr fitToPage="1"/>
  </sheetPr>
  <dimension ref="B1:AB46"/>
  <sheetViews>
    <sheetView showGridLines="0" zoomScale="70" zoomScaleNormal="70" workbookViewId="0"/>
  </sheetViews>
  <sheetFormatPr defaultColWidth="9" defaultRowHeight="15.75" x14ac:dyDescent="0.25"/>
  <cols>
    <col min="1" max="1" width="9" style="74"/>
    <col min="2" max="2" width="4.625" style="75" customWidth="1"/>
    <col min="3" max="4" width="6.625" style="76" customWidth="1"/>
    <col min="5" max="5" width="12.625" style="74" customWidth="1"/>
    <col min="6" max="6" width="6.625" style="74" customWidth="1"/>
    <col min="7" max="7" width="6.625" style="76" customWidth="1"/>
    <col min="8" max="8" width="4.625" style="74" customWidth="1"/>
    <col min="9" max="9" width="4.625" style="75" customWidth="1"/>
    <col min="10" max="11" width="6.625" style="76" customWidth="1"/>
    <col min="12" max="12" width="12.625" style="74" customWidth="1"/>
    <col min="13" max="13" width="6.625" style="74" customWidth="1"/>
    <col min="14" max="14" width="6.625" style="76" customWidth="1"/>
    <col min="15" max="15" width="4.625" style="74" customWidth="1"/>
    <col min="16" max="16" width="9" style="76"/>
    <col min="17" max="17" width="3.625" style="76" customWidth="1"/>
    <col min="18" max="18" width="7.625" style="77" customWidth="1"/>
    <col min="19" max="19" width="20.125" style="78" customWidth="1"/>
    <col min="20" max="20" width="9" style="74" customWidth="1"/>
    <col min="21" max="21" width="20.125" style="78" customWidth="1"/>
    <col min="22" max="23" width="9" style="74" customWidth="1"/>
    <col min="24" max="16384" width="9" style="74"/>
  </cols>
  <sheetData>
    <row r="1" spans="2:23" x14ac:dyDescent="0.25">
      <c r="U1" s="425" t="s">
        <v>11857</v>
      </c>
    </row>
    <row r="2" spans="2:23" ht="16.5" x14ac:dyDescent="0.25">
      <c r="B2" s="560" t="str">
        <f>大会要項!B3</f>
        <v>第15回 全日本不動産協会杯争奪U-12サッカー大会【ラビットカップ】大分県大会</v>
      </c>
      <c r="C2" s="560"/>
      <c r="D2" s="560"/>
      <c r="E2" s="560"/>
      <c r="F2" s="560"/>
      <c r="G2" s="560"/>
      <c r="H2" s="560"/>
      <c r="I2" s="560"/>
      <c r="J2" s="560"/>
      <c r="K2" s="560"/>
      <c r="L2" s="560"/>
      <c r="M2" s="560" t="s">
        <v>245</v>
      </c>
      <c r="N2" s="560"/>
      <c r="O2" s="560"/>
      <c r="R2" s="77" t="s">
        <v>6</v>
      </c>
      <c r="U2" s="424" t="s">
        <v>11859</v>
      </c>
    </row>
    <row r="3" spans="2:23" ht="14.25" customHeight="1" x14ac:dyDescent="0.15">
      <c r="R3" s="2" t="s">
        <v>8</v>
      </c>
      <c r="S3" s="2" t="s">
        <v>9</v>
      </c>
      <c r="U3" s="2"/>
    </row>
    <row r="4" spans="2:23" ht="15.75" customHeight="1" x14ac:dyDescent="0.25">
      <c r="E4" s="421" t="s">
        <v>246</v>
      </c>
      <c r="F4" s="79"/>
      <c r="L4" s="422" t="s">
        <v>247</v>
      </c>
      <c r="M4" s="79"/>
      <c r="Q4" s="80" t="s">
        <v>248</v>
      </c>
      <c r="R4" s="561" t="s">
        <v>13</v>
      </c>
      <c r="S4" s="81" t="s">
        <v>11862</v>
      </c>
      <c r="U4" s="81" t="str">
        <f>抽選会資料!B11</f>
        <v>ＮＦＣ・ＯＩＴＡ　Ｕ１２</v>
      </c>
      <c r="V4" s="74" t="s">
        <v>13</v>
      </c>
      <c r="W4" s="82"/>
    </row>
    <row r="5" spans="2:23" ht="15.75" customHeight="1" x14ac:dyDescent="0.25">
      <c r="D5" s="75" t="s">
        <v>248</v>
      </c>
      <c r="E5" s="562" t="str">
        <f>IF(ISERROR(VLOOKUP(D5,$Q:$S,3,FALSE))=TRUE,"",VLOOKUP(D5,$Q:$S,3,FALSE))</f>
        <v>A1</v>
      </c>
      <c r="F5" s="83"/>
      <c r="G5" s="564"/>
      <c r="H5" s="84"/>
      <c r="K5" s="75" t="s">
        <v>249</v>
      </c>
      <c r="L5" s="565" t="str">
        <f>IF(ISERROR(VLOOKUP(K5,$Q:$S,3,FALSE))=TRUE,"",VLOOKUP(K5,$Q:$S,3,FALSE))</f>
        <v>C1</v>
      </c>
      <c r="M5" s="83"/>
      <c r="N5" s="564"/>
      <c r="O5" s="84"/>
      <c r="Q5" s="80" t="s">
        <v>250</v>
      </c>
      <c r="R5" s="561"/>
      <c r="S5" s="81" t="s">
        <v>11863</v>
      </c>
      <c r="U5" s="81" t="str">
        <f>抽選会資料!B12</f>
        <v>ＳＯＬ　ＦＵＴＥＢＯＬ　ＣＬＵＢＥ　Ｍａｇｉａ</v>
      </c>
      <c r="V5" s="74" t="s">
        <v>13</v>
      </c>
      <c r="W5" s="82"/>
    </row>
    <row r="6" spans="2:23" ht="15.75" customHeight="1" x14ac:dyDescent="0.25">
      <c r="D6" s="567"/>
      <c r="E6" s="563"/>
      <c r="F6" s="569"/>
      <c r="G6" s="564"/>
      <c r="H6" s="84"/>
      <c r="K6" s="567"/>
      <c r="L6" s="566"/>
      <c r="M6" s="569"/>
      <c r="N6" s="564"/>
      <c r="O6" s="84"/>
      <c r="Q6" s="80" t="s">
        <v>251</v>
      </c>
      <c r="R6" s="561"/>
      <c r="S6" s="85" t="s">
        <v>11864</v>
      </c>
      <c r="U6" s="81" t="str">
        <f>抽選会資料!B13</f>
        <v>明治北ＳＳＣ</v>
      </c>
      <c r="V6" s="74" t="s">
        <v>13</v>
      </c>
      <c r="W6" s="82"/>
    </row>
    <row r="7" spans="2:23" ht="15.75" customHeight="1" x14ac:dyDescent="0.25">
      <c r="C7" s="83"/>
      <c r="D7" s="567"/>
      <c r="E7" s="570"/>
      <c r="F7" s="569"/>
      <c r="G7" s="83"/>
      <c r="H7" s="84"/>
      <c r="J7" s="83"/>
      <c r="K7" s="567"/>
      <c r="L7" s="570"/>
      <c r="M7" s="569"/>
      <c r="N7" s="83"/>
      <c r="O7" s="84"/>
      <c r="Q7" s="80" t="s">
        <v>252</v>
      </c>
      <c r="R7" s="561"/>
      <c r="S7" s="81" t="s">
        <v>11865</v>
      </c>
      <c r="U7" s="81" t="str">
        <f>抽選会資料!B14</f>
        <v>ドリームキッズフットボールクラブＦ</v>
      </c>
      <c r="V7" s="74" t="s">
        <v>13</v>
      </c>
      <c r="W7" s="82"/>
    </row>
    <row r="8" spans="2:23" ht="15.75" customHeight="1" x14ac:dyDescent="0.25">
      <c r="C8" s="86"/>
      <c r="D8" s="568"/>
      <c r="E8" s="570"/>
      <c r="F8" s="569"/>
      <c r="G8" s="86"/>
      <c r="H8" s="87"/>
      <c r="J8" s="86"/>
      <c r="K8" s="568"/>
      <c r="L8" s="570"/>
      <c r="M8" s="569"/>
      <c r="N8" s="86"/>
      <c r="O8" s="87"/>
      <c r="Q8" s="80" t="s">
        <v>253</v>
      </c>
      <c r="R8" s="561"/>
      <c r="S8" s="81" t="s">
        <v>11866</v>
      </c>
      <c r="U8" s="81" t="str">
        <f>抽選会資料!B15</f>
        <v>ドリームキッズフットボールクラブ</v>
      </c>
      <c r="V8" s="74" t="s">
        <v>13</v>
      </c>
      <c r="W8" s="82"/>
    </row>
    <row r="9" spans="2:23" ht="15.75" customHeight="1" x14ac:dyDescent="0.25">
      <c r="B9" s="75" t="s">
        <v>250</v>
      </c>
      <c r="C9" s="571" t="str">
        <f>IF(ISERROR(VLOOKUP(B9,$Q:$S,3,FALSE))=TRUE,"",VLOOKUP(B9,$Q:$S,3,FALSE))</f>
        <v>A2</v>
      </c>
      <c r="D9" s="572"/>
      <c r="E9" s="88"/>
      <c r="F9" s="571" t="str">
        <f>IF(ISERROR(VLOOKUP(H9,$Q:$S,3,FALSE))=TRUE,"",VLOOKUP(H9,$Q:$S,3,FALSE))</f>
        <v>A3</v>
      </c>
      <c r="G9" s="572"/>
      <c r="H9" s="84" t="s">
        <v>251</v>
      </c>
      <c r="I9" s="75" t="s">
        <v>254</v>
      </c>
      <c r="J9" s="571" t="str">
        <f>IF(ISERROR(VLOOKUP(I9,$Q:$S,3,FALSE))=TRUE,"",VLOOKUP(I9,$Q:$S,3,FALSE))</f>
        <v>C2</v>
      </c>
      <c r="K9" s="572"/>
      <c r="L9" s="88"/>
      <c r="M9" s="575" t="str">
        <f>IF(ISERROR(VLOOKUP(O9,$Q:$S,3,FALSE))=TRUE,"",VLOOKUP(O9,$Q:$S,3,FALSE))</f>
        <v>C3</v>
      </c>
      <c r="N9" s="576"/>
      <c r="O9" s="84" t="s">
        <v>255</v>
      </c>
      <c r="Q9" s="80" t="s">
        <v>256</v>
      </c>
      <c r="R9" s="561"/>
      <c r="S9" s="81" t="s">
        <v>11867</v>
      </c>
      <c r="U9" s="81" t="str">
        <f>抽選会資料!B16</f>
        <v>西の台ＪＦＣ</v>
      </c>
      <c r="V9" s="74" t="s">
        <v>13</v>
      </c>
      <c r="W9" s="82"/>
    </row>
    <row r="10" spans="2:23" ht="15.75" customHeight="1" x14ac:dyDescent="0.25">
      <c r="C10" s="573"/>
      <c r="D10" s="574"/>
      <c r="E10" s="87"/>
      <c r="F10" s="573"/>
      <c r="G10" s="574"/>
      <c r="H10" s="84"/>
      <c r="J10" s="573"/>
      <c r="K10" s="574"/>
      <c r="L10" s="87"/>
      <c r="M10" s="577"/>
      <c r="N10" s="578"/>
      <c r="O10" s="84"/>
      <c r="Q10" s="80" t="s">
        <v>249</v>
      </c>
      <c r="R10" s="561"/>
      <c r="S10" s="81" t="s">
        <v>11868</v>
      </c>
      <c r="U10" s="81" t="str">
        <f>抽選会資料!B17</f>
        <v>大分トリニータＵ－１２</v>
      </c>
      <c r="V10" s="74" t="s">
        <v>13</v>
      </c>
      <c r="W10" s="82"/>
    </row>
    <row r="11" spans="2:23" ht="15.75" customHeight="1" x14ac:dyDescent="0.25">
      <c r="C11" s="83"/>
      <c r="D11" s="83"/>
      <c r="E11" s="86"/>
      <c r="F11" s="86"/>
      <c r="G11" s="83"/>
      <c r="H11" s="83"/>
      <c r="I11" s="89"/>
      <c r="J11" s="83"/>
      <c r="K11" s="83"/>
      <c r="L11" s="86"/>
      <c r="M11" s="86"/>
      <c r="N11" s="83"/>
      <c r="Q11" s="80" t="s">
        <v>254</v>
      </c>
      <c r="R11" s="561"/>
      <c r="S11" s="81" t="s">
        <v>11869</v>
      </c>
      <c r="U11" s="81" t="str">
        <f>抽選会資料!B18</f>
        <v>明治サッカースポーツ少年団</v>
      </c>
      <c r="V11" s="74" t="s">
        <v>13</v>
      </c>
      <c r="W11" s="82"/>
    </row>
    <row r="12" spans="2:23" ht="15.75" customHeight="1" x14ac:dyDescent="0.25">
      <c r="C12" s="83"/>
      <c r="D12" s="83"/>
      <c r="E12" s="423" t="s">
        <v>257</v>
      </c>
      <c r="F12" s="79"/>
      <c r="G12" s="83"/>
      <c r="H12" s="90"/>
      <c r="L12" s="423" t="s">
        <v>258</v>
      </c>
      <c r="M12" s="79"/>
      <c r="Q12" s="80" t="s">
        <v>255</v>
      </c>
      <c r="R12" s="561"/>
      <c r="S12" s="81" t="s">
        <v>11870</v>
      </c>
      <c r="U12" s="81" t="str">
        <f>抽選会資料!B19</f>
        <v>カティオーラフットボールクラブＵ－１２</v>
      </c>
      <c r="V12" s="74" t="s">
        <v>13</v>
      </c>
      <c r="W12" s="82"/>
    </row>
    <row r="13" spans="2:23" ht="15.75" customHeight="1" x14ac:dyDescent="0.25">
      <c r="D13" s="75" t="s">
        <v>259</v>
      </c>
      <c r="E13" s="579" t="str">
        <f>IF(ISERROR(VLOOKUP(D13,$Q:$S,3,FALSE))=TRUE,"",VLOOKUP(D13,$Q:$S,3,FALSE))</f>
        <v>E1</v>
      </c>
      <c r="F13" s="83"/>
      <c r="G13" s="564"/>
      <c r="H13" s="84"/>
      <c r="K13" s="75" t="s">
        <v>260</v>
      </c>
      <c r="L13" s="579" t="str">
        <f>IF(ISERROR(VLOOKUP(K13,$Q:$S,3,FALSE))=TRUE,"",VLOOKUP(K13,$Q:$S,3,FALSE))</f>
        <v>G1</v>
      </c>
      <c r="M13" s="83"/>
      <c r="N13" s="564"/>
      <c r="O13" s="84"/>
      <c r="Q13" s="80" t="s">
        <v>261</v>
      </c>
      <c r="R13" s="561"/>
      <c r="S13" s="81" t="s">
        <v>11871</v>
      </c>
      <c r="U13" s="81" t="str">
        <f>抽選会資料!B20</f>
        <v>豊府サッカースポーツ少年団</v>
      </c>
      <c r="V13" s="74" t="s">
        <v>13</v>
      </c>
      <c r="W13" s="82"/>
    </row>
    <row r="14" spans="2:23" ht="15.75" customHeight="1" x14ac:dyDescent="0.25">
      <c r="D14" s="567"/>
      <c r="E14" s="580"/>
      <c r="F14" s="569"/>
      <c r="G14" s="564"/>
      <c r="H14" s="84"/>
      <c r="K14" s="567"/>
      <c r="L14" s="580"/>
      <c r="M14" s="569"/>
      <c r="N14" s="564"/>
      <c r="O14" s="84"/>
      <c r="Q14" s="80" t="s">
        <v>262</v>
      </c>
      <c r="R14" s="561"/>
      <c r="S14" s="81" t="s">
        <v>11872</v>
      </c>
      <c r="U14" s="81" t="str">
        <f>抽選会資料!B21</f>
        <v>リノスフットボールクラブ　Ｕ－１２</v>
      </c>
      <c r="V14" s="74" t="s">
        <v>13</v>
      </c>
      <c r="W14" s="82"/>
    </row>
    <row r="15" spans="2:23" ht="15.75" customHeight="1" x14ac:dyDescent="0.25">
      <c r="C15" s="83"/>
      <c r="D15" s="567"/>
      <c r="E15" s="570"/>
      <c r="F15" s="569"/>
      <c r="G15" s="83"/>
      <c r="H15" s="84"/>
      <c r="J15" s="83"/>
      <c r="K15" s="567"/>
      <c r="L15" s="570"/>
      <c r="M15" s="569"/>
      <c r="N15" s="83"/>
      <c r="O15" s="84"/>
    </row>
    <row r="16" spans="2:23" ht="15.75" customHeight="1" x14ac:dyDescent="0.25">
      <c r="C16" s="86"/>
      <c r="D16" s="568"/>
      <c r="E16" s="570"/>
      <c r="F16" s="569"/>
      <c r="G16" s="86"/>
      <c r="H16" s="87"/>
      <c r="J16" s="86"/>
      <c r="K16" s="568"/>
      <c r="L16" s="570"/>
      <c r="M16" s="569"/>
      <c r="N16" s="86"/>
      <c r="O16" s="87"/>
      <c r="R16" s="1"/>
      <c r="S16" s="82"/>
      <c r="U16" s="82"/>
    </row>
    <row r="17" spans="2:28" ht="15.75" customHeight="1" x14ac:dyDescent="0.25">
      <c r="B17" s="75" t="s">
        <v>263</v>
      </c>
      <c r="C17" s="571" t="str">
        <f>IF(ISERROR(VLOOKUP(B17,$Q:$S,3,FALSE))=TRUE,"",VLOOKUP(B17,$Q:$S,3,FALSE))</f>
        <v>E2</v>
      </c>
      <c r="D17" s="572"/>
      <c r="E17" s="88"/>
      <c r="F17" s="571" t="str">
        <f>IF(ISERROR(VLOOKUP(H17,$Q:$S,3,FALSE))=TRUE,"",VLOOKUP(H17,$Q:$S,3,FALSE))</f>
        <v>E3</v>
      </c>
      <c r="G17" s="572"/>
      <c r="H17" s="84" t="s">
        <v>264</v>
      </c>
      <c r="I17" s="75" t="s">
        <v>265</v>
      </c>
      <c r="J17" s="571" t="str">
        <f>IF(ISERROR(VLOOKUP(I17,$Q:$S,3,FALSE))=TRUE,"",VLOOKUP(I17,$Q:$S,3,FALSE))</f>
        <v>G2</v>
      </c>
      <c r="K17" s="572"/>
      <c r="L17" s="88"/>
      <c r="M17" s="571" t="str">
        <f>IF(ISERROR(VLOOKUP(O17,$Q:$S,3,FALSE))=TRUE,"",VLOOKUP(O17,$Q:$S,3,FALSE))</f>
        <v>G3</v>
      </c>
      <c r="N17" s="572"/>
      <c r="O17" s="84" t="s">
        <v>266</v>
      </c>
      <c r="R17" s="1"/>
      <c r="S17" s="82"/>
      <c r="U17" s="82"/>
    </row>
    <row r="18" spans="2:28" ht="15.75" customHeight="1" x14ac:dyDescent="0.25">
      <c r="C18" s="573"/>
      <c r="D18" s="574"/>
      <c r="E18" s="87"/>
      <c r="F18" s="573"/>
      <c r="G18" s="574"/>
      <c r="H18" s="84"/>
      <c r="J18" s="573"/>
      <c r="K18" s="574"/>
      <c r="L18" s="87"/>
      <c r="M18" s="573"/>
      <c r="N18" s="574"/>
      <c r="O18" s="84"/>
      <c r="R18" s="77" t="s">
        <v>7</v>
      </c>
    </row>
    <row r="19" spans="2:28" ht="15.75" customHeight="1" x14ac:dyDescent="0.25">
      <c r="Q19" s="77"/>
      <c r="R19" s="2" t="s">
        <v>8</v>
      </c>
      <c r="S19" s="2"/>
      <c r="U19" s="2"/>
    </row>
    <row r="20" spans="2:28" ht="15.75" customHeight="1" x14ac:dyDescent="0.25">
      <c r="Q20" s="91" t="s">
        <v>267</v>
      </c>
      <c r="R20" s="557" t="s">
        <v>14</v>
      </c>
      <c r="S20" s="81" t="s">
        <v>11873</v>
      </c>
      <c r="U20" s="81" t="str">
        <f>抽選会資料!I11</f>
        <v>Ｓｈｙｎｔ　ＦＣ</v>
      </c>
      <c r="V20" s="74" t="s">
        <v>14</v>
      </c>
      <c r="W20" s="82"/>
    </row>
    <row r="21" spans="2:28" ht="15.75" customHeight="1" x14ac:dyDescent="0.25">
      <c r="E21" s="421" t="s">
        <v>268</v>
      </c>
      <c r="F21" s="79"/>
      <c r="I21" s="89"/>
      <c r="J21" s="83"/>
      <c r="K21" s="83"/>
      <c r="L21" s="422" t="s">
        <v>269</v>
      </c>
      <c r="M21" s="79"/>
      <c r="N21" s="83"/>
      <c r="Q21" s="91" t="s">
        <v>259</v>
      </c>
      <c r="R21" s="558"/>
      <c r="S21" s="81" t="s">
        <v>11874</v>
      </c>
      <c r="U21" s="81" t="str">
        <f>抽選会資料!I12</f>
        <v>ＦＣリーベル</v>
      </c>
      <c r="V21" s="74" t="s">
        <v>14</v>
      </c>
      <c r="W21" s="82"/>
    </row>
    <row r="22" spans="2:28" ht="15.75" customHeight="1" x14ac:dyDescent="0.25">
      <c r="D22" s="75" t="s">
        <v>252</v>
      </c>
      <c r="E22" s="579" t="str">
        <f>IF(ISERROR(VLOOKUP(D22,$Q:$S,3,FALSE))=TRUE,"",VLOOKUP(D22,$Q:$S,3,FALSE))</f>
        <v>B1</v>
      </c>
      <c r="F22" s="83"/>
      <c r="G22" s="564"/>
      <c r="H22" s="84"/>
      <c r="K22" s="75" t="s">
        <v>261</v>
      </c>
      <c r="L22" s="579" t="str">
        <f>IF(ISERROR(VLOOKUP(K22,$Q:$S,3,FALSE))=TRUE,"",VLOOKUP(K22,$Q:$S,3,FALSE))</f>
        <v>D1</v>
      </c>
      <c r="M22" s="83"/>
      <c r="N22" s="564"/>
      <c r="O22" s="84"/>
      <c r="Q22" s="91" t="s">
        <v>263</v>
      </c>
      <c r="R22" s="559"/>
      <c r="S22" s="81" t="s">
        <v>11875</v>
      </c>
      <c r="U22" s="81" t="str">
        <f>抽選会資料!I13</f>
        <v>ＦＣ中津ジュニア</v>
      </c>
      <c r="V22" s="74" t="s">
        <v>14</v>
      </c>
      <c r="W22" s="82"/>
    </row>
    <row r="23" spans="2:28" ht="15.75" customHeight="1" x14ac:dyDescent="0.25">
      <c r="D23" s="567"/>
      <c r="E23" s="580"/>
      <c r="F23" s="569"/>
      <c r="G23" s="564"/>
      <c r="H23" s="84"/>
      <c r="K23" s="567"/>
      <c r="L23" s="580"/>
      <c r="M23" s="569"/>
      <c r="N23" s="564"/>
      <c r="O23" s="84"/>
      <c r="Q23" s="91" t="s">
        <v>264</v>
      </c>
      <c r="R23" s="581" t="s">
        <v>18</v>
      </c>
      <c r="S23" s="81" t="s">
        <v>11876</v>
      </c>
      <c r="U23" s="81" t="str">
        <f>抽選会資料!I14</f>
        <v>四日市南ＳＳＣ</v>
      </c>
      <c r="V23" s="74" t="s">
        <v>18</v>
      </c>
      <c r="W23" s="82"/>
    </row>
    <row r="24" spans="2:28" ht="15.75" customHeight="1" x14ac:dyDescent="0.25">
      <c r="C24" s="83"/>
      <c r="D24" s="567"/>
      <c r="E24" s="570"/>
      <c r="F24" s="569"/>
      <c r="G24" s="83"/>
      <c r="H24" s="84"/>
      <c r="J24" s="83"/>
      <c r="K24" s="567"/>
      <c r="L24" s="570"/>
      <c r="M24" s="569"/>
      <c r="N24" s="83"/>
      <c r="O24" s="84"/>
      <c r="Q24" s="91" t="s">
        <v>270</v>
      </c>
      <c r="R24" s="581"/>
      <c r="S24" s="81" t="s">
        <v>11877</v>
      </c>
      <c r="U24" s="81" t="str">
        <f>抽選会資料!I15</f>
        <v>ＦＣ　ＷＡＹＳ</v>
      </c>
      <c r="V24" s="74" t="s">
        <v>18</v>
      </c>
      <c r="W24" s="82"/>
    </row>
    <row r="25" spans="2:28" ht="15.75" customHeight="1" x14ac:dyDescent="0.25">
      <c r="C25" s="86"/>
      <c r="D25" s="568"/>
      <c r="E25" s="570"/>
      <c r="F25" s="569"/>
      <c r="G25" s="86"/>
      <c r="H25" s="87"/>
      <c r="J25" s="86"/>
      <c r="K25" s="568"/>
      <c r="L25" s="570"/>
      <c r="M25" s="569"/>
      <c r="N25" s="86"/>
      <c r="O25" s="87"/>
      <c r="Q25" s="91" t="s">
        <v>271</v>
      </c>
      <c r="R25" s="581" t="s">
        <v>15</v>
      </c>
      <c r="S25" s="81" t="s">
        <v>11878</v>
      </c>
      <c r="U25" s="81" t="str">
        <f>抽選会資料!I16</f>
        <v>日出サッカースポーツ少年団</v>
      </c>
      <c r="V25" s="74" t="s">
        <v>15</v>
      </c>
      <c r="W25" s="82"/>
    </row>
    <row r="26" spans="2:28" ht="15.75" customHeight="1" x14ac:dyDescent="0.25">
      <c r="B26" s="75" t="s">
        <v>253</v>
      </c>
      <c r="C26" s="571" t="str">
        <f>IF(ISERROR(VLOOKUP(B26,$Q:$S,3,FALSE))=TRUE,"",VLOOKUP(B26,$Q:$S,3,FALSE))</f>
        <v>B2</v>
      </c>
      <c r="D26" s="572"/>
      <c r="E26" s="88"/>
      <c r="F26" s="571" t="str">
        <f>IF(ISERROR(VLOOKUP(H26,$Q:$S,3,FALSE))=TRUE,"",VLOOKUP(H26,$Q:$S,3,FALSE))</f>
        <v>B3</v>
      </c>
      <c r="G26" s="572"/>
      <c r="H26" s="84" t="s">
        <v>256</v>
      </c>
      <c r="I26" s="75" t="s">
        <v>262</v>
      </c>
      <c r="J26" s="571" t="str">
        <f>IF(ISERROR(VLOOKUP(I26,$Q:$S,3,FALSE))=TRUE,"",VLOOKUP(I26,$Q:$S,3,FALSE))</f>
        <v>D2</v>
      </c>
      <c r="K26" s="572"/>
      <c r="L26" s="88"/>
      <c r="M26" s="571" t="str">
        <f>IF(ISERROR(VLOOKUP(O26,$Q:$S,3,FALSE))=TRUE,"",VLOOKUP(O26,$Q:$S,3,FALSE))</f>
        <v>D3</v>
      </c>
      <c r="N26" s="572"/>
      <c r="O26" s="84" t="s">
        <v>267</v>
      </c>
      <c r="Q26" s="91" t="s">
        <v>272</v>
      </c>
      <c r="R26" s="581"/>
      <c r="S26" s="81" t="s">
        <v>11879</v>
      </c>
      <c r="U26" s="81" t="str">
        <f>抽選会資料!I17</f>
        <v>国東ジュニアサッカークラブ</v>
      </c>
      <c r="V26" s="74" t="s">
        <v>15</v>
      </c>
      <c r="W26" s="82"/>
    </row>
    <row r="27" spans="2:28" ht="15.75" customHeight="1" x14ac:dyDescent="0.25">
      <c r="C27" s="573"/>
      <c r="D27" s="574"/>
      <c r="E27" s="87"/>
      <c r="F27" s="573"/>
      <c r="G27" s="574"/>
      <c r="H27" s="84"/>
      <c r="J27" s="573"/>
      <c r="K27" s="574"/>
      <c r="L27" s="87"/>
      <c r="M27" s="573"/>
      <c r="N27" s="574"/>
      <c r="O27" s="84"/>
      <c r="Q27" s="91" t="s">
        <v>260</v>
      </c>
      <c r="R27" s="581" t="s">
        <v>16</v>
      </c>
      <c r="S27" s="81" t="s">
        <v>11880</v>
      </c>
      <c r="U27" s="81" t="str">
        <f>抽選会資料!I18</f>
        <v>朝日ＦＣ</v>
      </c>
      <c r="V27" s="74" t="s">
        <v>16</v>
      </c>
      <c r="W27" s="82"/>
    </row>
    <row r="28" spans="2:28" ht="15.75" customHeight="1" x14ac:dyDescent="0.25">
      <c r="C28" s="83"/>
      <c r="D28" s="83"/>
      <c r="E28" s="86"/>
      <c r="F28" s="86"/>
      <c r="G28" s="83"/>
      <c r="H28" s="83"/>
      <c r="I28" s="89"/>
      <c r="J28" s="83"/>
      <c r="K28" s="83"/>
      <c r="L28" s="86"/>
      <c r="M28" s="86"/>
      <c r="N28" s="83"/>
      <c r="Q28" s="91" t="s">
        <v>265</v>
      </c>
      <c r="R28" s="581"/>
      <c r="S28" s="81" t="s">
        <v>11881</v>
      </c>
      <c r="U28" s="81" t="str">
        <f>抽選会資料!I19</f>
        <v>スマイス・セレソン</v>
      </c>
      <c r="V28" s="74" t="s">
        <v>16</v>
      </c>
      <c r="W28" s="82"/>
    </row>
    <row r="29" spans="2:28" ht="15.75" customHeight="1" x14ac:dyDescent="0.25">
      <c r="C29" s="83"/>
      <c r="D29" s="83"/>
      <c r="E29" s="423" t="s">
        <v>273</v>
      </c>
      <c r="F29" s="79"/>
      <c r="G29" s="83"/>
      <c r="H29" s="90"/>
      <c r="I29" s="89"/>
      <c r="L29" s="423" t="s">
        <v>274</v>
      </c>
      <c r="M29" s="79"/>
      <c r="Q29" s="91" t="s">
        <v>266</v>
      </c>
      <c r="R29" s="452" t="s">
        <v>17</v>
      </c>
      <c r="S29" s="81" t="s">
        <v>11882</v>
      </c>
      <c r="U29" s="81" t="str">
        <f>抽選会資料!I20</f>
        <v>ＦＣアリアーレ</v>
      </c>
      <c r="V29" s="74" t="s">
        <v>17</v>
      </c>
      <c r="W29" s="82"/>
    </row>
    <row r="30" spans="2:28" ht="15.75" customHeight="1" x14ac:dyDescent="0.25">
      <c r="D30" s="75" t="s">
        <v>270</v>
      </c>
      <c r="E30" s="579" t="str">
        <f>IF(ISERROR(VLOOKUP(D30,$Q:$S,3,FALSE))=TRUE,"",VLOOKUP(D30,$Q:$S,3,FALSE))</f>
        <v>F1</v>
      </c>
      <c r="F30" s="83"/>
      <c r="G30" s="564"/>
      <c r="H30" s="84"/>
      <c r="K30" s="75" t="s">
        <v>275</v>
      </c>
      <c r="L30" s="579" t="str">
        <f>IF(ISERROR(VLOOKUP(K30,$Q:$S,3,FALSE))=TRUE,"",VLOOKUP(K30,$Q:$S,3,FALSE))</f>
        <v>H1</v>
      </c>
      <c r="M30" s="83"/>
      <c r="N30" s="564"/>
      <c r="O30" s="84"/>
      <c r="Q30" s="91" t="s">
        <v>275</v>
      </c>
      <c r="R30" s="92" t="s">
        <v>19</v>
      </c>
      <c r="S30" s="81" t="s">
        <v>11883</v>
      </c>
      <c r="U30" s="81" t="str">
        <f>抽選会資料!I21</f>
        <v>鶴岡Ｓ―ｐｌａｙ・ＭＩＮＡＭＩ</v>
      </c>
      <c r="V30" s="74" t="s">
        <v>19</v>
      </c>
      <c r="W30" s="82"/>
      <c r="AA30" s="93"/>
    </row>
    <row r="31" spans="2:28" ht="15.75" customHeight="1" x14ac:dyDescent="0.25">
      <c r="D31" s="567"/>
      <c r="E31" s="580"/>
      <c r="F31" s="569"/>
      <c r="G31" s="564"/>
      <c r="H31" s="84"/>
      <c r="K31" s="567"/>
      <c r="L31" s="580"/>
      <c r="M31" s="569"/>
      <c r="N31" s="564"/>
      <c r="O31" s="84"/>
      <c r="Q31" s="91" t="s">
        <v>276</v>
      </c>
      <c r="R31" s="92" t="s">
        <v>20</v>
      </c>
      <c r="S31" s="81" t="s">
        <v>11884</v>
      </c>
      <c r="U31" s="81" t="str">
        <f>抽選会資料!I22</f>
        <v>ＦＣ大野</v>
      </c>
      <c r="V31" s="74" t="s">
        <v>20</v>
      </c>
      <c r="W31" s="82"/>
    </row>
    <row r="32" spans="2:28" ht="15.75" customHeight="1" x14ac:dyDescent="0.25">
      <c r="C32" s="83"/>
      <c r="D32" s="567"/>
      <c r="E32" s="570"/>
      <c r="F32" s="569"/>
      <c r="G32" s="83"/>
      <c r="H32" s="84"/>
      <c r="J32" s="83"/>
      <c r="K32" s="567"/>
      <c r="L32" s="570"/>
      <c r="M32" s="569"/>
      <c r="N32" s="83"/>
      <c r="O32" s="84"/>
      <c r="Q32" s="91" t="s">
        <v>277</v>
      </c>
      <c r="R32" s="92" t="s">
        <v>21</v>
      </c>
      <c r="S32" s="81" t="s">
        <v>11885</v>
      </c>
      <c r="U32" s="81" t="str">
        <f>抽選会資料!I23</f>
        <v>野津ＦＣ</v>
      </c>
      <c r="V32" s="74" t="s">
        <v>21</v>
      </c>
      <c r="W32" s="82"/>
      <c r="AB32" s="94"/>
    </row>
    <row r="33" spans="2:23" ht="15.75" customHeight="1" x14ac:dyDescent="0.25">
      <c r="C33" s="86"/>
      <c r="D33" s="568"/>
      <c r="E33" s="570"/>
      <c r="F33" s="569"/>
      <c r="G33" s="86"/>
      <c r="H33" s="87"/>
      <c r="J33" s="86"/>
      <c r="K33" s="568"/>
      <c r="L33" s="570"/>
      <c r="M33" s="569"/>
      <c r="N33" s="86"/>
      <c r="O33" s="87"/>
      <c r="Q33" s="2"/>
      <c r="R33" s="1"/>
      <c r="S33" s="82"/>
      <c r="U33" s="82"/>
    </row>
    <row r="34" spans="2:23" ht="15.75" customHeight="1" x14ac:dyDescent="0.25">
      <c r="B34" s="75" t="s">
        <v>271</v>
      </c>
      <c r="C34" s="571" t="str">
        <f>IF(ISERROR(VLOOKUP(B34,$Q:$S,3,FALSE))=TRUE,"",VLOOKUP(B34,$Q:$S,3,FALSE))</f>
        <v>F2</v>
      </c>
      <c r="D34" s="572"/>
      <c r="E34" s="88"/>
      <c r="F34" s="571" t="str">
        <f>IF(ISERROR(VLOOKUP(H34,$Q:$S,3,FALSE))=TRUE,"",VLOOKUP(H34,$Q:$S,3,FALSE))</f>
        <v>F3</v>
      </c>
      <c r="G34" s="572"/>
      <c r="H34" s="84" t="s">
        <v>272</v>
      </c>
      <c r="I34" s="75" t="s">
        <v>276</v>
      </c>
      <c r="J34" s="571" t="str">
        <f>IF(ISERROR(VLOOKUP(I34,$Q:$S,3,FALSE))=TRUE,"",VLOOKUP(I34,$Q:$S,3,FALSE))</f>
        <v>H2</v>
      </c>
      <c r="K34" s="572"/>
      <c r="L34" s="88"/>
      <c r="M34" s="571" t="str">
        <f>IF(ISERROR(VLOOKUP(O34,$Q:$S,3,FALSE))=TRUE,"",VLOOKUP(O34,$Q:$S,3,FALSE))</f>
        <v>H3</v>
      </c>
      <c r="N34" s="572"/>
      <c r="O34" s="84" t="s">
        <v>277</v>
      </c>
      <c r="Q34" s="2"/>
      <c r="U34" s="82"/>
    </row>
    <row r="35" spans="2:23" ht="15.75" customHeight="1" x14ac:dyDescent="0.25">
      <c r="C35" s="573"/>
      <c r="D35" s="574"/>
      <c r="E35" s="87"/>
      <c r="F35" s="573"/>
      <c r="G35" s="574"/>
      <c r="H35" s="84"/>
      <c r="J35" s="573"/>
      <c r="K35" s="574"/>
      <c r="L35" s="87"/>
      <c r="M35" s="573"/>
      <c r="N35" s="574"/>
      <c r="O35" s="84"/>
    </row>
    <row r="36" spans="2:23" ht="15.75" customHeight="1" x14ac:dyDescent="0.25"/>
    <row r="40" spans="2:23" hidden="1" x14ac:dyDescent="0.25">
      <c r="Q40" s="95"/>
      <c r="R40" s="96"/>
      <c r="S40" s="97"/>
      <c r="T40" s="98"/>
      <c r="U40" s="97"/>
      <c r="V40" s="98"/>
      <c r="W40" s="98"/>
    </row>
    <row r="41" spans="2:23" hidden="1" x14ac:dyDescent="0.25">
      <c r="Q41" s="99"/>
      <c r="R41" s="96" t="s">
        <v>278</v>
      </c>
      <c r="S41" s="100"/>
      <c r="T41" s="98"/>
      <c r="U41" s="100"/>
      <c r="V41" s="98"/>
      <c r="W41" s="98"/>
    </row>
    <row r="42" spans="2:23" hidden="1" x14ac:dyDescent="0.25">
      <c r="Q42" s="99"/>
      <c r="R42" s="96" t="s">
        <v>279</v>
      </c>
      <c r="S42" s="100"/>
      <c r="T42" s="98"/>
      <c r="U42" s="100"/>
      <c r="V42" s="98"/>
      <c r="W42" s="98"/>
    </row>
    <row r="43" spans="2:23" hidden="1" x14ac:dyDescent="0.25">
      <c r="Q43" s="99"/>
      <c r="R43" s="101" t="s">
        <v>280</v>
      </c>
      <c r="S43" s="100"/>
      <c r="T43" s="98"/>
      <c r="U43" s="100"/>
      <c r="V43" s="98"/>
      <c r="W43" s="98"/>
    </row>
    <row r="44" spans="2:23" hidden="1" x14ac:dyDescent="0.25">
      <c r="Q44" s="102"/>
      <c r="R44" s="96" t="s">
        <v>281</v>
      </c>
      <c r="S44" s="100"/>
      <c r="T44" s="98"/>
      <c r="U44" s="100"/>
      <c r="V44" s="98"/>
      <c r="W44" s="98"/>
    </row>
    <row r="45" spans="2:23" hidden="1" x14ac:dyDescent="0.25">
      <c r="Q45" s="99"/>
      <c r="R45" s="103" t="s">
        <v>282</v>
      </c>
      <c r="S45" s="100"/>
      <c r="T45" s="98"/>
      <c r="U45" s="100"/>
      <c r="V45" s="98"/>
      <c r="W45" s="98"/>
    </row>
    <row r="46" spans="2:23" hidden="1" x14ac:dyDescent="0.25">
      <c r="Q46" s="99"/>
      <c r="R46" s="102"/>
      <c r="S46" s="100"/>
      <c r="T46" s="98"/>
      <c r="U46" s="100"/>
      <c r="V46" s="98"/>
      <c r="W46" s="98"/>
    </row>
  </sheetData>
  <mergeCells count="63">
    <mergeCell ref="C34:D35"/>
    <mergeCell ref="F34:G35"/>
    <mergeCell ref="J34:K35"/>
    <mergeCell ref="M34:N35"/>
    <mergeCell ref="E30:E31"/>
    <mergeCell ref="G30:G31"/>
    <mergeCell ref="L30:L31"/>
    <mergeCell ref="N30:N31"/>
    <mergeCell ref="D31:D33"/>
    <mergeCell ref="F31:F33"/>
    <mergeCell ref="K31:K33"/>
    <mergeCell ref="M31:M33"/>
    <mergeCell ref="E32:E33"/>
    <mergeCell ref="L32:L33"/>
    <mergeCell ref="R25:R26"/>
    <mergeCell ref="E24:E25"/>
    <mergeCell ref="L24:L25"/>
    <mergeCell ref="R27:R28"/>
    <mergeCell ref="C26:D27"/>
    <mergeCell ref="F26:G27"/>
    <mergeCell ref="J26:K27"/>
    <mergeCell ref="M26:N27"/>
    <mergeCell ref="R23:R24"/>
    <mergeCell ref="C17:D18"/>
    <mergeCell ref="F17:G18"/>
    <mergeCell ref="J17:K18"/>
    <mergeCell ref="M17:N18"/>
    <mergeCell ref="E22:E23"/>
    <mergeCell ref="G22:G23"/>
    <mergeCell ref="L22:L23"/>
    <mergeCell ref="N22:N23"/>
    <mergeCell ref="D23:D25"/>
    <mergeCell ref="F23:F25"/>
    <mergeCell ref="K23:K25"/>
    <mergeCell ref="M23:M25"/>
    <mergeCell ref="D14:D16"/>
    <mergeCell ref="F14:F16"/>
    <mergeCell ref="K14:K16"/>
    <mergeCell ref="M14:M16"/>
    <mergeCell ref="E15:E16"/>
    <mergeCell ref="L15:L16"/>
    <mergeCell ref="J9:K10"/>
    <mergeCell ref="M9:N10"/>
    <mergeCell ref="E13:E14"/>
    <mergeCell ref="G13:G14"/>
    <mergeCell ref="L13:L14"/>
    <mergeCell ref="N13:N14"/>
    <mergeCell ref="R20:R22"/>
    <mergeCell ref="B2:L2"/>
    <mergeCell ref="M2:O2"/>
    <mergeCell ref="R4:R14"/>
    <mergeCell ref="E5:E6"/>
    <mergeCell ref="G5:G6"/>
    <mergeCell ref="L5:L6"/>
    <mergeCell ref="N5:N6"/>
    <mergeCell ref="D6:D8"/>
    <mergeCell ref="F6:F8"/>
    <mergeCell ref="K6:K8"/>
    <mergeCell ref="M6:M8"/>
    <mergeCell ref="E7:E8"/>
    <mergeCell ref="L7:L8"/>
    <mergeCell ref="C9:D10"/>
    <mergeCell ref="F9:G10"/>
  </mergeCells>
  <phoneticPr fontId="77"/>
  <pageMargins left="0.39370078740157477" right="0.39370078740157477" top="0.39370078740157477" bottom="0.39370078740157477" header="0.51181102362204722" footer="0.51181102362204722"/>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pageSetUpPr fitToPage="1"/>
  </sheetPr>
  <dimension ref="A1:AC34"/>
  <sheetViews>
    <sheetView showGridLines="0" view="pageBreakPreview" zoomScale="70" zoomScaleSheetLayoutView="70" workbookViewId="0">
      <selection activeCell="A2" sqref="A2"/>
    </sheetView>
  </sheetViews>
  <sheetFormatPr defaultColWidth="9" defaultRowHeight="24.75" customHeight="1" x14ac:dyDescent="0.15"/>
  <cols>
    <col min="1" max="1" width="3.625" style="5" customWidth="1"/>
    <col min="2" max="2" width="9.875" style="5" bestFit="1" customWidth="1"/>
    <col min="3" max="3" width="10.125" style="5" customWidth="1"/>
    <col min="4" max="4" width="10.625" style="5" customWidth="1"/>
    <col min="5" max="6" width="10.125" style="5" customWidth="1"/>
    <col min="7" max="7" width="10.625" style="5" customWidth="1"/>
    <col min="8" max="9" width="10.125" style="5" customWidth="1"/>
    <col min="10" max="10" width="10.625" style="5" customWidth="1"/>
    <col min="11" max="12" width="10.125" style="5" customWidth="1"/>
    <col min="13" max="13" width="10.625" style="5" customWidth="1"/>
    <col min="14" max="14" width="10.125" style="5" customWidth="1"/>
    <col min="15" max="17" width="6.875" style="5" customWidth="1"/>
    <col min="18" max="18" width="10.5" style="5" bestFit="1" customWidth="1"/>
    <col min="19" max="26" width="6.875" style="5" customWidth="1"/>
    <col min="27" max="16384" width="9" style="5"/>
  </cols>
  <sheetData>
    <row r="1" spans="2:29" ht="39.75" customHeight="1" x14ac:dyDescent="0.15">
      <c r="B1" s="612" t="s">
        <v>283</v>
      </c>
      <c r="C1" s="612"/>
      <c r="D1" s="612"/>
      <c r="E1" s="612"/>
      <c r="F1" s="104" t="s">
        <v>11886</v>
      </c>
    </row>
    <row r="2" spans="2:29" ht="39.75" customHeight="1" x14ac:dyDescent="0.15">
      <c r="C2" s="105" t="s">
        <v>284</v>
      </c>
      <c r="D2" s="613" t="s">
        <v>285</v>
      </c>
      <c r="E2" s="613"/>
      <c r="F2" s="613"/>
      <c r="G2" s="613"/>
      <c r="H2" s="106" t="s">
        <v>286</v>
      </c>
      <c r="I2" s="614" t="str">
        <f>CONCATENATE("開会式(選手宣誓：",組合せ抽選用!E5,")")</f>
        <v>開会式(選手宣誓：A1)</v>
      </c>
      <c r="J2" s="614"/>
      <c r="K2" s="614"/>
      <c r="L2" s="614"/>
      <c r="M2" s="614"/>
      <c r="N2" s="614"/>
      <c r="P2" s="107"/>
      <c r="Q2" s="108"/>
      <c r="R2" s="108"/>
      <c r="S2" s="108"/>
      <c r="T2" s="108"/>
      <c r="U2" s="109"/>
      <c r="V2" s="110"/>
      <c r="W2" s="110"/>
      <c r="X2" s="110"/>
      <c r="Y2" s="110"/>
      <c r="Z2" s="110"/>
      <c r="AA2" s="110"/>
    </row>
    <row r="3" spans="2:29" ht="39.75" customHeight="1" x14ac:dyDescent="0.15">
      <c r="C3" s="107" t="s">
        <v>287</v>
      </c>
      <c r="D3" s="111" t="s">
        <v>288</v>
      </c>
      <c r="J3" s="112" t="s">
        <v>289</v>
      </c>
      <c r="K3" s="113" t="s">
        <v>290</v>
      </c>
      <c r="L3" s="114"/>
      <c r="M3" s="114"/>
      <c r="N3" s="114"/>
      <c r="AA3" s="115"/>
      <c r="AB3" s="115"/>
      <c r="AC3" s="115"/>
    </row>
    <row r="4" spans="2:29" s="116" customFormat="1" ht="45" customHeight="1" x14ac:dyDescent="0.15">
      <c r="C4" s="117"/>
      <c r="D4" s="118" t="s">
        <v>246</v>
      </c>
      <c r="E4" s="119"/>
      <c r="F4" s="120"/>
      <c r="G4" s="118" t="s">
        <v>268</v>
      </c>
      <c r="H4" s="119"/>
      <c r="I4" s="117"/>
      <c r="J4" s="118" t="s">
        <v>257</v>
      </c>
      <c r="K4" s="119"/>
      <c r="L4" s="121"/>
      <c r="M4" s="118" t="s">
        <v>273</v>
      </c>
      <c r="N4" s="122"/>
    </row>
    <row r="5" spans="2:29" s="123" customFormat="1" ht="45" customHeight="1" x14ac:dyDescent="0.15">
      <c r="C5" s="124"/>
      <c r="D5" s="427" t="str">
        <f>組合せ抽選用!E5</f>
        <v>A1</v>
      </c>
      <c r="E5" s="126"/>
      <c r="F5" s="124"/>
      <c r="G5" s="125" t="str">
        <f>組合せ抽選用!E22</f>
        <v>B1</v>
      </c>
      <c r="H5" s="126"/>
      <c r="I5" s="124"/>
      <c r="J5" s="125" t="str">
        <f>組合せ抽選用!E13</f>
        <v>E1</v>
      </c>
      <c r="K5" s="126"/>
      <c r="L5" s="124"/>
      <c r="M5" s="125" t="str">
        <f>組合せ抽選用!E30</f>
        <v>F1</v>
      </c>
      <c r="N5" s="126"/>
    </row>
    <row r="6" spans="2:29" s="123" customFormat="1" ht="45" customHeight="1" x14ac:dyDescent="0.15">
      <c r="C6" s="127"/>
      <c r="E6" s="126"/>
      <c r="F6" s="127"/>
      <c r="H6" s="126"/>
      <c r="I6" s="127"/>
      <c r="K6" s="126"/>
      <c r="L6" s="127"/>
      <c r="N6" s="126"/>
    </row>
    <row r="7" spans="2:29" s="123" customFormat="1" ht="45" customHeight="1" x14ac:dyDescent="0.15">
      <c r="C7" s="128" t="str">
        <f>組合せ抽選用!C9</f>
        <v>A2</v>
      </c>
      <c r="D7" s="129"/>
      <c r="E7" s="130" t="str">
        <f>組合せ抽選用!F9</f>
        <v>A3</v>
      </c>
      <c r="F7" s="128" t="str">
        <f>組合せ抽選用!C26</f>
        <v>B2</v>
      </c>
      <c r="G7" s="129"/>
      <c r="H7" s="130" t="str">
        <f>組合せ抽選用!F26</f>
        <v>B3</v>
      </c>
      <c r="I7" s="128" t="str">
        <f>組合せ抽選用!C17</f>
        <v>E2</v>
      </c>
      <c r="J7" s="129"/>
      <c r="K7" s="130" t="str">
        <f>組合せ抽選用!F17</f>
        <v>E3</v>
      </c>
      <c r="L7" s="128" t="str">
        <f>組合せ抽選用!C34</f>
        <v>F2</v>
      </c>
      <c r="M7" s="129"/>
      <c r="N7" s="130" t="str">
        <f>組合せ抽選用!F34</f>
        <v>F3</v>
      </c>
    </row>
    <row r="8" spans="2:29" ht="45" customHeight="1" x14ac:dyDescent="0.15"/>
    <row r="9" spans="2:29" s="116" customFormat="1" ht="45" customHeight="1" x14ac:dyDescent="0.15">
      <c r="C9" s="117"/>
      <c r="D9" s="118" t="s">
        <v>247</v>
      </c>
      <c r="E9" s="119"/>
      <c r="F9" s="120"/>
      <c r="G9" s="118" t="s">
        <v>269</v>
      </c>
      <c r="H9" s="119"/>
      <c r="I9" s="117"/>
      <c r="J9" s="118" t="s">
        <v>258</v>
      </c>
      <c r="K9" s="119"/>
      <c r="L9" s="121"/>
      <c r="M9" s="118" t="s">
        <v>274</v>
      </c>
      <c r="N9" s="122"/>
    </row>
    <row r="10" spans="2:29" s="123" customFormat="1" ht="45" customHeight="1" x14ac:dyDescent="0.15">
      <c r="C10" s="124"/>
      <c r="D10" s="125" t="str">
        <f>組合せ抽選用!L5</f>
        <v>C1</v>
      </c>
      <c r="E10" s="126"/>
      <c r="F10" s="124"/>
      <c r="G10" s="125" t="str">
        <f>組合せ抽選用!L22</f>
        <v>D1</v>
      </c>
      <c r="H10" s="126"/>
      <c r="I10" s="124"/>
      <c r="J10" s="125" t="str">
        <f>組合せ抽選用!L13</f>
        <v>G1</v>
      </c>
      <c r="K10" s="126"/>
      <c r="L10" s="124"/>
      <c r="M10" s="125" t="str">
        <f>組合せ抽選用!L30</f>
        <v>H1</v>
      </c>
      <c r="N10" s="126"/>
    </row>
    <row r="11" spans="2:29" s="123" customFormat="1" ht="45" customHeight="1" x14ac:dyDescent="0.15">
      <c r="C11" s="127"/>
      <c r="E11" s="126"/>
      <c r="F11" s="127"/>
      <c r="H11" s="126"/>
      <c r="I11" s="127"/>
      <c r="K11" s="126"/>
      <c r="L11" s="127"/>
      <c r="N11" s="126"/>
    </row>
    <row r="12" spans="2:29" s="123" customFormat="1" ht="45" customHeight="1" x14ac:dyDescent="0.15">
      <c r="C12" s="128" t="str">
        <f>組合せ抽選用!J9</f>
        <v>C2</v>
      </c>
      <c r="D12" s="129"/>
      <c r="E12" s="130" t="str">
        <f>組合せ抽選用!M9</f>
        <v>C3</v>
      </c>
      <c r="F12" s="128" t="str">
        <f>組合せ抽選用!J26</f>
        <v>D2</v>
      </c>
      <c r="G12" s="129"/>
      <c r="H12" s="130" t="str">
        <f>組合せ抽選用!M26</f>
        <v>D3</v>
      </c>
      <c r="I12" s="128" t="str">
        <f>組合せ抽選用!J17</f>
        <v>G2</v>
      </c>
      <c r="J12" s="129"/>
      <c r="K12" s="130" t="str">
        <f>組合せ抽選用!M17</f>
        <v>G3</v>
      </c>
      <c r="L12" s="128" t="str">
        <f>組合せ抽選用!J34</f>
        <v>H2</v>
      </c>
      <c r="M12" s="129"/>
      <c r="N12" s="130" t="str">
        <f>組合せ抽選用!M34</f>
        <v>H3</v>
      </c>
    </row>
    <row r="13" spans="2:29" s="123" customFormat="1" ht="45" customHeight="1" x14ac:dyDescent="0.15">
      <c r="C13" s="129"/>
      <c r="D13" s="129"/>
      <c r="E13" s="129"/>
      <c r="F13" s="129"/>
      <c r="G13" s="129"/>
      <c r="H13" s="129"/>
      <c r="I13" s="129"/>
      <c r="J13" s="129"/>
      <c r="K13" s="129"/>
      <c r="L13" s="129"/>
      <c r="M13" s="129"/>
      <c r="N13" s="129"/>
    </row>
    <row r="14" spans="2:29" ht="45" customHeight="1" x14ac:dyDescent="0.15">
      <c r="C14" s="615" t="s">
        <v>11858</v>
      </c>
      <c r="D14" s="616"/>
      <c r="E14" s="616"/>
      <c r="F14" s="616"/>
      <c r="G14" s="616"/>
      <c r="H14" s="617"/>
      <c r="I14" s="615" t="s">
        <v>11860</v>
      </c>
      <c r="J14" s="616"/>
      <c r="K14" s="616"/>
      <c r="L14" s="616"/>
      <c r="M14" s="616"/>
      <c r="N14" s="617"/>
    </row>
    <row r="15" spans="2:29" ht="45" customHeight="1" x14ac:dyDescent="0.15">
      <c r="B15" s="131" t="s">
        <v>291</v>
      </c>
      <c r="C15" s="618" t="s">
        <v>292</v>
      </c>
      <c r="D15" s="619"/>
      <c r="E15" s="620"/>
      <c r="F15" s="621" t="s">
        <v>293</v>
      </c>
      <c r="G15" s="622"/>
      <c r="H15" s="623"/>
      <c r="I15" s="618" t="s">
        <v>11855</v>
      </c>
      <c r="J15" s="619"/>
      <c r="K15" s="620"/>
      <c r="L15" s="621" t="s">
        <v>11856</v>
      </c>
      <c r="M15" s="622"/>
      <c r="N15" s="623"/>
    </row>
    <row r="16" spans="2:29" ht="45" customHeight="1" x14ac:dyDescent="0.15">
      <c r="B16" s="132" t="s">
        <v>294</v>
      </c>
      <c r="C16" s="434"/>
      <c r="D16" s="435"/>
      <c r="E16" s="436"/>
      <c r="F16" s="434"/>
      <c r="G16" s="435"/>
      <c r="H16" s="436"/>
      <c r="I16" s="434"/>
      <c r="J16" s="435"/>
      <c r="K16" s="436"/>
      <c r="L16" s="434"/>
      <c r="M16" s="435"/>
      <c r="N16" s="436"/>
    </row>
    <row r="17" spans="1:26" ht="45" hidden="1" customHeight="1" x14ac:dyDescent="0.15">
      <c r="B17" s="132" t="s">
        <v>295</v>
      </c>
      <c r="C17" s="604"/>
      <c r="D17" s="605"/>
      <c r="E17" s="605"/>
      <c r="F17" s="606"/>
      <c r="G17" s="607"/>
      <c r="H17" s="608"/>
      <c r="I17" s="606"/>
      <c r="J17" s="607"/>
      <c r="K17" s="608"/>
      <c r="L17" s="606"/>
      <c r="M17" s="607"/>
      <c r="N17" s="608"/>
    </row>
    <row r="18" spans="1:26" ht="45" customHeight="1" x14ac:dyDescent="0.15">
      <c r="B18" s="132" t="s">
        <v>296</v>
      </c>
      <c r="C18" s="437"/>
      <c r="D18" s="438" t="s">
        <v>297</v>
      </c>
      <c r="E18" s="439"/>
      <c r="F18" s="437"/>
      <c r="G18" s="438" t="s">
        <v>297</v>
      </c>
      <c r="H18" s="439"/>
      <c r="I18" s="440"/>
      <c r="J18" s="438" t="s">
        <v>297</v>
      </c>
      <c r="K18" s="439"/>
      <c r="L18" s="440"/>
      <c r="M18" s="438" t="s">
        <v>297</v>
      </c>
      <c r="N18" s="439"/>
    </row>
    <row r="19" spans="1:26" ht="22.5" customHeight="1" x14ac:dyDescent="0.15">
      <c r="A19" s="589" t="s">
        <v>53</v>
      </c>
      <c r="B19" s="590">
        <v>0.4375</v>
      </c>
      <c r="C19" s="609" t="str">
        <f>D5</f>
        <v>A1</v>
      </c>
      <c r="D19" s="610" t="str">
        <f>E7</f>
        <v>A3</v>
      </c>
      <c r="E19" s="611" t="str">
        <f>C7</f>
        <v>A2</v>
      </c>
      <c r="F19" s="609" t="str">
        <f>G5</f>
        <v>B1</v>
      </c>
      <c r="G19" s="610" t="str">
        <f>H7</f>
        <v>B3</v>
      </c>
      <c r="H19" s="611" t="str">
        <f>F7</f>
        <v>B2</v>
      </c>
      <c r="I19" s="609" t="str">
        <f>J5</f>
        <v>E1</v>
      </c>
      <c r="J19" s="610" t="str">
        <f>K7</f>
        <v>E3</v>
      </c>
      <c r="K19" s="611" t="str">
        <f>I7</f>
        <v>E2</v>
      </c>
      <c r="L19" s="609" t="str">
        <f>M5</f>
        <v>F1</v>
      </c>
      <c r="M19" s="610" t="str">
        <f>N7</f>
        <v>F3</v>
      </c>
      <c r="N19" s="611" t="str">
        <f>L7</f>
        <v>F2</v>
      </c>
      <c r="R19" s="588"/>
    </row>
    <row r="20" spans="1:26" ht="22.5" customHeight="1" x14ac:dyDescent="0.15">
      <c r="A20" s="589"/>
      <c r="B20" s="591"/>
      <c r="C20" s="594"/>
      <c r="D20" s="592"/>
      <c r="E20" s="593"/>
      <c r="F20" s="594"/>
      <c r="G20" s="592"/>
      <c r="H20" s="593"/>
      <c r="I20" s="594"/>
      <c r="J20" s="592"/>
      <c r="K20" s="593"/>
      <c r="L20" s="594"/>
      <c r="M20" s="592"/>
      <c r="N20" s="593"/>
      <c r="R20" s="588"/>
    </row>
    <row r="21" spans="1:26" ht="22.5" customHeight="1" x14ac:dyDescent="0.15">
      <c r="A21" s="589" t="s">
        <v>54</v>
      </c>
      <c r="B21" s="590">
        <v>0.47222222222222227</v>
      </c>
      <c r="C21" s="586" t="str">
        <f>D10</f>
        <v>C1</v>
      </c>
      <c r="D21" s="582" t="str">
        <f>E12</f>
        <v>C3</v>
      </c>
      <c r="E21" s="584" t="str">
        <f>C12</f>
        <v>C2</v>
      </c>
      <c r="F21" s="586" t="str">
        <f>G10</f>
        <v>D1</v>
      </c>
      <c r="G21" s="582" t="str">
        <f>H12</f>
        <v>D3</v>
      </c>
      <c r="H21" s="584" t="str">
        <f>F12</f>
        <v>D2</v>
      </c>
      <c r="I21" s="586" t="str">
        <f>J10</f>
        <v>G1</v>
      </c>
      <c r="J21" s="582" t="str">
        <f>K12</f>
        <v>G3</v>
      </c>
      <c r="K21" s="584" t="str">
        <f>I12</f>
        <v>G2</v>
      </c>
      <c r="L21" s="586" t="str">
        <f>M10</f>
        <v>H1</v>
      </c>
      <c r="M21" s="582" t="str">
        <f>N12</f>
        <v>H3</v>
      </c>
      <c r="N21" s="584" t="str">
        <f>L12</f>
        <v>H2</v>
      </c>
      <c r="R21" s="588"/>
    </row>
    <row r="22" spans="1:26" ht="22.5" customHeight="1" x14ac:dyDescent="0.15">
      <c r="A22" s="589"/>
      <c r="B22" s="591"/>
      <c r="C22" s="594"/>
      <c r="D22" s="592"/>
      <c r="E22" s="593"/>
      <c r="F22" s="594"/>
      <c r="G22" s="592"/>
      <c r="H22" s="593"/>
      <c r="I22" s="594"/>
      <c r="J22" s="592"/>
      <c r="K22" s="593"/>
      <c r="L22" s="594"/>
      <c r="M22" s="592"/>
      <c r="N22" s="593"/>
      <c r="O22" s="134"/>
      <c r="R22" s="588"/>
    </row>
    <row r="23" spans="1:26" ht="22.5" customHeight="1" x14ac:dyDescent="0.15">
      <c r="A23" s="589" t="s">
        <v>56</v>
      </c>
      <c r="B23" s="590">
        <v>0.50694444444444442</v>
      </c>
      <c r="C23" s="586" t="str">
        <f>C7</f>
        <v>A2</v>
      </c>
      <c r="D23" s="582" t="str">
        <f>D5</f>
        <v>A1</v>
      </c>
      <c r="E23" s="584" t="str">
        <f>E7</f>
        <v>A3</v>
      </c>
      <c r="F23" s="586" t="str">
        <f>F7</f>
        <v>B2</v>
      </c>
      <c r="G23" s="582" t="str">
        <f>G5</f>
        <v>B1</v>
      </c>
      <c r="H23" s="584" t="str">
        <f>H7</f>
        <v>B3</v>
      </c>
      <c r="I23" s="586" t="str">
        <f>I7</f>
        <v>E2</v>
      </c>
      <c r="J23" s="582" t="str">
        <f>J5</f>
        <v>E1</v>
      </c>
      <c r="K23" s="584" t="str">
        <f>K7</f>
        <v>E3</v>
      </c>
      <c r="L23" s="586" t="str">
        <f>L7</f>
        <v>F2</v>
      </c>
      <c r="M23" s="582" t="str">
        <f>M5</f>
        <v>F1</v>
      </c>
      <c r="N23" s="584" t="str">
        <f>N7</f>
        <v>F3</v>
      </c>
      <c r="O23" s="134"/>
      <c r="R23" s="588"/>
    </row>
    <row r="24" spans="1:26" ht="22.5" customHeight="1" x14ac:dyDescent="0.15">
      <c r="A24" s="589"/>
      <c r="B24" s="591"/>
      <c r="C24" s="594"/>
      <c r="D24" s="592"/>
      <c r="E24" s="593"/>
      <c r="F24" s="594"/>
      <c r="G24" s="592"/>
      <c r="H24" s="593"/>
      <c r="I24" s="594"/>
      <c r="J24" s="592"/>
      <c r="K24" s="593"/>
      <c r="L24" s="594"/>
      <c r="M24" s="592"/>
      <c r="N24" s="593"/>
      <c r="R24" s="588"/>
    </row>
    <row r="25" spans="1:26" ht="22.5" hidden="1" customHeight="1" x14ac:dyDescent="0.15">
      <c r="A25" s="595"/>
      <c r="B25" s="596"/>
      <c r="C25" s="598" t="s">
        <v>298</v>
      </c>
      <c r="D25" s="599"/>
      <c r="E25" s="599"/>
      <c r="F25" s="599"/>
      <c r="G25" s="599"/>
      <c r="H25" s="599"/>
      <c r="I25" s="599"/>
      <c r="J25" s="599"/>
      <c r="K25" s="599"/>
      <c r="L25" s="599"/>
      <c r="M25" s="599"/>
      <c r="N25" s="600"/>
      <c r="R25" s="588"/>
    </row>
    <row r="26" spans="1:26" ht="22.5" hidden="1" customHeight="1" x14ac:dyDescent="0.15">
      <c r="A26" s="595"/>
      <c r="B26" s="597"/>
      <c r="C26" s="601"/>
      <c r="D26" s="602"/>
      <c r="E26" s="602"/>
      <c r="F26" s="602"/>
      <c r="G26" s="602"/>
      <c r="H26" s="602"/>
      <c r="I26" s="602"/>
      <c r="J26" s="602"/>
      <c r="K26" s="602"/>
      <c r="L26" s="602"/>
      <c r="M26" s="602"/>
      <c r="N26" s="603"/>
      <c r="R26" s="588"/>
    </row>
    <row r="27" spans="1:26" ht="22.5" customHeight="1" x14ac:dyDescent="0.15">
      <c r="A27" s="589" t="s">
        <v>58</v>
      </c>
      <c r="B27" s="590">
        <v>0.54166666666666663</v>
      </c>
      <c r="C27" s="586" t="str">
        <f>C12</f>
        <v>C2</v>
      </c>
      <c r="D27" s="582" t="str">
        <f>D10</f>
        <v>C1</v>
      </c>
      <c r="E27" s="584" t="str">
        <f>E12</f>
        <v>C3</v>
      </c>
      <c r="F27" s="586" t="str">
        <f>F12</f>
        <v>D2</v>
      </c>
      <c r="G27" s="582" t="str">
        <f>G10</f>
        <v>D1</v>
      </c>
      <c r="H27" s="584" t="str">
        <f>H12</f>
        <v>D3</v>
      </c>
      <c r="I27" s="586" t="str">
        <f>I12</f>
        <v>G2</v>
      </c>
      <c r="J27" s="582" t="str">
        <f>J10</f>
        <v>G1</v>
      </c>
      <c r="K27" s="584" t="str">
        <f>K12</f>
        <v>G3</v>
      </c>
      <c r="L27" s="586" t="str">
        <f>L12</f>
        <v>H2</v>
      </c>
      <c r="M27" s="582" t="str">
        <f>M10</f>
        <v>H1</v>
      </c>
      <c r="N27" s="584" t="str">
        <f>N12</f>
        <v>H3</v>
      </c>
      <c r="O27" s="134"/>
      <c r="R27" s="588"/>
    </row>
    <row r="28" spans="1:26" ht="22.5" customHeight="1" x14ac:dyDescent="0.15">
      <c r="A28" s="589"/>
      <c r="B28" s="591"/>
      <c r="C28" s="594"/>
      <c r="D28" s="592"/>
      <c r="E28" s="593"/>
      <c r="F28" s="594"/>
      <c r="G28" s="592"/>
      <c r="H28" s="593"/>
      <c r="I28" s="594"/>
      <c r="J28" s="592"/>
      <c r="K28" s="593"/>
      <c r="L28" s="594"/>
      <c r="M28" s="592"/>
      <c r="N28" s="593"/>
      <c r="O28" s="134"/>
      <c r="R28" s="588"/>
    </row>
    <row r="29" spans="1:26" ht="22.5" customHeight="1" x14ac:dyDescent="0.15">
      <c r="A29" s="589" t="s">
        <v>60</v>
      </c>
      <c r="B29" s="590">
        <v>0.57638888888888895</v>
      </c>
      <c r="C29" s="586" t="str">
        <f>E7</f>
        <v>A3</v>
      </c>
      <c r="D29" s="582" t="str">
        <f>C7</f>
        <v>A2</v>
      </c>
      <c r="E29" s="584" t="str">
        <f>D5</f>
        <v>A1</v>
      </c>
      <c r="F29" s="586" t="str">
        <f>H7</f>
        <v>B3</v>
      </c>
      <c r="G29" s="582" t="str">
        <f>F7</f>
        <v>B2</v>
      </c>
      <c r="H29" s="584" t="str">
        <f>G5</f>
        <v>B1</v>
      </c>
      <c r="I29" s="586" t="str">
        <f>K7</f>
        <v>E3</v>
      </c>
      <c r="J29" s="582" t="str">
        <f>I7</f>
        <v>E2</v>
      </c>
      <c r="K29" s="584" t="str">
        <f>J5</f>
        <v>E1</v>
      </c>
      <c r="L29" s="586" t="str">
        <f>N7</f>
        <v>F3</v>
      </c>
      <c r="M29" s="582" t="str">
        <f>L7</f>
        <v>F2</v>
      </c>
      <c r="N29" s="584" t="str">
        <f>M5</f>
        <v>F1</v>
      </c>
      <c r="R29" s="588"/>
    </row>
    <row r="30" spans="1:26" ht="22.5" customHeight="1" x14ac:dyDescent="0.15">
      <c r="A30" s="589"/>
      <c r="B30" s="591"/>
      <c r="C30" s="594"/>
      <c r="D30" s="592"/>
      <c r="E30" s="593"/>
      <c r="F30" s="594"/>
      <c r="G30" s="592"/>
      <c r="H30" s="593"/>
      <c r="I30" s="594"/>
      <c r="J30" s="592"/>
      <c r="K30" s="593"/>
      <c r="L30" s="594"/>
      <c r="M30" s="592"/>
      <c r="N30" s="593"/>
      <c r="O30" s="134"/>
      <c r="R30" s="588"/>
    </row>
    <row r="31" spans="1:26" ht="22.5" customHeight="1" x14ac:dyDescent="0.15">
      <c r="A31" s="589" t="s">
        <v>62</v>
      </c>
      <c r="B31" s="590">
        <v>0.61111111111111105</v>
      </c>
      <c r="C31" s="586" t="str">
        <f>E12</f>
        <v>C3</v>
      </c>
      <c r="D31" s="582" t="str">
        <f>C12</f>
        <v>C2</v>
      </c>
      <c r="E31" s="584" t="str">
        <f>D10</f>
        <v>C1</v>
      </c>
      <c r="F31" s="586" t="str">
        <f>H12</f>
        <v>D3</v>
      </c>
      <c r="G31" s="582" t="str">
        <f>F12</f>
        <v>D2</v>
      </c>
      <c r="H31" s="584" t="str">
        <f>G10</f>
        <v>D1</v>
      </c>
      <c r="I31" s="586" t="str">
        <f>K12</f>
        <v>G3</v>
      </c>
      <c r="J31" s="582" t="str">
        <f>I12</f>
        <v>G2</v>
      </c>
      <c r="K31" s="584" t="str">
        <f>J10</f>
        <v>G1</v>
      </c>
      <c r="L31" s="586" t="str">
        <f>N12</f>
        <v>H3</v>
      </c>
      <c r="M31" s="582" t="str">
        <f>L12</f>
        <v>H2</v>
      </c>
      <c r="N31" s="584" t="str">
        <f>M10</f>
        <v>H1</v>
      </c>
      <c r="O31" s="135"/>
      <c r="P31" s="135"/>
      <c r="Q31" s="135"/>
      <c r="R31" s="588"/>
      <c r="S31" s="135"/>
      <c r="T31" s="135"/>
      <c r="U31" s="135"/>
    </row>
    <row r="32" spans="1:26" ht="22.5" customHeight="1" x14ac:dyDescent="0.15">
      <c r="A32" s="589"/>
      <c r="B32" s="591"/>
      <c r="C32" s="587"/>
      <c r="D32" s="583"/>
      <c r="E32" s="585"/>
      <c r="F32" s="587"/>
      <c r="G32" s="583"/>
      <c r="H32" s="585"/>
      <c r="I32" s="587"/>
      <c r="J32" s="583"/>
      <c r="K32" s="585"/>
      <c r="L32" s="587"/>
      <c r="M32" s="583"/>
      <c r="N32" s="585"/>
      <c r="R32" s="588"/>
      <c r="T32" s="38"/>
      <c r="U32" s="38"/>
      <c r="V32" s="136"/>
      <c r="W32" s="38"/>
      <c r="X32" s="38"/>
      <c r="Y32" s="38"/>
      <c r="Z32" s="38"/>
    </row>
    <row r="33" spans="2:26" ht="35.1" customHeight="1" x14ac:dyDescent="0.15">
      <c r="B33" s="134"/>
      <c r="T33" s="38"/>
      <c r="U33" s="38"/>
      <c r="V33" s="136"/>
      <c r="W33" s="38"/>
      <c r="X33" s="38"/>
      <c r="Y33" s="38"/>
      <c r="Z33" s="38"/>
    </row>
    <row r="34" spans="2:26" ht="24.75" customHeight="1" x14ac:dyDescent="0.15">
      <c r="B34" s="134"/>
    </row>
  </sheetData>
  <mergeCells count="107">
    <mergeCell ref="B1:E1"/>
    <mergeCell ref="D2:G2"/>
    <mergeCell ref="I2:N2"/>
    <mergeCell ref="C14:H14"/>
    <mergeCell ref="I14:N14"/>
    <mergeCell ref="C15:E15"/>
    <mergeCell ref="F15:H15"/>
    <mergeCell ref="I15:K15"/>
    <mergeCell ref="L15:N15"/>
    <mergeCell ref="C17:E17"/>
    <mergeCell ref="F17:H17"/>
    <mergeCell ref="I17:K17"/>
    <mergeCell ref="L17:N17"/>
    <mergeCell ref="A19:A20"/>
    <mergeCell ref="B19:B20"/>
    <mergeCell ref="C19:C20"/>
    <mergeCell ref="D19:D20"/>
    <mergeCell ref="E19:E20"/>
    <mergeCell ref="F19:F20"/>
    <mergeCell ref="G19:G20"/>
    <mergeCell ref="H19:H20"/>
    <mergeCell ref="I19:I20"/>
    <mergeCell ref="J19:J20"/>
    <mergeCell ref="K19:K20"/>
    <mergeCell ref="L19:L20"/>
    <mergeCell ref="M19:M20"/>
    <mergeCell ref="N19:N20"/>
    <mergeCell ref="R19:R20"/>
    <mergeCell ref="A21:A22"/>
    <mergeCell ref="B21:B22"/>
    <mergeCell ref="C21:C22"/>
    <mergeCell ref="D21:D22"/>
    <mergeCell ref="E21:E22"/>
    <mergeCell ref="F21:F22"/>
    <mergeCell ref="G21:G22"/>
    <mergeCell ref="H21:H22"/>
    <mergeCell ref="I21:I22"/>
    <mergeCell ref="J21:J22"/>
    <mergeCell ref="K21:K22"/>
    <mergeCell ref="L21:L22"/>
    <mergeCell ref="M21:M22"/>
    <mergeCell ref="N21:N22"/>
    <mergeCell ref="R21:R22"/>
    <mergeCell ref="M23:M24"/>
    <mergeCell ref="N23:N24"/>
    <mergeCell ref="R23:R24"/>
    <mergeCell ref="A25:A26"/>
    <mergeCell ref="B25:B26"/>
    <mergeCell ref="C25:N26"/>
    <mergeCell ref="R25:R26"/>
    <mergeCell ref="A23:A24"/>
    <mergeCell ref="B23:B24"/>
    <mergeCell ref="C23:C24"/>
    <mergeCell ref="D23:D24"/>
    <mergeCell ref="E23:E24"/>
    <mergeCell ref="F23:F24"/>
    <mergeCell ref="G23:G24"/>
    <mergeCell ref="H23:H24"/>
    <mergeCell ref="I23:I24"/>
    <mergeCell ref="G27:G28"/>
    <mergeCell ref="H27:H28"/>
    <mergeCell ref="I27:I28"/>
    <mergeCell ref="J23:J24"/>
    <mergeCell ref="K23:K24"/>
    <mergeCell ref="L23:L24"/>
    <mergeCell ref="J27:J28"/>
    <mergeCell ref="K27:K28"/>
    <mergeCell ref="L27:L28"/>
    <mergeCell ref="M27:M28"/>
    <mergeCell ref="N27:N28"/>
    <mergeCell ref="R27:R28"/>
    <mergeCell ref="A29:A30"/>
    <mergeCell ref="B29:B30"/>
    <mergeCell ref="C29:C30"/>
    <mergeCell ref="D29:D30"/>
    <mergeCell ref="E29:E30"/>
    <mergeCell ref="F29:F30"/>
    <mergeCell ref="G29:G30"/>
    <mergeCell ref="H29:H30"/>
    <mergeCell ref="I29:I30"/>
    <mergeCell ref="J29:J30"/>
    <mergeCell ref="K29:K30"/>
    <mergeCell ref="L29:L30"/>
    <mergeCell ref="M29:M30"/>
    <mergeCell ref="N29:N30"/>
    <mergeCell ref="R29:R30"/>
    <mergeCell ref="A27:A28"/>
    <mergeCell ref="B27:B28"/>
    <mergeCell ref="C27:C28"/>
    <mergeCell ref="D27:D28"/>
    <mergeCell ref="E27:E28"/>
    <mergeCell ref="F27:F28"/>
    <mergeCell ref="J31:J32"/>
    <mergeCell ref="K31:K32"/>
    <mergeCell ref="L31:L32"/>
    <mergeCell ref="M31:M32"/>
    <mergeCell ref="N31:N32"/>
    <mergeCell ref="R31:R32"/>
    <mergeCell ref="A31:A32"/>
    <mergeCell ref="B31:B32"/>
    <mergeCell ref="C31:C32"/>
    <mergeCell ref="D31:D32"/>
    <mergeCell ref="E31:E32"/>
    <mergeCell ref="F31:F32"/>
    <mergeCell ref="G31:G32"/>
    <mergeCell ref="H31:H32"/>
    <mergeCell ref="I31:I32"/>
  </mergeCells>
  <phoneticPr fontId="77"/>
  <printOptions horizontalCentered="1" verticalCentered="1"/>
  <pageMargins left="0.39370078740157477" right="0.39370078740157477" top="0.19685039370078738" bottom="0.19685039370078738" header="0.43307086614173229" footer="0.31496062992125984"/>
  <pageSetup paperSize="9" scale="71" orientation="portrait" horizontalDpi="300"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項目!$E$1:$E$6</xm:f>
          </x14:formula1>
          <xm:sqref>C14:N14</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4">
    <pageSetUpPr fitToPage="1"/>
  </sheetPr>
  <dimension ref="A1:BO83"/>
  <sheetViews>
    <sheetView zoomScale="55" workbookViewId="0">
      <selection activeCell="A2" sqref="A2"/>
    </sheetView>
  </sheetViews>
  <sheetFormatPr defaultColWidth="4.125" defaultRowHeight="16.5" x14ac:dyDescent="0.15"/>
  <cols>
    <col min="1" max="1" width="11.625" style="138" customWidth="1"/>
    <col min="2" max="3" width="5.625" style="138" customWidth="1"/>
    <col min="4" max="27" width="4.125" style="138" customWidth="1"/>
    <col min="28" max="28" width="4.125" style="137" customWidth="1"/>
    <col min="29" max="29" width="11.625" style="139" customWidth="1"/>
    <col min="30" max="31" width="5.625" style="139" customWidth="1"/>
    <col min="32" max="42" width="4.125" style="139" customWidth="1"/>
    <col min="43" max="47" width="4.125" style="137" customWidth="1"/>
    <col min="48" max="16384" width="4.125" style="137"/>
  </cols>
  <sheetData>
    <row r="1" spans="1:57" s="140" customFormat="1" ht="30" x14ac:dyDescent="0.15">
      <c r="A1" s="624" t="s">
        <v>299</v>
      </c>
      <c r="B1" s="624"/>
      <c r="C1" s="624"/>
      <c r="D1" s="624"/>
      <c r="E1" s="624"/>
      <c r="F1" s="624"/>
      <c r="G1" s="624"/>
      <c r="H1" s="624"/>
      <c r="I1" s="624"/>
      <c r="J1" s="624"/>
      <c r="K1" s="624"/>
      <c r="L1" s="624"/>
      <c r="M1" s="624"/>
      <c r="N1" s="624"/>
      <c r="O1" s="624"/>
      <c r="P1" s="624"/>
      <c r="Q1" s="624"/>
      <c r="R1" s="624"/>
      <c r="S1" s="624"/>
      <c r="T1" s="624"/>
      <c r="U1" s="624"/>
      <c r="V1" s="624"/>
      <c r="W1" s="624"/>
      <c r="X1" s="624"/>
      <c r="Y1" s="624"/>
      <c r="Z1" s="624"/>
      <c r="AA1" s="624"/>
      <c r="AB1" s="141"/>
      <c r="AC1" s="624" t="s">
        <v>299</v>
      </c>
      <c r="AD1" s="624"/>
      <c r="AE1" s="624"/>
      <c r="AF1" s="624"/>
      <c r="AG1" s="624"/>
      <c r="AH1" s="624"/>
      <c r="AI1" s="624"/>
      <c r="AJ1" s="624"/>
      <c r="AK1" s="624"/>
      <c r="AL1" s="624"/>
      <c r="AM1" s="624"/>
      <c r="AN1" s="624"/>
      <c r="AO1" s="624"/>
      <c r="AP1" s="624"/>
      <c r="AQ1" s="624"/>
      <c r="AR1" s="624"/>
      <c r="AS1" s="624"/>
      <c r="AT1" s="624"/>
      <c r="AU1" s="624"/>
      <c r="AV1" s="624"/>
      <c r="AW1" s="624"/>
      <c r="AX1" s="624"/>
      <c r="AY1" s="624"/>
      <c r="AZ1" s="624"/>
      <c r="BA1" s="624"/>
      <c r="BB1" s="624"/>
      <c r="BC1" s="624"/>
      <c r="BD1" s="141"/>
      <c r="BE1" s="141"/>
    </row>
    <row r="2" spans="1:57" s="140" customFormat="1" ht="19.5" x14ac:dyDescent="0.15">
      <c r="A2" s="142"/>
      <c r="B2" s="142"/>
      <c r="C2" s="142"/>
      <c r="D2" s="142"/>
      <c r="E2" s="142"/>
      <c r="F2" s="142"/>
      <c r="G2" s="142"/>
      <c r="H2" s="142"/>
      <c r="I2" s="142"/>
      <c r="J2" s="142"/>
      <c r="K2" s="142"/>
      <c r="L2" s="142"/>
      <c r="M2" s="142"/>
      <c r="N2" s="142"/>
      <c r="O2" s="142"/>
      <c r="P2" s="142"/>
      <c r="Q2" s="142"/>
      <c r="R2" s="142"/>
      <c r="S2" s="142"/>
      <c r="T2" s="142"/>
      <c r="U2" s="142"/>
      <c r="V2" s="142"/>
      <c r="W2" s="142"/>
      <c r="X2" s="142"/>
      <c r="Y2" s="142"/>
      <c r="Z2" s="142"/>
      <c r="AA2" s="142"/>
    </row>
    <row r="3" spans="1:57" s="140" customFormat="1" ht="27.75" customHeight="1" x14ac:dyDescent="0.15">
      <c r="A3" s="625" t="s">
        <v>36</v>
      </c>
      <c r="B3" s="625"/>
      <c r="C3" s="625"/>
      <c r="D3" s="626" t="str">
        <f>予選リーグ!C14</f>
        <v>クラサス サッカー・ラグビー場　サブA</v>
      </c>
      <c r="E3" s="627"/>
      <c r="F3" s="627"/>
      <c r="G3" s="627"/>
      <c r="H3" s="627"/>
      <c r="I3" s="627"/>
      <c r="J3" s="627"/>
      <c r="K3" s="627"/>
      <c r="L3" s="627"/>
      <c r="M3" s="627"/>
      <c r="N3" s="627"/>
      <c r="O3" s="627"/>
      <c r="P3" s="627"/>
      <c r="Q3" s="627"/>
      <c r="R3" s="627"/>
      <c r="S3" s="627"/>
      <c r="T3" s="627"/>
      <c r="U3" s="627"/>
      <c r="V3" s="627"/>
      <c r="W3" s="627"/>
      <c r="X3" s="627"/>
      <c r="Y3" s="627"/>
      <c r="Z3" s="627"/>
      <c r="AA3" s="628"/>
      <c r="AC3" s="625" t="s">
        <v>36</v>
      </c>
      <c r="AD3" s="625"/>
      <c r="AE3" s="625"/>
      <c r="AF3" s="626" t="str">
        <f>予選リーグ!I14</f>
        <v>クラサス サッカー・ラグビー場　サブB</v>
      </c>
      <c r="AG3" s="627"/>
      <c r="AH3" s="627"/>
      <c r="AI3" s="627"/>
      <c r="AJ3" s="627"/>
      <c r="AK3" s="627"/>
      <c r="AL3" s="627"/>
      <c r="AM3" s="627"/>
      <c r="AN3" s="627"/>
      <c r="AO3" s="627"/>
      <c r="AP3" s="627"/>
      <c r="AQ3" s="627"/>
      <c r="AR3" s="627"/>
      <c r="AS3" s="627"/>
      <c r="AT3" s="627"/>
      <c r="AU3" s="627"/>
      <c r="AV3" s="627"/>
      <c r="AW3" s="627"/>
      <c r="AX3" s="627"/>
      <c r="AY3" s="627"/>
      <c r="AZ3" s="627"/>
      <c r="BA3" s="627"/>
      <c r="BB3" s="627"/>
      <c r="BC3" s="628"/>
    </row>
    <row r="4" spans="1:57" s="140" customFormat="1" ht="27.75" customHeight="1" x14ac:dyDescent="0.15">
      <c r="A4" s="625" t="s">
        <v>300</v>
      </c>
      <c r="B4" s="625"/>
      <c r="C4" s="629"/>
      <c r="D4" s="630" t="s">
        <v>301</v>
      </c>
      <c r="E4" s="631"/>
      <c r="F4" s="631"/>
      <c r="G4" s="631"/>
      <c r="H4" s="631"/>
      <c r="I4" s="631"/>
      <c r="J4" s="631" t="s">
        <v>302</v>
      </c>
      <c r="K4" s="631"/>
      <c r="L4" s="631"/>
      <c r="M4" s="631"/>
      <c r="N4" s="631"/>
      <c r="O4" s="632"/>
      <c r="P4" s="633" t="s">
        <v>303</v>
      </c>
      <c r="Q4" s="631"/>
      <c r="R4" s="631"/>
      <c r="S4" s="631"/>
      <c r="T4" s="631"/>
      <c r="U4" s="631"/>
      <c r="V4" s="631" t="s">
        <v>304</v>
      </c>
      <c r="W4" s="631"/>
      <c r="X4" s="631"/>
      <c r="Y4" s="631"/>
      <c r="Z4" s="631"/>
      <c r="AA4" s="634"/>
      <c r="AC4" s="625" t="s">
        <v>300</v>
      </c>
      <c r="AD4" s="625"/>
      <c r="AE4" s="629"/>
      <c r="AF4" s="630" t="s">
        <v>305</v>
      </c>
      <c r="AG4" s="631"/>
      <c r="AH4" s="631"/>
      <c r="AI4" s="631"/>
      <c r="AJ4" s="631"/>
      <c r="AK4" s="631"/>
      <c r="AL4" s="631" t="s">
        <v>306</v>
      </c>
      <c r="AM4" s="631"/>
      <c r="AN4" s="631"/>
      <c r="AO4" s="631"/>
      <c r="AP4" s="631"/>
      <c r="AQ4" s="632"/>
      <c r="AR4" s="633" t="s">
        <v>307</v>
      </c>
      <c r="AS4" s="631"/>
      <c r="AT4" s="631"/>
      <c r="AU4" s="631"/>
      <c r="AV4" s="631"/>
      <c r="AW4" s="631"/>
      <c r="AX4" s="631" t="s">
        <v>308</v>
      </c>
      <c r="AY4" s="631"/>
      <c r="AZ4" s="631"/>
      <c r="BA4" s="631"/>
      <c r="BB4" s="631"/>
      <c r="BC4" s="634"/>
    </row>
    <row r="5" spans="1:57" s="140" customFormat="1" ht="27.75" customHeight="1" x14ac:dyDescent="0.15">
      <c r="A5" s="658" t="s">
        <v>5</v>
      </c>
      <c r="B5" s="659"/>
      <c r="C5" s="659"/>
      <c r="D5" s="635" t="str">
        <f>予選リーグ!D5</f>
        <v>A1</v>
      </c>
      <c r="E5" s="636"/>
      <c r="F5" s="636"/>
      <c r="G5" s="636"/>
      <c r="H5" s="636"/>
      <c r="I5" s="636"/>
      <c r="J5" s="636" t="str">
        <f>予選リーグ!D10</f>
        <v>C1</v>
      </c>
      <c r="K5" s="636"/>
      <c r="L5" s="636"/>
      <c r="M5" s="636"/>
      <c r="N5" s="636"/>
      <c r="O5" s="673"/>
      <c r="P5" s="638" t="str">
        <f>予選リーグ!G5</f>
        <v>B1</v>
      </c>
      <c r="Q5" s="638"/>
      <c r="R5" s="638"/>
      <c r="S5" s="638"/>
      <c r="T5" s="638"/>
      <c r="U5" s="640"/>
      <c r="V5" s="636" t="str">
        <f>予選リーグ!G10</f>
        <v>D1</v>
      </c>
      <c r="W5" s="636"/>
      <c r="X5" s="636"/>
      <c r="Y5" s="636"/>
      <c r="Z5" s="636"/>
      <c r="AA5" s="664"/>
      <c r="AC5" s="658" t="s">
        <v>5</v>
      </c>
      <c r="AD5" s="659"/>
      <c r="AE5" s="659"/>
      <c r="AF5" s="635" t="str">
        <f>予選リーグ!J5</f>
        <v>E1</v>
      </c>
      <c r="AG5" s="636"/>
      <c r="AH5" s="636"/>
      <c r="AI5" s="636"/>
      <c r="AJ5" s="636"/>
      <c r="AK5" s="636"/>
      <c r="AL5" s="637" t="str">
        <f>予選リーグ!J10</f>
        <v>G1</v>
      </c>
      <c r="AM5" s="638"/>
      <c r="AN5" s="638"/>
      <c r="AO5" s="638"/>
      <c r="AP5" s="638"/>
      <c r="AQ5" s="639"/>
      <c r="AR5" s="640" t="str">
        <f>予選リーグ!M5</f>
        <v>F1</v>
      </c>
      <c r="AS5" s="636"/>
      <c r="AT5" s="636"/>
      <c r="AU5" s="636"/>
      <c r="AV5" s="636"/>
      <c r="AW5" s="636"/>
      <c r="AX5" s="636" t="str">
        <f>予選リーグ!M10</f>
        <v>H1</v>
      </c>
      <c r="AY5" s="636"/>
      <c r="AZ5" s="636"/>
      <c r="BA5" s="636"/>
      <c r="BB5" s="636"/>
      <c r="BC5" s="664"/>
    </row>
    <row r="6" spans="1:57" s="140" customFormat="1" ht="27.75" customHeight="1" x14ac:dyDescent="0.15">
      <c r="A6" s="660"/>
      <c r="B6" s="661"/>
      <c r="C6" s="661"/>
      <c r="D6" s="665" t="str">
        <f>予選リーグ!C7</f>
        <v>A2</v>
      </c>
      <c r="E6" s="666"/>
      <c r="F6" s="666"/>
      <c r="G6" s="666"/>
      <c r="H6" s="666"/>
      <c r="I6" s="666"/>
      <c r="J6" s="666" t="str">
        <f>予選リーグ!C12</f>
        <v>C2</v>
      </c>
      <c r="K6" s="666"/>
      <c r="L6" s="666"/>
      <c r="M6" s="666"/>
      <c r="N6" s="666"/>
      <c r="O6" s="667"/>
      <c r="P6" s="668" t="str">
        <f>予選リーグ!F7</f>
        <v>B2</v>
      </c>
      <c r="Q6" s="668"/>
      <c r="R6" s="668"/>
      <c r="S6" s="668"/>
      <c r="T6" s="668"/>
      <c r="U6" s="669"/>
      <c r="V6" s="666" t="str">
        <f>予選リーグ!F12</f>
        <v>D2</v>
      </c>
      <c r="W6" s="666"/>
      <c r="X6" s="666"/>
      <c r="Y6" s="666"/>
      <c r="Z6" s="666"/>
      <c r="AA6" s="670"/>
      <c r="AC6" s="660"/>
      <c r="AD6" s="661"/>
      <c r="AE6" s="661"/>
      <c r="AF6" s="665" t="str">
        <f>予選リーグ!I7</f>
        <v>E2</v>
      </c>
      <c r="AG6" s="666"/>
      <c r="AH6" s="666"/>
      <c r="AI6" s="666"/>
      <c r="AJ6" s="666"/>
      <c r="AK6" s="666"/>
      <c r="AL6" s="671" t="str">
        <f>予選リーグ!I12</f>
        <v>G2</v>
      </c>
      <c r="AM6" s="668"/>
      <c r="AN6" s="668"/>
      <c r="AO6" s="668"/>
      <c r="AP6" s="668"/>
      <c r="AQ6" s="672"/>
      <c r="AR6" s="669" t="str">
        <f>予選リーグ!L7</f>
        <v>F2</v>
      </c>
      <c r="AS6" s="666"/>
      <c r="AT6" s="666"/>
      <c r="AU6" s="666"/>
      <c r="AV6" s="666"/>
      <c r="AW6" s="666"/>
      <c r="AX6" s="666" t="str">
        <f>予選リーグ!L12</f>
        <v>H2</v>
      </c>
      <c r="AY6" s="666"/>
      <c r="AZ6" s="666"/>
      <c r="BA6" s="666"/>
      <c r="BB6" s="666"/>
      <c r="BC6" s="670"/>
    </row>
    <row r="7" spans="1:57" s="140" customFormat="1" ht="27.75" customHeight="1" x14ac:dyDescent="0.15">
      <c r="A7" s="662"/>
      <c r="B7" s="663"/>
      <c r="C7" s="663"/>
      <c r="D7" s="641" t="str">
        <f>予選リーグ!E7</f>
        <v>A3</v>
      </c>
      <c r="E7" s="642"/>
      <c r="F7" s="642"/>
      <c r="G7" s="642"/>
      <c r="H7" s="642"/>
      <c r="I7" s="642"/>
      <c r="J7" s="642" t="str">
        <f>予選リーグ!E12</f>
        <v>C3</v>
      </c>
      <c r="K7" s="642"/>
      <c r="L7" s="642"/>
      <c r="M7" s="642"/>
      <c r="N7" s="642"/>
      <c r="O7" s="643"/>
      <c r="P7" s="644" t="str">
        <f>予選リーグ!H7</f>
        <v>B3</v>
      </c>
      <c r="Q7" s="644"/>
      <c r="R7" s="644"/>
      <c r="S7" s="644"/>
      <c r="T7" s="644"/>
      <c r="U7" s="645"/>
      <c r="V7" s="642" t="str">
        <f>予選リーグ!H12</f>
        <v>D3</v>
      </c>
      <c r="W7" s="642"/>
      <c r="X7" s="642"/>
      <c r="Y7" s="642"/>
      <c r="Z7" s="642"/>
      <c r="AA7" s="646"/>
      <c r="AC7" s="662"/>
      <c r="AD7" s="663"/>
      <c r="AE7" s="663"/>
      <c r="AF7" s="641" t="str">
        <f>予選リーグ!K7</f>
        <v>E3</v>
      </c>
      <c r="AG7" s="642"/>
      <c r="AH7" s="642"/>
      <c r="AI7" s="642"/>
      <c r="AJ7" s="642"/>
      <c r="AK7" s="642"/>
      <c r="AL7" s="647" t="str">
        <f>予選リーグ!K12</f>
        <v>G3</v>
      </c>
      <c r="AM7" s="644"/>
      <c r="AN7" s="644"/>
      <c r="AO7" s="644"/>
      <c r="AP7" s="644"/>
      <c r="AQ7" s="648"/>
      <c r="AR7" s="645" t="str">
        <f>予選リーグ!N7</f>
        <v>F3</v>
      </c>
      <c r="AS7" s="642"/>
      <c r="AT7" s="642"/>
      <c r="AU7" s="642"/>
      <c r="AV7" s="642"/>
      <c r="AW7" s="642"/>
      <c r="AX7" s="642" t="str">
        <f>予選リーグ!N12</f>
        <v>H3</v>
      </c>
      <c r="AY7" s="642"/>
      <c r="AZ7" s="642"/>
      <c r="BA7" s="642"/>
      <c r="BB7" s="642"/>
      <c r="BC7" s="646"/>
    </row>
    <row r="8" spans="1:57" s="140" customFormat="1" ht="19.5" x14ac:dyDescent="0.15">
      <c r="A8" s="143"/>
      <c r="B8" s="143"/>
      <c r="C8" s="143"/>
      <c r="D8" s="144"/>
      <c r="E8" s="145"/>
      <c r="F8" s="145"/>
      <c r="G8" s="145"/>
      <c r="H8" s="145"/>
      <c r="I8" s="145"/>
      <c r="J8" s="145"/>
      <c r="K8" s="145"/>
      <c r="L8" s="145"/>
      <c r="M8" s="145"/>
      <c r="N8" s="145"/>
      <c r="O8" s="146"/>
      <c r="P8" s="145"/>
      <c r="Q8" s="145"/>
      <c r="R8" s="145"/>
      <c r="S8" s="145"/>
      <c r="T8" s="145"/>
      <c r="U8" s="145"/>
      <c r="V8" s="145"/>
      <c r="W8" s="145"/>
      <c r="X8" s="145"/>
      <c r="Y8" s="145"/>
      <c r="Z8" s="145"/>
      <c r="AA8" s="147"/>
      <c r="AC8" s="143"/>
      <c r="AD8" s="143"/>
      <c r="AE8" s="143"/>
      <c r="AF8" s="144"/>
      <c r="AG8" s="145"/>
      <c r="AH8" s="145"/>
      <c r="AI8" s="145"/>
      <c r="AJ8" s="145"/>
      <c r="AK8" s="145"/>
      <c r="AL8" s="145"/>
      <c r="AM8" s="145"/>
      <c r="AN8" s="145"/>
      <c r="AO8" s="145"/>
      <c r="AP8" s="145"/>
      <c r="AQ8" s="146"/>
      <c r="AR8" s="145"/>
      <c r="AS8" s="145"/>
      <c r="AT8" s="145"/>
      <c r="AU8" s="145"/>
      <c r="AV8" s="145"/>
      <c r="AW8" s="145"/>
      <c r="AX8" s="145"/>
      <c r="AY8" s="145"/>
      <c r="AZ8" s="145"/>
      <c r="BA8" s="145"/>
      <c r="BB8" s="145"/>
      <c r="BC8" s="147"/>
    </row>
    <row r="9" spans="1:57" ht="24" x14ac:dyDescent="0.15">
      <c r="C9" s="148"/>
      <c r="D9" s="149"/>
      <c r="O9" s="150"/>
      <c r="AA9" s="151"/>
      <c r="AF9" s="152"/>
      <c r="AQ9" s="150"/>
      <c r="BC9" s="153"/>
    </row>
    <row r="10" spans="1:57" ht="21.75" customHeight="1" x14ac:dyDescent="0.15">
      <c r="A10" s="649" t="s">
        <v>309</v>
      </c>
      <c r="B10" s="649"/>
      <c r="C10" s="650"/>
      <c r="D10" s="149"/>
      <c r="O10" s="154"/>
      <c r="AA10" s="151"/>
      <c r="AC10" s="649" t="s">
        <v>309</v>
      </c>
      <c r="AD10" s="649"/>
      <c r="AE10" s="650"/>
      <c r="AF10" s="149"/>
      <c r="AG10" s="138"/>
      <c r="AH10" s="138"/>
      <c r="AI10" s="138"/>
      <c r="AJ10" s="138"/>
      <c r="AK10" s="138"/>
      <c r="AL10" s="138"/>
      <c r="AM10" s="138"/>
      <c r="AN10" s="138"/>
      <c r="AO10" s="138"/>
      <c r="AP10" s="138"/>
      <c r="AQ10" s="154"/>
      <c r="AR10" s="138"/>
      <c r="AS10" s="138"/>
      <c r="AT10" s="138"/>
      <c r="AU10" s="138"/>
      <c r="AV10" s="138"/>
      <c r="AW10" s="138"/>
      <c r="AX10" s="138"/>
      <c r="AY10" s="138"/>
      <c r="AZ10" s="138"/>
      <c r="BA10" s="138"/>
      <c r="BB10" s="138"/>
      <c r="BC10" s="151"/>
    </row>
    <row r="11" spans="1:57" s="140" customFormat="1" ht="27.75" customHeight="1" x14ac:dyDescent="0.15">
      <c r="A11" s="651" t="s">
        <v>310</v>
      </c>
      <c r="B11" s="652"/>
      <c r="C11" s="653"/>
      <c r="D11" s="654" t="str">
        <f>予選リーグ!C15</f>
        <v>「A」コート</v>
      </c>
      <c r="E11" s="655"/>
      <c r="F11" s="655"/>
      <c r="G11" s="655"/>
      <c r="H11" s="655"/>
      <c r="I11" s="655"/>
      <c r="J11" s="655"/>
      <c r="K11" s="655"/>
      <c r="L11" s="655"/>
      <c r="M11" s="655"/>
      <c r="N11" s="655"/>
      <c r="O11" s="656"/>
      <c r="P11" s="655" t="str">
        <f>予選リーグ!F15</f>
        <v>「B」コート</v>
      </c>
      <c r="Q11" s="655"/>
      <c r="R11" s="655"/>
      <c r="S11" s="655"/>
      <c r="T11" s="655"/>
      <c r="U11" s="655"/>
      <c r="V11" s="655"/>
      <c r="W11" s="655"/>
      <c r="X11" s="655"/>
      <c r="Y11" s="655"/>
      <c r="Z11" s="655"/>
      <c r="AA11" s="657"/>
      <c r="AC11" s="651" t="s">
        <v>310</v>
      </c>
      <c r="AD11" s="652"/>
      <c r="AE11" s="653"/>
      <c r="AF11" s="654" t="str">
        <f>予選リーグ!I15</f>
        <v>「C」コート</v>
      </c>
      <c r="AG11" s="655"/>
      <c r="AH11" s="655"/>
      <c r="AI11" s="655"/>
      <c r="AJ11" s="655"/>
      <c r="AK11" s="655"/>
      <c r="AL11" s="655"/>
      <c r="AM11" s="655"/>
      <c r="AN11" s="655"/>
      <c r="AO11" s="655"/>
      <c r="AP11" s="655"/>
      <c r="AQ11" s="656"/>
      <c r="AR11" s="655" t="str">
        <f>予選リーグ!L15</f>
        <v>「D」コート</v>
      </c>
      <c r="AS11" s="655"/>
      <c r="AT11" s="655"/>
      <c r="AU11" s="655"/>
      <c r="AV11" s="655"/>
      <c r="AW11" s="655"/>
      <c r="AX11" s="655"/>
      <c r="AY11" s="655"/>
      <c r="AZ11" s="655"/>
      <c r="BA11" s="655"/>
      <c r="BB11" s="655"/>
      <c r="BC11" s="657"/>
    </row>
    <row r="12" spans="1:57" s="140" customFormat="1" ht="27.75" customHeight="1" x14ac:dyDescent="0.15">
      <c r="A12" s="674" t="s">
        <v>158</v>
      </c>
      <c r="B12" s="675"/>
      <c r="C12" s="658"/>
      <c r="D12" s="155"/>
      <c r="E12" s="143"/>
      <c r="F12" s="143"/>
      <c r="G12" s="143"/>
      <c r="H12" s="143"/>
      <c r="I12" s="142" t="s">
        <v>311</v>
      </c>
      <c r="J12" s="143"/>
      <c r="K12" s="143"/>
      <c r="L12" s="156"/>
      <c r="M12" s="660" t="s">
        <v>312</v>
      </c>
      <c r="N12" s="661"/>
      <c r="O12" s="676"/>
      <c r="P12" s="142"/>
      <c r="Q12" s="143"/>
      <c r="R12" s="143"/>
      <c r="S12" s="143"/>
      <c r="T12" s="143"/>
      <c r="U12" s="142" t="s">
        <v>311</v>
      </c>
      <c r="V12" s="143"/>
      <c r="W12" s="143"/>
      <c r="X12" s="156"/>
      <c r="Y12" s="660" t="s">
        <v>312</v>
      </c>
      <c r="Z12" s="661"/>
      <c r="AA12" s="677"/>
      <c r="AC12" s="674" t="s">
        <v>158</v>
      </c>
      <c r="AD12" s="675"/>
      <c r="AE12" s="658"/>
      <c r="AF12" s="155"/>
      <c r="AG12" s="143"/>
      <c r="AH12" s="143"/>
      <c r="AI12" s="143"/>
      <c r="AJ12" s="143"/>
      <c r="AK12" s="142" t="s">
        <v>311</v>
      </c>
      <c r="AL12" s="143"/>
      <c r="AM12" s="143"/>
      <c r="AN12" s="156"/>
      <c r="AO12" s="660" t="s">
        <v>312</v>
      </c>
      <c r="AP12" s="661"/>
      <c r="AQ12" s="676"/>
      <c r="AR12" s="142"/>
      <c r="AS12" s="143"/>
      <c r="AT12" s="143"/>
      <c r="AU12" s="143"/>
      <c r="AV12" s="143"/>
      <c r="AW12" s="142" t="s">
        <v>311</v>
      </c>
      <c r="AX12" s="143"/>
      <c r="AY12" s="143"/>
      <c r="AZ12" s="156"/>
      <c r="BA12" s="660" t="s">
        <v>312</v>
      </c>
      <c r="BB12" s="661"/>
      <c r="BC12" s="677"/>
    </row>
    <row r="13" spans="1:57" ht="54.75" customHeight="1" x14ac:dyDescent="0.15">
      <c r="A13" s="678" t="s">
        <v>53</v>
      </c>
      <c r="B13" s="680">
        <f>予選リーグ!B19</f>
        <v>0.4375</v>
      </c>
      <c r="C13" s="680"/>
      <c r="D13" s="682" t="s">
        <v>9</v>
      </c>
      <c r="E13" s="683"/>
      <c r="F13" s="684" t="str">
        <f>予選リーグ!C19</f>
        <v>A1</v>
      </c>
      <c r="G13" s="684"/>
      <c r="H13" s="685"/>
      <c r="I13" s="157" t="s">
        <v>313</v>
      </c>
      <c r="J13" s="686" t="str">
        <f>予選リーグ!E19</f>
        <v>A2</v>
      </c>
      <c r="K13" s="684"/>
      <c r="L13" s="684"/>
      <c r="M13" s="687" t="str">
        <f>予選リーグ!D19</f>
        <v>A3</v>
      </c>
      <c r="N13" s="688"/>
      <c r="O13" s="689"/>
      <c r="P13" s="693" t="s">
        <v>9</v>
      </c>
      <c r="Q13" s="683"/>
      <c r="R13" s="685" t="str">
        <f>予選リーグ!F19</f>
        <v>B1</v>
      </c>
      <c r="S13" s="694"/>
      <c r="T13" s="694"/>
      <c r="U13" s="157" t="s">
        <v>313</v>
      </c>
      <c r="V13" s="694" t="str">
        <f>予選リーグ!H19</f>
        <v>B2</v>
      </c>
      <c r="W13" s="694"/>
      <c r="X13" s="686"/>
      <c r="Y13" s="687" t="str">
        <f>予選リーグ!G19</f>
        <v>B3</v>
      </c>
      <c r="Z13" s="688"/>
      <c r="AA13" s="695"/>
      <c r="AC13" s="678" t="s">
        <v>53</v>
      </c>
      <c r="AD13" s="680">
        <f>予選リーグ!B19</f>
        <v>0.4375</v>
      </c>
      <c r="AE13" s="680"/>
      <c r="AF13" s="682" t="s">
        <v>9</v>
      </c>
      <c r="AG13" s="683"/>
      <c r="AH13" s="684" t="str">
        <f>予選リーグ!I19</f>
        <v>E1</v>
      </c>
      <c r="AI13" s="684"/>
      <c r="AJ13" s="685"/>
      <c r="AK13" s="157" t="s">
        <v>313</v>
      </c>
      <c r="AL13" s="686" t="str">
        <f>予選リーグ!K19</f>
        <v>E2</v>
      </c>
      <c r="AM13" s="684"/>
      <c r="AN13" s="684"/>
      <c r="AO13" s="687" t="str">
        <f>予選リーグ!J19</f>
        <v>E3</v>
      </c>
      <c r="AP13" s="688"/>
      <c r="AQ13" s="689"/>
      <c r="AR13" s="693" t="s">
        <v>9</v>
      </c>
      <c r="AS13" s="683"/>
      <c r="AT13" s="684" t="str">
        <f>予選リーグ!L19</f>
        <v>F1</v>
      </c>
      <c r="AU13" s="684"/>
      <c r="AV13" s="685"/>
      <c r="AW13" s="157" t="s">
        <v>313</v>
      </c>
      <c r="AX13" s="686" t="str">
        <f>予選リーグ!N19</f>
        <v>F2</v>
      </c>
      <c r="AY13" s="684"/>
      <c r="AZ13" s="684"/>
      <c r="BA13" s="687" t="str">
        <f>予選リーグ!M19</f>
        <v>F3</v>
      </c>
      <c r="BB13" s="688"/>
      <c r="BC13" s="695"/>
    </row>
    <row r="14" spans="1:57" s="158" customFormat="1" ht="54.75" customHeight="1" x14ac:dyDescent="0.15">
      <c r="A14" s="679"/>
      <c r="B14" s="681"/>
      <c r="C14" s="681"/>
      <c r="D14" s="697" t="s">
        <v>314</v>
      </c>
      <c r="E14" s="698"/>
      <c r="F14" s="699"/>
      <c r="G14" s="700"/>
      <c r="H14" s="700"/>
      <c r="I14" s="159" t="s">
        <v>313</v>
      </c>
      <c r="J14" s="700"/>
      <c r="K14" s="700"/>
      <c r="L14" s="701"/>
      <c r="M14" s="690"/>
      <c r="N14" s="691"/>
      <c r="O14" s="692"/>
      <c r="P14" s="702" t="s">
        <v>314</v>
      </c>
      <c r="Q14" s="698"/>
      <c r="R14" s="699"/>
      <c r="S14" s="700"/>
      <c r="T14" s="700"/>
      <c r="U14" s="159" t="s">
        <v>313</v>
      </c>
      <c r="V14" s="700"/>
      <c r="W14" s="700"/>
      <c r="X14" s="701"/>
      <c r="Y14" s="690"/>
      <c r="Z14" s="691"/>
      <c r="AA14" s="696"/>
      <c r="AC14" s="679"/>
      <c r="AD14" s="681"/>
      <c r="AE14" s="681"/>
      <c r="AF14" s="697" t="s">
        <v>314</v>
      </c>
      <c r="AG14" s="698"/>
      <c r="AH14" s="699"/>
      <c r="AI14" s="700"/>
      <c r="AJ14" s="700"/>
      <c r="AK14" s="159" t="s">
        <v>313</v>
      </c>
      <c r="AL14" s="700"/>
      <c r="AM14" s="700"/>
      <c r="AN14" s="701"/>
      <c r="AO14" s="690"/>
      <c r="AP14" s="691"/>
      <c r="AQ14" s="692"/>
      <c r="AR14" s="702" t="s">
        <v>314</v>
      </c>
      <c r="AS14" s="698"/>
      <c r="AT14" s="699"/>
      <c r="AU14" s="700"/>
      <c r="AV14" s="700"/>
      <c r="AW14" s="159" t="s">
        <v>313</v>
      </c>
      <c r="AX14" s="700"/>
      <c r="AY14" s="700"/>
      <c r="AZ14" s="701"/>
      <c r="BA14" s="690"/>
      <c r="BB14" s="691"/>
      <c r="BC14" s="696"/>
    </row>
    <row r="15" spans="1:57" ht="54.75" customHeight="1" x14ac:dyDescent="0.15">
      <c r="A15" s="678" t="s">
        <v>54</v>
      </c>
      <c r="B15" s="680">
        <f>予選リーグ!B21</f>
        <v>0.47222222222222227</v>
      </c>
      <c r="C15" s="680"/>
      <c r="D15" s="682" t="s">
        <v>9</v>
      </c>
      <c r="E15" s="683"/>
      <c r="F15" s="684" t="str">
        <f>予選リーグ!C21</f>
        <v>C1</v>
      </c>
      <c r="G15" s="684"/>
      <c r="H15" s="685"/>
      <c r="I15" s="157" t="s">
        <v>313</v>
      </c>
      <c r="J15" s="686" t="str">
        <f>予選リーグ!E21</f>
        <v>C2</v>
      </c>
      <c r="K15" s="684"/>
      <c r="L15" s="684"/>
      <c r="M15" s="687" t="str">
        <f>予選リーグ!D21</f>
        <v>C3</v>
      </c>
      <c r="N15" s="688"/>
      <c r="O15" s="689"/>
      <c r="P15" s="693" t="s">
        <v>9</v>
      </c>
      <c r="Q15" s="683"/>
      <c r="R15" s="685" t="str">
        <f>予選リーグ!F21</f>
        <v>D1</v>
      </c>
      <c r="S15" s="694"/>
      <c r="T15" s="694"/>
      <c r="U15" s="157" t="s">
        <v>313</v>
      </c>
      <c r="V15" s="694" t="str">
        <f>予選リーグ!H21</f>
        <v>D2</v>
      </c>
      <c r="W15" s="694"/>
      <c r="X15" s="686"/>
      <c r="Y15" s="687" t="str">
        <f>予選リーグ!G21</f>
        <v>D3</v>
      </c>
      <c r="Z15" s="688"/>
      <c r="AA15" s="695"/>
      <c r="AC15" s="678" t="s">
        <v>54</v>
      </c>
      <c r="AD15" s="680">
        <f>予選リーグ!B21</f>
        <v>0.47222222222222227</v>
      </c>
      <c r="AE15" s="680"/>
      <c r="AF15" s="682" t="s">
        <v>9</v>
      </c>
      <c r="AG15" s="683"/>
      <c r="AH15" s="684" t="str">
        <f>予選リーグ!I21</f>
        <v>G1</v>
      </c>
      <c r="AI15" s="684"/>
      <c r="AJ15" s="685"/>
      <c r="AK15" s="157" t="s">
        <v>313</v>
      </c>
      <c r="AL15" s="686" t="str">
        <f>予選リーグ!K21</f>
        <v>G2</v>
      </c>
      <c r="AM15" s="684"/>
      <c r="AN15" s="684"/>
      <c r="AO15" s="687" t="str">
        <f>予選リーグ!J21</f>
        <v>G3</v>
      </c>
      <c r="AP15" s="688"/>
      <c r="AQ15" s="689"/>
      <c r="AR15" s="693" t="s">
        <v>9</v>
      </c>
      <c r="AS15" s="683"/>
      <c r="AT15" s="684" t="str">
        <f>予選リーグ!L21</f>
        <v>H1</v>
      </c>
      <c r="AU15" s="684"/>
      <c r="AV15" s="685"/>
      <c r="AW15" s="157" t="s">
        <v>313</v>
      </c>
      <c r="AX15" s="686" t="str">
        <f>予選リーグ!N21</f>
        <v>H2</v>
      </c>
      <c r="AY15" s="684"/>
      <c r="AZ15" s="684"/>
      <c r="BA15" s="687" t="str">
        <f>予選リーグ!M21</f>
        <v>H3</v>
      </c>
      <c r="BB15" s="688"/>
      <c r="BC15" s="695"/>
    </row>
    <row r="16" spans="1:57" s="158" customFormat="1" ht="54.75" customHeight="1" x14ac:dyDescent="0.15">
      <c r="A16" s="679"/>
      <c r="B16" s="681"/>
      <c r="C16" s="681"/>
      <c r="D16" s="697" t="s">
        <v>314</v>
      </c>
      <c r="E16" s="698"/>
      <c r="F16" s="699"/>
      <c r="G16" s="700"/>
      <c r="H16" s="700"/>
      <c r="I16" s="159" t="s">
        <v>313</v>
      </c>
      <c r="J16" s="700"/>
      <c r="K16" s="700"/>
      <c r="L16" s="701"/>
      <c r="M16" s="690"/>
      <c r="N16" s="691"/>
      <c r="O16" s="692"/>
      <c r="P16" s="702" t="s">
        <v>314</v>
      </c>
      <c r="Q16" s="698"/>
      <c r="R16" s="699"/>
      <c r="S16" s="700"/>
      <c r="T16" s="700"/>
      <c r="U16" s="159" t="s">
        <v>313</v>
      </c>
      <c r="V16" s="700"/>
      <c r="W16" s="700"/>
      <c r="X16" s="701"/>
      <c r="Y16" s="690"/>
      <c r="Z16" s="691"/>
      <c r="AA16" s="696"/>
      <c r="AC16" s="679"/>
      <c r="AD16" s="681"/>
      <c r="AE16" s="681"/>
      <c r="AF16" s="697" t="s">
        <v>314</v>
      </c>
      <c r="AG16" s="698"/>
      <c r="AH16" s="699"/>
      <c r="AI16" s="700"/>
      <c r="AJ16" s="700"/>
      <c r="AK16" s="159" t="s">
        <v>313</v>
      </c>
      <c r="AL16" s="700"/>
      <c r="AM16" s="700"/>
      <c r="AN16" s="701"/>
      <c r="AO16" s="690"/>
      <c r="AP16" s="691"/>
      <c r="AQ16" s="692"/>
      <c r="AR16" s="702" t="s">
        <v>314</v>
      </c>
      <c r="AS16" s="698"/>
      <c r="AT16" s="699"/>
      <c r="AU16" s="700"/>
      <c r="AV16" s="700"/>
      <c r="AW16" s="159" t="s">
        <v>313</v>
      </c>
      <c r="AX16" s="700"/>
      <c r="AY16" s="700"/>
      <c r="AZ16" s="701"/>
      <c r="BA16" s="690"/>
      <c r="BB16" s="691"/>
      <c r="BC16" s="696"/>
    </row>
    <row r="17" spans="1:55" ht="54.75" customHeight="1" x14ac:dyDescent="0.15">
      <c r="A17" s="678" t="s">
        <v>56</v>
      </c>
      <c r="B17" s="680">
        <f>予選リーグ!B23</f>
        <v>0.50694444444444442</v>
      </c>
      <c r="C17" s="680"/>
      <c r="D17" s="682" t="s">
        <v>9</v>
      </c>
      <c r="E17" s="683"/>
      <c r="F17" s="684" t="str">
        <f>予選リーグ!C23</f>
        <v>A2</v>
      </c>
      <c r="G17" s="684"/>
      <c r="H17" s="685"/>
      <c r="I17" s="157" t="s">
        <v>313</v>
      </c>
      <c r="J17" s="686" t="str">
        <f>予選リーグ!E23</f>
        <v>A3</v>
      </c>
      <c r="K17" s="684"/>
      <c r="L17" s="684"/>
      <c r="M17" s="687" t="str">
        <f>予選リーグ!D23</f>
        <v>A1</v>
      </c>
      <c r="N17" s="688"/>
      <c r="O17" s="689"/>
      <c r="P17" s="693" t="s">
        <v>9</v>
      </c>
      <c r="Q17" s="683"/>
      <c r="R17" s="685" t="str">
        <f>予選リーグ!F23</f>
        <v>B2</v>
      </c>
      <c r="S17" s="694"/>
      <c r="T17" s="694"/>
      <c r="U17" s="157" t="s">
        <v>313</v>
      </c>
      <c r="V17" s="694" t="str">
        <f>予選リーグ!H23</f>
        <v>B3</v>
      </c>
      <c r="W17" s="694"/>
      <c r="X17" s="686"/>
      <c r="Y17" s="687" t="str">
        <f>予選リーグ!G23</f>
        <v>B1</v>
      </c>
      <c r="Z17" s="688"/>
      <c r="AA17" s="695"/>
      <c r="AC17" s="678" t="s">
        <v>56</v>
      </c>
      <c r="AD17" s="680">
        <f>予選リーグ!B23</f>
        <v>0.50694444444444442</v>
      </c>
      <c r="AE17" s="680"/>
      <c r="AF17" s="682" t="s">
        <v>9</v>
      </c>
      <c r="AG17" s="683"/>
      <c r="AH17" s="684" t="str">
        <f>予選リーグ!I23</f>
        <v>E2</v>
      </c>
      <c r="AI17" s="684"/>
      <c r="AJ17" s="685"/>
      <c r="AK17" s="157" t="s">
        <v>313</v>
      </c>
      <c r="AL17" s="686" t="str">
        <f>予選リーグ!K23</f>
        <v>E3</v>
      </c>
      <c r="AM17" s="684"/>
      <c r="AN17" s="684"/>
      <c r="AO17" s="687" t="str">
        <f>予選リーグ!J23</f>
        <v>E1</v>
      </c>
      <c r="AP17" s="688"/>
      <c r="AQ17" s="689"/>
      <c r="AR17" s="693" t="s">
        <v>9</v>
      </c>
      <c r="AS17" s="683"/>
      <c r="AT17" s="684" t="str">
        <f>予選リーグ!L23</f>
        <v>F2</v>
      </c>
      <c r="AU17" s="684"/>
      <c r="AV17" s="685"/>
      <c r="AW17" s="157" t="s">
        <v>313</v>
      </c>
      <c r="AX17" s="686" t="str">
        <f>予選リーグ!N23</f>
        <v>F3</v>
      </c>
      <c r="AY17" s="684"/>
      <c r="AZ17" s="684"/>
      <c r="BA17" s="687" t="str">
        <f>予選リーグ!M23</f>
        <v>F1</v>
      </c>
      <c r="BB17" s="688"/>
      <c r="BC17" s="695"/>
    </row>
    <row r="18" spans="1:55" s="158" customFormat="1" ht="54.75" customHeight="1" x14ac:dyDescent="0.15">
      <c r="A18" s="679"/>
      <c r="B18" s="681"/>
      <c r="C18" s="681"/>
      <c r="D18" s="697" t="s">
        <v>314</v>
      </c>
      <c r="E18" s="698"/>
      <c r="F18" s="699"/>
      <c r="G18" s="700"/>
      <c r="H18" s="700"/>
      <c r="I18" s="159" t="s">
        <v>313</v>
      </c>
      <c r="J18" s="700"/>
      <c r="K18" s="700"/>
      <c r="L18" s="701"/>
      <c r="M18" s="690"/>
      <c r="N18" s="691"/>
      <c r="O18" s="692"/>
      <c r="P18" s="702" t="s">
        <v>314</v>
      </c>
      <c r="Q18" s="698"/>
      <c r="R18" s="699"/>
      <c r="S18" s="700"/>
      <c r="T18" s="700"/>
      <c r="U18" s="159" t="s">
        <v>313</v>
      </c>
      <c r="V18" s="700"/>
      <c r="W18" s="700"/>
      <c r="X18" s="701"/>
      <c r="Y18" s="690"/>
      <c r="Z18" s="691"/>
      <c r="AA18" s="696"/>
      <c r="AC18" s="679"/>
      <c r="AD18" s="681"/>
      <c r="AE18" s="681"/>
      <c r="AF18" s="697" t="s">
        <v>314</v>
      </c>
      <c r="AG18" s="698"/>
      <c r="AH18" s="699"/>
      <c r="AI18" s="700"/>
      <c r="AJ18" s="700"/>
      <c r="AK18" s="159" t="s">
        <v>313</v>
      </c>
      <c r="AL18" s="700"/>
      <c r="AM18" s="700"/>
      <c r="AN18" s="701"/>
      <c r="AO18" s="690"/>
      <c r="AP18" s="691"/>
      <c r="AQ18" s="692"/>
      <c r="AR18" s="702" t="s">
        <v>314</v>
      </c>
      <c r="AS18" s="698"/>
      <c r="AT18" s="699"/>
      <c r="AU18" s="700"/>
      <c r="AV18" s="700"/>
      <c r="AW18" s="159" t="s">
        <v>313</v>
      </c>
      <c r="AX18" s="700"/>
      <c r="AY18" s="700"/>
      <c r="AZ18" s="701"/>
      <c r="BA18" s="690"/>
      <c r="BB18" s="691"/>
      <c r="BC18" s="696"/>
    </row>
    <row r="19" spans="1:55" ht="54.75" customHeight="1" x14ac:dyDescent="0.15">
      <c r="A19" s="678" t="s">
        <v>58</v>
      </c>
      <c r="B19" s="680">
        <f>予選リーグ!B27</f>
        <v>0.54166666666666663</v>
      </c>
      <c r="C19" s="680"/>
      <c r="D19" s="682" t="s">
        <v>9</v>
      </c>
      <c r="E19" s="683"/>
      <c r="F19" s="684" t="str">
        <f>予選リーグ!C27</f>
        <v>C2</v>
      </c>
      <c r="G19" s="684"/>
      <c r="H19" s="685"/>
      <c r="I19" s="157" t="s">
        <v>313</v>
      </c>
      <c r="J19" s="686" t="str">
        <f>予選リーグ!E27</f>
        <v>C3</v>
      </c>
      <c r="K19" s="684"/>
      <c r="L19" s="684"/>
      <c r="M19" s="687" t="str">
        <f>予選リーグ!D27</f>
        <v>C1</v>
      </c>
      <c r="N19" s="688"/>
      <c r="O19" s="689"/>
      <c r="P19" s="693" t="s">
        <v>9</v>
      </c>
      <c r="Q19" s="683"/>
      <c r="R19" s="685" t="str">
        <f>予選リーグ!F27</f>
        <v>D2</v>
      </c>
      <c r="S19" s="694"/>
      <c r="T19" s="694"/>
      <c r="U19" s="157" t="s">
        <v>313</v>
      </c>
      <c r="V19" s="694" t="str">
        <f>予選リーグ!H27</f>
        <v>D3</v>
      </c>
      <c r="W19" s="694"/>
      <c r="X19" s="686"/>
      <c r="Y19" s="687" t="str">
        <f>予選リーグ!G27</f>
        <v>D1</v>
      </c>
      <c r="Z19" s="688"/>
      <c r="AA19" s="695"/>
      <c r="AC19" s="678" t="s">
        <v>58</v>
      </c>
      <c r="AD19" s="680">
        <f>予選リーグ!B27</f>
        <v>0.54166666666666663</v>
      </c>
      <c r="AE19" s="680"/>
      <c r="AF19" s="682" t="s">
        <v>9</v>
      </c>
      <c r="AG19" s="683"/>
      <c r="AH19" s="684" t="str">
        <f>予選リーグ!I27</f>
        <v>G2</v>
      </c>
      <c r="AI19" s="684"/>
      <c r="AJ19" s="685"/>
      <c r="AK19" s="157" t="s">
        <v>313</v>
      </c>
      <c r="AL19" s="686" t="str">
        <f>予選リーグ!K27</f>
        <v>G3</v>
      </c>
      <c r="AM19" s="684"/>
      <c r="AN19" s="684"/>
      <c r="AO19" s="687" t="str">
        <f>予選リーグ!J27</f>
        <v>G1</v>
      </c>
      <c r="AP19" s="688"/>
      <c r="AQ19" s="689"/>
      <c r="AR19" s="693" t="s">
        <v>9</v>
      </c>
      <c r="AS19" s="683"/>
      <c r="AT19" s="684" t="str">
        <f>予選リーグ!L27</f>
        <v>H2</v>
      </c>
      <c r="AU19" s="684"/>
      <c r="AV19" s="685"/>
      <c r="AW19" s="157" t="s">
        <v>313</v>
      </c>
      <c r="AX19" s="686" t="str">
        <f>予選リーグ!N27</f>
        <v>H3</v>
      </c>
      <c r="AY19" s="684"/>
      <c r="AZ19" s="684"/>
      <c r="BA19" s="687" t="str">
        <f>予選リーグ!M27</f>
        <v>H1</v>
      </c>
      <c r="BB19" s="688"/>
      <c r="BC19" s="695"/>
    </row>
    <row r="20" spans="1:55" s="158" customFormat="1" ht="54.75" customHeight="1" x14ac:dyDescent="0.15">
      <c r="A20" s="679"/>
      <c r="B20" s="681"/>
      <c r="C20" s="681"/>
      <c r="D20" s="697" t="s">
        <v>314</v>
      </c>
      <c r="E20" s="698"/>
      <c r="F20" s="699"/>
      <c r="G20" s="700"/>
      <c r="H20" s="700"/>
      <c r="I20" s="159" t="s">
        <v>313</v>
      </c>
      <c r="J20" s="700"/>
      <c r="K20" s="700"/>
      <c r="L20" s="701"/>
      <c r="M20" s="690"/>
      <c r="N20" s="691"/>
      <c r="O20" s="692"/>
      <c r="P20" s="702" t="s">
        <v>314</v>
      </c>
      <c r="Q20" s="698"/>
      <c r="R20" s="699"/>
      <c r="S20" s="700"/>
      <c r="T20" s="700"/>
      <c r="U20" s="159" t="s">
        <v>313</v>
      </c>
      <c r="V20" s="700"/>
      <c r="W20" s="700"/>
      <c r="X20" s="701"/>
      <c r="Y20" s="690"/>
      <c r="Z20" s="691"/>
      <c r="AA20" s="696"/>
      <c r="AC20" s="679"/>
      <c r="AD20" s="681"/>
      <c r="AE20" s="681"/>
      <c r="AF20" s="697" t="s">
        <v>314</v>
      </c>
      <c r="AG20" s="698"/>
      <c r="AH20" s="699"/>
      <c r="AI20" s="700"/>
      <c r="AJ20" s="700"/>
      <c r="AK20" s="159" t="s">
        <v>313</v>
      </c>
      <c r="AL20" s="700"/>
      <c r="AM20" s="700"/>
      <c r="AN20" s="701"/>
      <c r="AO20" s="690"/>
      <c r="AP20" s="691"/>
      <c r="AQ20" s="692"/>
      <c r="AR20" s="702" t="s">
        <v>314</v>
      </c>
      <c r="AS20" s="698"/>
      <c r="AT20" s="699"/>
      <c r="AU20" s="700"/>
      <c r="AV20" s="700"/>
      <c r="AW20" s="159" t="s">
        <v>313</v>
      </c>
      <c r="AX20" s="700"/>
      <c r="AY20" s="700"/>
      <c r="AZ20" s="701"/>
      <c r="BA20" s="690"/>
      <c r="BB20" s="691"/>
      <c r="BC20" s="696"/>
    </row>
    <row r="21" spans="1:55" ht="54.75" customHeight="1" x14ac:dyDescent="0.15">
      <c r="A21" s="678" t="s">
        <v>60</v>
      </c>
      <c r="B21" s="680">
        <f>予選リーグ!B29</f>
        <v>0.57638888888888895</v>
      </c>
      <c r="C21" s="680"/>
      <c r="D21" s="682" t="s">
        <v>9</v>
      </c>
      <c r="E21" s="683"/>
      <c r="F21" s="684" t="str">
        <f>予選リーグ!C29</f>
        <v>A3</v>
      </c>
      <c r="G21" s="684"/>
      <c r="H21" s="685"/>
      <c r="I21" s="157" t="s">
        <v>313</v>
      </c>
      <c r="J21" s="686" t="str">
        <f>予選リーグ!E29</f>
        <v>A1</v>
      </c>
      <c r="K21" s="684"/>
      <c r="L21" s="684"/>
      <c r="M21" s="687" t="str">
        <f>予選リーグ!D29</f>
        <v>A2</v>
      </c>
      <c r="N21" s="688"/>
      <c r="O21" s="689"/>
      <c r="P21" s="693" t="s">
        <v>9</v>
      </c>
      <c r="Q21" s="683"/>
      <c r="R21" s="685" t="str">
        <f>予選リーグ!F29</f>
        <v>B3</v>
      </c>
      <c r="S21" s="694"/>
      <c r="T21" s="694"/>
      <c r="U21" s="157" t="s">
        <v>313</v>
      </c>
      <c r="V21" s="694" t="str">
        <f>予選リーグ!H29</f>
        <v>B1</v>
      </c>
      <c r="W21" s="694"/>
      <c r="X21" s="686"/>
      <c r="Y21" s="687" t="str">
        <f>予選リーグ!G29</f>
        <v>B2</v>
      </c>
      <c r="Z21" s="688"/>
      <c r="AA21" s="695"/>
      <c r="AC21" s="678" t="s">
        <v>60</v>
      </c>
      <c r="AD21" s="680">
        <f>予選リーグ!B29</f>
        <v>0.57638888888888895</v>
      </c>
      <c r="AE21" s="680"/>
      <c r="AF21" s="682" t="s">
        <v>9</v>
      </c>
      <c r="AG21" s="683"/>
      <c r="AH21" s="684" t="str">
        <f>予選リーグ!I29</f>
        <v>E3</v>
      </c>
      <c r="AI21" s="684"/>
      <c r="AJ21" s="685"/>
      <c r="AK21" s="157" t="s">
        <v>313</v>
      </c>
      <c r="AL21" s="686" t="str">
        <f>予選リーグ!K29</f>
        <v>E1</v>
      </c>
      <c r="AM21" s="684"/>
      <c r="AN21" s="684"/>
      <c r="AO21" s="687" t="str">
        <f>予選リーグ!J29</f>
        <v>E2</v>
      </c>
      <c r="AP21" s="688"/>
      <c r="AQ21" s="689"/>
      <c r="AR21" s="693" t="s">
        <v>9</v>
      </c>
      <c r="AS21" s="683"/>
      <c r="AT21" s="684" t="str">
        <f>予選リーグ!L29</f>
        <v>F3</v>
      </c>
      <c r="AU21" s="684"/>
      <c r="AV21" s="685"/>
      <c r="AW21" s="157" t="s">
        <v>313</v>
      </c>
      <c r="AX21" s="686" t="str">
        <f>予選リーグ!N29</f>
        <v>F1</v>
      </c>
      <c r="AY21" s="684"/>
      <c r="AZ21" s="684"/>
      <c r="BA21" s="687" t="str">
        <f>予選リーグ!M29</f>
        <v>F2</v>
      </c>
      <c r="BB21" s="688"/>
      <c r="BC21" s="695"/>
    </row>
    <row r="22" spans="1:55" s="158" customFormat="1" ht="54.75" customHeight="1" x14ac:dyDescent="0.15">
      <c r="A22" s="679"/>
      <c r="B22" s="681"/>
      <c r="C22" s="681"/>
      <c r="D22" s="697" t="s">
        <v>314</v>
      </c>
      <c r="E22" s="698"/>
      <c r="F22" s="699"/>
      <c r="G22" s="700"/>
      <c r="H22" s="700"/>
      <c r="I22" s="159" t="s">
        <v>313</v>
      </c>
      <c r="J22" s="700"/>
      <c r="K22" s="700"/>
      <c r="L22" s="701"/>
      <c r="M22" s="690"/>
      <c r="N22" s="691"/>
      <c r="O22" s="692"/>
      <c r="P22" s="702" t="s">
        <v>314</v>
      </c>
      <c r="Q22" s="698"/>
      <c r="R22" s="699"/>
      <c r="S22" s="700"/>
      <c r="T22" s="700"/>
      <c r="U22" s="159" t="s">
        <v>313</v>
      </c>
      <c r="V22" s="700"/>
      <c r="W22" s="700"/>
      <c r="X22" s="701"/>
      <c r="Y22" s="690"/>
      <c r="Z22" s="691"/>
      <c r="AA22" s="696"/>
      <c r="AC22" s="679"/>
      <c r="AD22" s="681"/>
      <c r="AE22" s="681"/>
      <c r="AF22" s="697" t="s">
        <v>314</v>
      </c>
      <c r="AG22" s="698"/>
      <c r="AH22" s="699"/>
      <c r="AI22" s="700"/>
      <c r="AJ22" s="700"/>
      <c r="AK22" s="159" t="s">
        <v>313</v>
      </c>
      <c r="AL22" s="700"/>
      <c r="AM22" s="700"/>
      <c r="AN22" s="701"/>
      <c r="AO22" s="690"/>
      <c r="AP22" s="691"/>
      <c r="AQ22" s="692"/>
      <c r="AR22" s="702" t="s">
        <v>314</v>
      </c>
      <c r="AS22" s="698"/>
      <c r="AT22" s="699"/>
      <c r="AU22" s="700"/>
      <c r="AV22" s="700"/>
      <c r="AW22" s="159" t="s">
        <v>313</v>
      </c>
      <c r="AX22" s="700"/>
      <c r="AY22" s="700"/>
      <c r="AZ22" s="701"/>
      <c r="BA22" s="690"/>
      <c r="BB22" s="691"/>
      <c r="BC22" s="696"/>
    </row>
    <row r="23" spans="1:55" ht="54.75" customHeight="1" x14ac:dyDescent="0.15">
      <c r="A23" s="678" t="s">
        <v>62</v>
      </c>
      <c r="B23" s="680">
        <f>予選リーグ!B31</f>
        <v>0.61111111111111105</v>
      </c>
      <c r="C23" s="680"/>
      <c r="D23" s="682" t="s">
        <v>9</v>
      </c>
      <c r="E23" s="683"/>
      <c r="F23" s="684" t="str">
        <f>予選リーグ!C31</f>
        <v>C3</v>
      </c>
      <c r="G23" s="684"/>
      <c r="H23" s="685"/>
      <c r="I23" s="157" t="s">
        <v>313</v>
      </c>
      <c r="J23" s="686" t="str">
        <f>予選リーグ!E31</f>
        <v>C1</v>
      </c>
      <c r="K23" s="684"/>
      <c r="L23" s="684"/>
      <c r="M23" s="687" t="str">
        <f>予選リーグ!D31</f>
        <v>C2</v>
      </c>
      <c r="N23" s="688"/>
      <c r="O23" s="689"/>
      <c r="P23" s="693" t="s">
        <v>9</v>
      </c>
      <c r="Q23" s="683"/>
      <c r="R23" s="685" t="str">
        <f>予選リーグ!F31</f>
        <v>D3</v>
      </c>
      <c r="S23" s="694"/>
      <c r="T23" s="694"/>
      <c r="U23" s="157" t="s">
        <v>313</v>
      </c>
      <c r="V23" s="694" t="str">
        <f>予選リーグ!H31</f>
        <v>D1</v>
      </c>
      <c r="W23" s="694"/>
      <c r="X23" s="686"/>
      <c r="Y23" s="687" t="str">
        <f>予選リーグ!G31</f>
        <v>D2</v>
      </c>
      <c r="Z23" s="688"/>
      <c r="AA23" s="695"/>
      <c r="AC23" s="678" t="s">
        <v>62</v>
      </c>
      <c r="AD23" s="680">
        <f>予選リーグ!B31</f>
        <v>0.61111111111111105</v>
      </c>
      <c r="AE23" s="680"/>
      <c r="AF23" s="682" t="s">
        <v>9</v>
      </c>
      <c r="AG23" s="683"/>
      <c r="AH23" s="684" t="str">
        <f>予選リーグ!I31</f>
        <v>G3</v>
      </c>
      <c r="AI23" s="684"/>
      <c r="AJ23" s="685"/>
      <c r="AK23" s="157" t="s">
        <v>313</v>
      </c>
      <c r="AL23" s="686" t="str">
        <f>予選リーグ!K31</f>
        <v>G1</v>
      </c>
      <c r="AM23" s="684"/>
      <c r="AN23" s="684"/>
      <c r="AO23" s="687" t="str">
        <f>予選リーグ!J31</f>
        <v>G2</v>
      </c>
      <c r="AP23" s="688"/>
      <c r="AQ23" s="689"/>
      <c r="AR23" s="693" t="s">
        <v>9</v>
      </c>
      <c r="AS23" s="683"/>
      <c r="AT23" s="684" t="str">
        <f>予選リーグ!L31</f>
        <v>H3</v>
      </c>
      <c r="AU23" s="684"/>
      <c r="AV23" s="685"/>
      <c r="AW23" s="157" t="s">
        <v>313</v>
      </c>
      <c r="AX23" s="686" t="str">
        <f>予選リーグ!N31</f>
        <v>H1</v>
      </c>
      <c r="AY23" s="684"/>
      <c r="AZ23" s="684"/>
      <c r="BA23" s="687" t="str">
        <f>予選リーグ!M31</f>
        <v>H2</v>
      </c>
      <c r="BB23" s="688"/>
      <c r="BC23" s="695"/>
    </row>
    <row r="24" spans="1:55" ht="54.75" customHeight="1" x14ac:dyDescent="0.15">
      <c r="A24" s="679"/>
      <c r="B24" s="681"/>
      <c r="C24" s="681"/>
      <c r="D24" s="697" t="s">
        <v>314</v>
      </c>
      <c r="E24" s="698"/>
      <c r="F24" s="699"/>
      <c r="G24" s="700"/>
      <c r="H24" s="700"/>
      <c r="I24" s="159" t="s">
        <v>313</v>
      </c>
      <c r="J24" s="700"/>
      <c r="K24" s="700"/>
      <c r="L24" s="701"/>
      <c r="M24" s="690"/>
      <c r="N24" s="691"/>
      <c r="O24" s="692"/>
      <c r="P24" s="702" t="s">
        <v>314</v>
      </c>
      <c r="Q24" s="698"/>
      <c r="R24" s="699"/>
      <c r="S24" s="700"/>
      <c r="T24" s="700"/>
      <c r="U24" s="159" t="s">
        <v>313</v>
      </c>
      <c r="V24" s="700"/>
      <c r="W24" s="700"/>
      <c r="X24" s="701"/>
      <c r="Y24" s="690"/>
      <c r="Z24" s="691"/>
      <c r="AA24" s="696"/>
      <c r="AB24" s="158"/>
      <c r="AC24" s="679"/>
      <c r="AD24" s="681"/>
      <c r="AE24" s="681"/>
      <c r="AF24" s="697" t="s">
        <v>314</v>
      </c>
      <c r="AG24" s="698"/>
      <c r="AH24" s="699"/>
      <c r="AI24" s="700"/>
      <c r="AJ24" s="700"/>
      <c r="AK24" s="159" t="s">
        <v>313</v>
      </c>
      <c r="AL24" s="700"/>
      <c r="AM24" s="700"/>
      <c r="AN24" s="701"/>
      <c r="AO24" s="690"/>
      <c r="AP24" s="691"/>
      <c r="AQ24" s="692"/>
      <c r="AR24" s="702" t="s">
        <v>314</v>
      </c>
      <c r="AS24" s="698"/>
      <c r="AT24" s="699"/>
      <c r="AU24" s="700"/>
      <c r="AV24" s="700"/>
      <c r="AW24" s="159" t="s">
        <v>313</v>
      </c>
      <c r="AX24" s="700"/>
      <c r="AY24" s="700"/>
      <c r="AZ24" s="701"/>
      <c r="BA24" s="690"/>
      <c r="BB24" s="691"/>
      <c r="BC24" s="696"/>
    </row>
    <row r="25" spans="1:55" ht="14.25" customHeight="1" x14ac:dyDescent="0.15"/>
    <row r="29" spans="1:55" ht="27.75" hidden="1" customHeight="1" x14ac:dyDescent="0.15">
      <c r="A29" s="160"/>
      <c r="B29" s="161"/>
      <c r="C29" s="161"/>
      <c r="D29" s="162"/>
      <c r="E29" s="162"/>
      <c r="F29" s="145"/>
      <c r="G29" s="145"/>
      <c r="H29" s="145"/>
      <c r="I29" s="163"/>
      <c r="J29" s="145"/>
      <c r="K29" s="145"/>
      <c r="L29" s="145"/>
      <c r="M29" s="145"/>
      <c r="N29" s="145"/>
      <c r="O29" s="145"/>
      <c r="P29" s="162"/>
      <c r="Q29" s="162"/>
      <c r="R29" s="145"/>
      <c r="S29" s="145"/>
      <c r="T29" s="145"/>
      <c r="U29" s="163"/>
      <c r="V29" s="145"/>
      <c r="W29" s="145"/>
      <c r="X29" s="145"/>
      <c r="Y29" s="145"/>
      <c r="Z29" s="145"/>
      <c r="AA29" s="145"/>
      <c r="AC29" s="160"/>
      <c r="AD29" s="161"/>
      <c r="AE29" s="161"/>
      <c r="AF29" s="162"/>
      <c r="AG29" s="162"/>
      <c r="AH29" s="145"/>
      <c r="AI29" s="145"/>
      <c r="AJ29" s="145"/>
      <c r="AK29" s="163"/>
      <c r="AL29" s="145"/>
      <c r="AM29" s="145"/>
      <c r="AN29" s="145"/>
      <c r="AO29" s="145"/>
      <c r="AP29" s="145"/>
      <c r="AQ29" s="145"/>
      <c r="AR29" s="162"/>
      <c r="AS29" s="162"/>
      <c r="AT29" s="145"/>
      <c r="AU29" s="145"/>
      <c r="AV29" s="145"/>
      <c r="AW29" s="163"/>
      <c r="AX29" s="145"/>
      <c r="AY29" s="145"/>
      <c r="AZ29" s="145"/>
      <c r="BA29" s="145"/>
      <c r="BB29" s="145"/>
      <c r="BC29" s="145"/>
    </row>
    <row r="30" spans="1:55" ht="27.75" hidden="1" customHeight="1" x14ac:dyDescent="0.15">
      <c r="A30" s="160"/>
      <c r="B30" s="161"/>
      <c r="C30" s="161"/>
      <c r="D30" s="164"/>
      <c r="E30" s="164"/>
      <c r="F30" s="164"/>
      <c r="G30" s="164"/>
      <c r="H30" s="164"/>
      <c r="I30" s="165"/>
      <c r="J30" s="164"/>
      <c r="K30" s="164"/>
      <c r="L30" s="164"/>
      <c r="M30" s="145"/>
      <c r="N30" s="145"/>
      <c r="O30" s="145"/>
      <c r="P30" s="164"/>
      <c r="Q30" s="164"/>
      <c r="R30" s="164"/>
      <c r="S30" s="164"/>
      <c r="T30" s="164"/>
      <c r="U30" s="165"/>
      <c r="V30" s="164"/>
      <c r="W30" s="164"/>
      <c r="X30" s="164"/>
      <c r="Y30" s="145"/>
      <c r="Z30" s="145"/>
      <c r="AA30" s="145"/>
      <c r="AC30" s="160"/>
      <c r="AD30" s="161"/>
      <c r="AE30" s="161"/>
      <c r="AF30" s="164"/>
      <c r="AG30" s="164"/>
      <c r="AH30" s="164"/>
      <c r="AI30" s="164"/>
      <c r="AJ30" s="164"/>
      <c r="AK30" s="165"/>
      <c r="AL30" s="164"/>
      <c r="AM30" s="164"/>
      <c r="AN30" s="164"/>
      <c r="AO30" s="145"/>
      <c r="AP30" s="145"/>
      <c r="AQ30" s="145"/>
      <c r="AR30" s="164"/>
      <c r="AS30" s="164"/>
      <c r="AT30" s="164"/>
      <c r="AU30" s="164"/>
      <c r="AV30" s="164"/>
      <c r="AW30" s="165"/>
      <c r="AX30" s="164"/>
      <c r="AY30" s="164"/>
      <c r="AZ30" s="164"/>
      <c r="BA30" s="145"/>
      <c r="BB30" s="145"/>
      <c r="BC30" s="145"/>
    </row>
    <row r="31" spans="1:55" ht="27.75" hidden="1" customHeight="1" x14ac:dyDescent="0.15">
      <c r="A31" s="160"/>
      <c r="B31" s="161"/>
      <c r="C31" s="161"/>
      <c r="D31" s="162"/>
      <c r="E31" s="162"/>
      <c r="F31" s="145"/>
      <c r="G31" s="145"/>
      <c r="H31" s="145"/>
      <c r="I31" s="163"/>
      <c r="J31" s="145"/>
      <c r="K31" s="145"/>
      <c r="L31" s="145"/>
      <c r="M31" s="145"/>
      <c r="N31" s="145"/>
      <c r="O31" s="145"/>
      <c r="P31" s="162"/>
      <c r="Q31" s="162"/>
      <c r="R31" s="145"/>
      <c r="S31" s="145"/>
      <c r="T31" s="145"/>
      <c r="U31" s="163"/>
      <c r="V31" s="145"/>
      <c r="W31" s="145"/>
      <c r="X31" s="145"/>
      <c r="Y31" s="145"/>
      <c r="Z31" s="145"/>
      <c r="AA31" s="145"/>
      <c r="AC31" s="160"/>
      <c r="AD31" s="161"/>
      <c r="AE31" s="161"/>
      <c r="AF31" s="162"/>
      <c r="AG31" s="162"/>
      <c r="AH31" s="145"/>
      <c r="AI31" s="145"/>
      <c r="AJ31" s="145"/>
      <c r="AK31" s="163"/>
      <c r="AL31" s="145"/>
      <c r="AM31" s="145"/>
      <c r="AN31" s="145"/>
      <c r="AO31" s="145"/>
      <c r="AP31" s="145"/>
      <c r="AQ31" s="145"/>
      <c r="AR31" s="162"/>
      <c r="AS31" s="162"/>
      <c r="AT31" s="145"/>
      <c r="AU31" s="145"/>
      <c r="AV31" s="145"/>
      <c r="AW31" s="163"/>
      <c r="AX31" s="145"/>
      <c r="AY31" s="145"/>
      <c r="AZ31" s="145"/>
      <c r="BA31" s="145"/>
      <c r="BB31" s="145"/>
      <c r="BC31" s="145"/>
    </row>
    <row r="32" spans="1:55" ht="27.75" hidden="1" customHeight="1" x14ac:dyDescent="0.15">
      <c r="A32" s="160"/>
      <c r="B32" s="161"/>
      <c r="C32" s="161"/>
      <c r="D32" s="164"/>
      <c r="E32" s="164"/>
      <c r="F32" s="164"/>
      <c r="G32" s="164"/>
      <c r="H32" s="164"/>
      <c r="I32" s="165"/>
      <c r="J32" s="164"/>
      <c r="K32" s="164"/>
      <c r="L32" s="164"/>
      <c r="M32" s="145"/>
      <c r="N32" s="145"/>
      <c r="O32" s="145"/>
      <c r="P32" s="164"/>
      <c r="Q32" s="164"/>
      <c r="R32" s="164"/>
      <c r="S32" s="164"/>
      <c r="T32" s="164"/>
      <c r="U32" s="165"/>
      <c r="V32" s="164"/>
      <c r="W32" s="164"/>
      <c r="X32" s="164"/>
      <c r="Y32" s="145"/>
      <c r="Z32" s="145"/>
      <c r="AA32" s="145"/>
      <c r="AC32" s="160"/>
      <c r="AD32" s="161"/>
      <c r="AE32" s="161"/>
      <c r="AF32" s="164"/>
      <c r="AG32" s="164"/>
      <c r="AH32" s="164"/>
      <c r="AI32" s="164"/>
      <c r="AJ32" s="164"/>
      <c r="AK32" s="165"/>
      <c r="AL32" s="164"/>
      <c r="AM32" s="164"/>
      <c r="AN32" s="164"/>
      <c r="AO32" s="145"/>
      <c r="AP32" s="145"/>
      <c r="AQ32" s="145"/>
      <c r="AR32" s="164"/>
      <c r="AS32" s="164"/>
      <c r="AT32" s="164"/>
      <c r="AU32" s="164"/>
      <c r="AV32" s="164"/>
      <c r="AW32" s="165"/>
      <c r="AX32" s="164"/>
      <c r="AY32" s="164"/>
      <c r="AZ32" s="164"/>
      <c r="BA32" s="145"/>
      <c r="BB32" s="145"/>
      <c r="BC32" s="145"/>
    </row>
    <row r="33" spans="1:56" ht="27.75" hidden="1" customHeight="1" x14ac:dyDescent="0.15">
      <c r="A33" s="160"/>
      <c r="B33" s="161"/>
      <c r="C33" s="161"/>
      <c r="D33" s="162"/>
      <c r="E33" s="162"/>
      <c r="F33" s="145"/>
      <c r="G33" s="145"/>
      <c r="H33" s="145"/>
      <c r="I33" s="163"/>
      <c r="J33" s="145"/>
      <c r="K33" s="145"/>
      <c r="L33" s="145"/>
      <c r="M33" s="145"/>
      <c r="N33" s="145"/>
      <c r="O33" s="145"/>
      <c r="P33" s="162"/>
      <c r="Q33" s="162"/>
      <c r="R33" s="145"/>
      <c r="S33" s="145"/>
      <c r="T33" s="145"/>
      <c r="U33" s="163"/>
      <c r="V33" s="145"/>
      <c r="W33" s="145"/>
      <c r="X33" s="145"/>
      <c r="Y33" s="145"/>
      <c r="Z33" s="145"/>
      <c r="AA33" s="145"/>
      <c r="AC33" s="160"/>
      <c r="AD33" s="161"/>
      <c r="AE33" s="161"/>
      <c r="AF33" s="162"/>
      <c r="AG33" s="162"/>
      <c r="AH33" s="145"/>
      <c r="AI33" s="145"/>
      <c r="AJ33" s="145"/>
      <c r="AK33" s="163"/>
      <c r="AL33" s="145"/>
      <c r="AM33" s="145"/>
      <c r="AN33" s="145"/>
      <c r="AO33" s="145"/>
      <c r="AP33" s="145"/>
      <c r="AQ33" s="145"/>
      <c r="AR33" s="162"/>
      <c r="AS33" s="162"/>
      <c r="AT33" s="145"/>
      <c r="AU33" s="145"/>
      <c r="AV33" s="145"/>
      <c r="AW33" s="163"/>
      <c r="AX33" s="145"/>
      <c r="AY33" s="145"/>
      <c r="AZ33" s="145"/>
      <c r="BA33" s="145"/>
      <c r="BB33" s="145"/>
      <c r="BC33" s="145"/>
    </row>
    <row r="34" spans="1:56" ht="27.75" hidden="1" customHeight="1" x14ac:dyDescent="0.15">
      <c r="A34" s="160"/>
      <c r="B34" s="161"/>
      <c r="C34" s="161"/>
      <c r="D34" s="164"/>
      <c r="E34" s="164"/>
      <c r="F34" s="164"/>
      <c r="G34" s="164"/>
      <c r="H34" s="164"/>
      <c r="I34" s="165"/>
      <c r="J34" s="164"/>
      <c r="K34" s="164"/>
      <c r="L34" s="164"/>
      <c r="M34" s="145"/>
      <c r="N34" s="145"/>
      <c r="O34" s="145"/>
      <c r="P34" s="164"/>
      <c r="Q34" s="164"/>
      <c r="R34" s="164"/>
      <c r="S34" s="164"/>
      <c r="T34" s="164"/>
      <c r="U34" s="165"/>
      <c r="V34" s="164"/>
      <c r="W34" s="164"/>
      <c r="X34" s="164"/>
      <c r="Y34" s="145"/>
      <c r="Z34" s="145"/>
      <c r="AA34" s="145"/>
      <c r="AC34" s="160"/>
      <c r="AD34" s="161"/>
      <c r="AE34" s="161"/>
      <c r="AF34" s="164"/>
      <c r="AG34" s="164"/>
      <c r="AH34" s="164"/>
      <c r="AI34" s="164"/>
      <c r="AJ34" s="164"/>
      <c r="AK34" s="165"/>
      <c r="AL34" s="164"/>
      <c r="AM34" s="164"/>
      <c r="AN34" s="164"/>
      <c r="AO34" s="145"/>
      <c r="AP34" s="145"/>
      <c r="AQ34" s="145"/>
      <c r="AR34" s="164"/>
      <c r="AS34" s="164"/>
      <c r="AT34" s="164"/>
      <c r="AU34" s="164"/>
      <c r="AV34" s="164"/>
      <c r="AW34" s="165"/>
      <c r="AX34" s="164"/>
      <c r="AY34" s="164"/>
      <c r="AZ34" s="164"/>
      <c r="BA34" s="145"/>
      <c r="BB34" s="145"/>
      <c r="BC34" s="145"/>
    </row>
    <row r="35" spans="1:56" ht="27.75" hidden="1" customHeight="1" x14ac:dyDescent="0.15">
      <c r="A35" s="160"/>
      <c r="B35" s="161"/>
      <c r="C35" s="161"/>
      <c r="D35" s="162"/>
      <c r="E35" s="162"/>
      <c r="F35" s="145"/>
      <c r="G35" s="145"/>
      <c r="H35" s="145"/>
      <c r="I35" s="163"/>
      <c r="J35" s="145"/>
      <c r="K35" s="145"/>
      <c r="L35" s="145"/>
      <c r="M35" s="145"/>
      <c r="N35" s="145"/>
      <c r="O35" s="145"/>
      <c r="P35" s="162"/>
      <c r="Q35" s="162"/>
      <c r="R35" s="145"/>
      <c r="S35" s="145"/>
      <c r="T35" s="145"/>
      <c r="U35" s="163"/>
      <c r="V35" s="145"/>
      <c r="W35" s="145"/>
      <c r="X35" s="145"/>
      <c r="Y35" s="145"/>
      <c r="Z35" s="145"/>
      <c r="AA35" s="145"/>
      <c r="AC35" s="160"/>
      <c r="AD35" s="161"/>
      <c r="AE35" s="161"/>
      <c r="AF35" s="162"/>
      <c r="AG35" s="162"/>
      <c r="AH35" s="145"/>
      <c r="AI35" s="145"/>
      <c r="AJ35" s="145"/>
      <c r="AK35" s="163"/>
      <c r="AL35" s="145"/>
      <c r="AM35" s="145"/>
      <c r="AN35" s="145"/>
      <c r="AO35" s="145"/>
      <c r="AP35" s="145"/>
      <c r="AQ35" s="145"/>
      <c r="AR35" s="162"/>
      <c r="AS35" s="162"/>
      <c r="AT35" s="145"/>
      <c r="AU35" s="145"/>
      <c r="AV35" s="145"/>
      <c r="AW35" s="163"/>
      <c r="AX35" s="145"/>
      <c r="AY35" s="145"/>
      <c r="AZ35" s="145"/>
      <c r="BA35" s="145"/>
      <c r="BB35" s="145"/>
      <c r="BC35" s="145"/>
    </row>
    <row r="36" spans="1:56" ht="27.75" hidden="1" customHeight="1" x14ac:dyDescent="0.15">
      <c r="A36" s="160"/>
      <c r="B36" s="161"/>
      <c r="C36" s="161"/>
      <c r="D36" s="164"/>
      <c r="E36" s="164"/>
      <c r="F36" s="164"/>
      <c r="G36" s="164"/>
      <c r="H36" s="164"/>
      <c r="I36" s="165"/>
      <c r="J36" s="164"/>
      <c r="K36" s="164"/>
      <c r="L36" s="164"/>
      <c r="M36" s="145"/>
      <c r="N36" s="145"/>
      <c r="O36" s="145"/>
      <c r="P36" s="164"/>
      <c r="Q36" s="164"/>
      <c r="R36" s="164"/>
      <c r="S36" s="164"/>
      <c r="T36" s="164"/>
      <c r="U36" s="165"/>
      <c r="V36" s="164"/>
      <c r="W36" s="164"/>
      <c r="X36" s="164"/>
      <c r="Y36" s="145"/>
      <c r="Z36" s="145"/>
      <c r="AA36" s="145"/>
      <c r="AC36" s="160"/>
      <c r="AD36" s="161"/>
      <c r="AE36" s="161"/>
      <c r="AF36" s="164"/>
      <c r="AG36" s="164"/>
      <c r="AH36" s="164"/>
      <c r="AI36" s="164"/>
      <c r="AJ36" s="164"/>
      <c r="AK36" s="165"/>
      <c r="AL36" s="164"/>
      <c r="AM36" s="164"/>
      <c r="AN36" s="164"/>
      <c r="AO36" s="145"/>
      <c r="AP36" s="145"/>
      <c r="AQ36" s="145"/>
      <c r="AR36" s="164"/>
      <c r="AS36" s="164"/>
      <c r="AT36" s="164"/>
      <c r="AU36" s="164"/>
      <c r="AV36" s="164"/>
      <c r="AW36" s="165"/>
      <c r="AX36" s="164"/>
      <c r="AY36" s="164"/>
      <c r="AZ36" s="164"/>
      <c r="BA36" s="145"/>
      <c r="BB36" s="145"/>
      <c r="BC36" s="145"/>
    </row>
    <row r="37" spans="1:56" ht="27.75" hidden="1" customHeight="1" x14ac:dyDescent="0.15">
      <c r="A37" s="160"/>
      <c r="B37" s="161"/>
      <c r="C37" s="161"/>
      <c r="D37" s="162"/>
      <c r="E37" s="162"/>
      <c r="F37" s="145"/>
      <c r="G37" s="145"/>
      <c r="H37" s="145"/>
      <c r="I37" s="163"/>
      <c r="J37" s="145"/>
      <c r="K37" s="145"/>
      <c r="L37" s="145"/>
      <c r="M37" s="145"/>
      <c r="N37" s="145"/>
      <c r="O37" s="145"/>
      <c r="P37" s="162"/>
      <c r="Q37" s="162"/>
      <c r="R37" s="145"/>
      <c r="S37" s="145"/>
      <c r="T37" s="145"/>
      <c r="U37" s="163"/>
      <c r="V37" s="145"/>
      <c r="W37" s="145"/>
      <c r="X37" s="145"/>
      <c r="Y37" s="145"/>
      <c r="Z37" s="145"/>
      <c r="AA37" s="145"/>
      <c r="AC37" s="160"/>
      <c r="AD37" s="161"/>
      <c r="AE37" s="161"/>
      <c r="AF37" s="162"/>
      <c r="AG37" s="162"/>
      <c r="AH37" s="145"/>
      <c r="AI37" s="145"/>
      <c r="AJ37" s="145"/>
      <c r="AK37" s="163"/>
      <c r="AL37" s="145"/>
      <c r="AM37" s="145"/>
      <c r="AN37" s="145"/>
      <c r="AO37" s="145"/>
      <c r="AP37" s="145"/>
      <c r="AQ37" s="145"/>
      <c r="AR37" s="162"/>
      <c r="AS37" s="162"/>
      <c r="AT37" s="145"/>
      <c r="AU37" s="145"/>
      <c r="AV37" s="145"/>
      <c r="AW37" s="163"/>
      <c r="AX37" s="145"/>
      <c r="AY37" s="145"/>
      <c r="AZ37" s="145"/>
      <c r="BA37" s="145"/>
      <c r="BB37" s="145"/>
      <c r="BC37" s="145"/>
    </row>
    <row r="38" spans="1:56" ht="27.75" hidden="1" customHeight="1" x14ac:dyDescent="0.15">
      <c r="A38" s="160"/>
      <c r="B38" s="161"/>
      <c r="C38" s="161"/>
      <c r="D38" s="164"/>
      <c r="E38" s="164"/>
      <c r="F38" s="164"/>
      <c r="G38" s="164"/>
      <c r="H38" s="164"/>
      <c r="I38" s="165"/>
      <c r="J38" s="164"/>
      <c r="K38" s="164"/>
      <c r="L38" s="164"/>
      <c r="M38" s="145"/>
      <c r="N38" s="145"/>
      <c r="O38" s="145"/>
      <c r="P38" s="164"/>
      <c r="Q38" s="164"/>
      <c r="R38" s="164"/>
      <c r="S38" s="164"/>
      <c r="T38" s="164"/>
      <c r="U38" s="165"/>
      <c r="V38" s="164"/>
      <c r="W38" s="164"/>
      <c r="X38" s="164"/>
      <c r="Y38" s="145"/>
      <c r="Z38" s="145"/>
      <c r="AA38" s="145"/>
      <c r="AC38" s="160"/>
      <c r="AD38" s="161"/>
      <c r="AE38" s="161"/>
      <c r="AF38" s="164"/>
      <c r="AG38" s="164"/>
      <c r="AH38" s="164"/>
      <c r="AI38" s="164"/>
      <c r="AJ38" s="164"/>
      <c r="AK38" s="165"/>
      <c r="AL38" s="164"/>
      <c r="AM38" s="164"/>
      <c r="AN38" s="164"/>
      <c r="AO38" s="145"/>
      <c r="AP38" s="145"/>
      <c r="AQ38" s="145"/>
      <c r="AR38" s="164"/>
      <c r="AS38" s="164"/>
      <c r="AT38" s="164"/>
      <c r="AU38" s="164"/>
      <c r="AV38" s="164"/>
      <c r="AW38" s="165"/>
      <c r="AX38" s="164"/>
      <c r="AY38" s="164"/>
      <c r="AZ38" s="164"/>
      <c r="BA38" s="145"/>
      <c r="BB38" s="145"/>
      <c r="BC38" s="145"/>
    </row>
    <row r="39" spans="1:56" ht="27.75" hidden="1" customHeight="1" x14ac:dyDescent="0.15">
      <c r="A39" s="160"/>
      <c r="B39" s="161"/>
      <c r="C39" s="161"/>
      <c r="D39" s="162"/>
      <c r="E39" s="162"/>
      <c r="F39" s="145"/>
      <c r="G39" s="145"/>
      <c r="H39" s="145"/>
      <c r="I39" s="163"/>
      <c r="J39" s="145"/>
      <c r="K39" s="145"/>
      <c r="L39" s="145"/>
      <c r="M39" s="145"/>
      <c r="N39" s="145"/>
      <c r="O39" s="145"/>
      <c r="P39" s="162"/>
      <c r="Q39" s="162"/>
      <c r="R39" s="145"/>
      <c r="S39" s="145"/>
      <c r="T39" s="145"/>
      <c r="U39" s="163"/>
      <c r="V39" s="145"/>
      <c r="W39" s="145"/>
      <c r="X39" s="145"/>
      <c r="Y39" s="145"/>
      <c r="Z39" s="145"/>
      <c r="AA39" s="145"/>
      <c r="AC39" s="160"/>
      <c r="AD39" s="161"/>
      <c r="AE39" s="161"/>
      <c r="AF39" s="162"/>
      <c r="AG39" s="162"/>
      <c r="AH39" s="145"/>
      <c r="AI39" s="145"/>
      <c r="AJ39" s="145"/>
      <c r="AK39" s="163"/>
      <c r="AL39" s="145"/>
      <c r="AM39" s="145"/>
      <c r="AN39" s="145"/>
      <c r="AO39" s="145"/>
      <c r="AP39" s="145"/>
      <c r="AQ39" s="145"/>
      <c r="AR39" s="162"/>
      <c r="AS39" s="162"/>
      <c r="AT39" s="145"/>
      <c r="AU39" s="145"/>
      <c r="AV39" s="145"/>
      <c r="AW39" s="163"/>
      <c r="AX39" s="145"/>
      <c r="AY39" s="145"/>
      <c r="AZ39" s="145"/>
      <c r="BA39" s="145"/>
      <c r="BB39" s="145"/>
      <c r="BC39" s="145"/>
    </row>
    <row r="40" spans="1:56" ht="27.75" hidden="1" customHeight="1" x14ac:dyDescent="0.15">
      <c r="A40" s="160"/>
      <c r="B40" s="161"/>
      <c r="C40" s="161"/>
      <c r="D40" s="164"/>
      <c r="E40" s="164"/>
      <c r="F40" s="164"/>
      <c r="G40" s="164"/>
      <c r="H40" s="164"/>
      <c r="I40" s="165"/>
      <c r="J40" s="164"/>
      <c r="K40" s="164"/>
      <c r="L40" s="164"/>
      <c r="M40" s="145"/>
      <c r="N40" s="145"/>
      <c r="O40" s="145"/>
      <c r="P40" s="164"/>
      <c r="Q40" s="164"/>
      <c r="R40" s="164"/>
      <c r="S40" s="164"/>
      <c r="T40" s="164"/>
      <c r="U40" s="165"/>
      <c r="V40" s="164"/>
      <c r="W40" s="164"/>
      <c r="X40" s="164"/>
      <c r="Y40" s="145"/>
      <c r="Z40" s="145"/>
      <c r="AA40" s="145"/>
      <c r="AC40" s="160"/>
      <c r="AD40" s="161"/>
      <c r="AE40" s="161"/>
      <c r="AF40" s="164"/>
      <c r="AG40" s="164"/>
      <c r="AH40" s="164"/>
      <c r="AI40" s="164"/>
      <c r="AJ40" s="164"/>
      <c r="AK40" s="165"/>
      <c r="AL40" s="164"/>
      <c r="AM40" s="164"/>
      <c r="AN40" s="164"/>
      <c r="AO40" s="145"/>
      <c r="AP40" s="145"/>
      <c r="AQ40" s="145"/>
      <c r="AR40" s="164"/>
      <c r="AS40" s="164"/>
      <c r="AT40" s="164"/>
      <c r="AU40" s="164"/>
      <c r="AV40" s="164"/>
      <c r="AW40" s="165"/>
      <c r="AX40" s="164"/>
      <c r="AY40" s="164"/>
      <c r="AZ40" s="164"/>
      <c r="BA40" s="145"/>
      <c r="BB40" s="145"/>
      <c r="BC40" s="145"/>
    </row>
    <row r="42" spans="1:56" x14ac:dyDescent="0.15">
      <c r="N42" s="166"/>
      <c r="O42" s="166"/>
      <c r="P42" s="166"/>
      <c r="Q42" s="166"/>
      <c r="R42" s="166"/>
      <c r="S42" s="166"/>
      <c r="T42" s="166"/>
      <c r="U42" s="166"/>
      <c r="V42" s="166"/>
      <c r="W42" s="166"/>
      <c r="X42" s="166"/>
      <c r="Y42" s="166"/>
      <c r="Z42" s="166"/>
    </row>
    <row r="43" spans="1:56" x14ac:dyDescent="0.15">
      <c r="F43" s="167" t="s">
        <v>315</v>
      </c>
      <c r="G43" s="168" t="s">
        <v>316</v>
      </c>
      <c r="H43" s="169">
        <v>3</v>
      </c>
      <c r="J43" s="170" t="s">
        <v>317</v>
      </c>
      <c r="K43" s="169">
        <v>1</v>
      </c>
      <c r="M43" s="170" t="s">
        <v>318</v>
      </c>
      <c r="N43" s="169">
        <v>0</v>
      </c>
      <c r="P43" s="137"/>
      <c r="Q43" s="137"/>
      <c r="R43" s="166"/>
      <c r="S43" s="166"/>
      <c r="T43" s="166"/>
      <c r="U43" s="166"/>
      <c r="V43" s="166"/>
      <c r="W43" s="166"/>
      <c r="X43" s="166"/>
      <c r="Y43" s="166"/>
      <c r="Z43" s="166"/>
      <c r="AA43" s="166"/>
      <c r="AB43" s="138"/>
      <c r="AC43" s="138"/>
      <c r="AD43" s="138"/>
      <c r="AE43" s="138"/>
      <c r="AF43" s="138"/>
      <c r="AG43" s="138"/>
      <c r="AH43" s="167" t="s">
        <v>315</v>
      </c>
      <c r="AI43" s="168" t="s">
        <v>316</v>
      </c>
      <c r="AJ43" s="169">
        <v>3</v>
      </c>
      <c r="AK43" s="138"/>
      <c r="AL43" s="170" t="s">
        <v>317</v>
      </c>
      <c r="AM43" s="169">
        <v>1</v>
      </c>
      <c r="AN43" s="138"/>
      <c r="AO43" s="170" t="s">
        <v>318</v>
      </c>
      <c r="AP43" s="169">
        <v>0</v>
      </c>
      <c r="AQ43" s="138"/>
      <c r="AT43" s="166"/>
      <c r="AU43" s="166"/>
      <c r="AV43" s="166"/>
      <c r="AW43" s="166"/>
      <c r="AX43" s="166"/>
      <c r="AY43" s="166"/>
      <c r="AZ43" s="166"/>
      <c r="BA43" s="166"/>
      <c r="BB43" s="166"/>
      <c r="BC43" s="166"/>
      <c r="BD43" s="138"/>
    </row>
    <row r="44" spans="1:56" x14ac:dyDescent="0.15">
      <c r="AB44" s="138"/>
      <c r="AC44" s="138"/>
      <c r="AD44" s="138"/>
      <c r="AE44" s="138"/>
      <c r="AF44" s="138"/>
      <c r="AG44" s="138"/>
      <c r="AH44" s="138"/>
      <c r="AI44" s="138"/>
      <c r="AJ44" s="138"/>
      <c r="AK44" s="138"/>
      <c r="AL44" s="138"/>
      <c r="AM44" s="138"/>
      <c r="AN44" s="138"/>
      <c r="AO44" s="138"/>
      <c r="AP44" s="138"/>
      <c r="AQ44" s="138"/>
      <c r="AR44" s="138"/>
      <c r="AS44" s="138"/>
      <c r="AT44" s="138"/>
      <c r="AU44" s="138"/>
      <c r="AV44" s="138"/>
      <c r="AW44" s="138"/>
      <c r="AX44" s="138"/>
      <c r="AY44" s="138"/>
      <c r="AZ44" s="138"/>
      <c r="BA44" s="138"/>
      <c r="BB44" s="138"/>
      <c r="BC44" s="138"/>
      <c r="BD44" s="138"/>
    </row>
    <row r="45" spans="1:56" ht="53.25" customHeight="1" x14ac:dyDescent="0.15">
      <c r="A45" s="703" t="s">
        <v>319</v>
      </c>
      <c r="B45" s="704"/>
      <c r="C45" s="705"/>
      <c r="D45" s="706" t="str">
        <f>A46</f>
        <v>A1</v>
      </c>
      <c r="E45" s="707"/>
      <c r="F45" s="707"/>
      <c r="G45" s="707" t="str">
        <f>A48</f>
        <v>A2</v>
      </c>
      <c r="H45" s="707"/>
      <c r="I45" s="707"/>
      <c r="J45" s="707" t="str">
        <f>A50</f>
        <v>A3</v>
      </c>
      <c r="K45" s="707"/>
      <c r="L45" s="707"/>
      <c r="M45" s="171" t="s">
        <v>316</v>
      </c>
      <c r="N45" s="172" t="s">
        <v>317</v>
      </c>
      <c r="O45" s="173" t="s">
        <v>320</v>
      </c>
      <c r="P45" s="172" t="s">
        <v>321</v>
      </c>
      <c r="Q45" s="708" t="s">
        <v>322</v>
      </c>
      <c r="R45" s="709"/>
      <c r="S45" s="710" t="s">
        <v>323</v>
      </c>
      <c r="T45" s="711"/>
      <c r="U45" s="712"/>
      <c r="V45" s="713"/>
      <c r="W45" s="712"/>
      <c r="X45" s="713"/>
      <c r="AA45" s="137"/>
      <c r="AB45" s="139"/>
      <c r="AC45" s="703" t="s">
        <v>324</v>
      </c>
      <c r="AD45" s="704"/>
      <c r="AE45" s="705"/>
      <c r="AF45" s="706" t="str">
        <f>AC46</f>
        <v>E1</v>
      </c>
      <c r="AG45" s="707"/>
      <c r="AH45" s="707"/>
      <c r="AI45" s="707" t="str">
        <f>AC48</f>
        <v>E2</v>
      </c>
      <c r="AJ45" s="707"/>
      <c r="AK45" s="707"/>
      <c r="AL45" s="707" t="str">
        <f>AC50</f>
        <v>E3</v>
      </c>
      <c r="AM45" s="707"/>
      <c r="AN45" s="707"/>
      <c r="AO45" s="171" t="s">
        <v>316</v>
      </c>
      <c r="AP45" s="172" t="s">
        <v>317</v>
      </c>
      <c r="AQ45" s="173" t="s">
        <v>320</v>
      </c>
      <c r="AR45" s="172" t="s">
        <v>321</v>
      </c>
      <c r="AS45" s="708" t="s">
        <v>322</v>
      </c>
      <c r="AT45" s="709"/>
      <c r="AU45" s="710" t="s">
        <v>323</v>
      </c>
      <c r="AV45" s="711"/>
      <c r="AW45" s="712"/>
      <c r="AX45" s="713"/>
      <c r="AY45" s="712"/>
      <c r="AZ45" s="713"/>
    </row>
    <row r="46" spans="1:56" ht="26.25" customHeight="1" x14ac:dyDescent="0.15">
      <c r="A46" s="714" t="str">
        <f>予選リーグ!D5</f>
        <v>A1</v>
      </c>
      <c r="B46" s="716" t="s">
        <v>325</v>
      </c>
      <c r="C46" s="717"/>
      <c r="D46" s="174"/>
      <c r="E46" s="175"/>
      <c r="F46" s="176"/>
      <c r="G46" s="177"/>
      <c r="H46" s="157" t="str">
        <f>IF(G47="","",IF(G47&gt;I47,"○",IF(G47&lt;I47,"●",IF(G47=I47,"△"))))</f>
        <v>△</v>
      </c>
      <c r="I46" s="178"/>
      <c r="J46" s="157"/>
      <c r="K46" s="157" t="str">
        <f>IF(J47="","",IF(J47&gt;L47,"○",IF(J47&lt;L47,"●",IF(J47=L47,"△"))))</f>
        <v>△</v>
      </c>
      <c r="L46" s="178"/>
      <c r="M46" s="718">
        <f>COUNTIF(D46:L46,"○")</f>
        <v>0</v>
      </c>
      <c r="N46" s="720">
        <f>COUNTIF(D46:L46,"△")</f>
        <v>2</v>
      </c>
      <c r="O46" s="720">
        <f>COUNTIF(D46:L46,"●")</f>
        <v>0</v>
      </c>
      <c r="P46" s="720">
        <f>(M46*4)+(N46*1)</f>
        <v>2</v>
      </c>
      <c r="Q46" s="722">
        <f>RANK(P46,P$46:P$51)</f>
        <v>1</v>
      </c>
      <c r="R46" s="724" t="s">
        <v>326</v>
      </c>
      <c r="S46" s="726"/>
      <c r="T46" s="727"/>
      <c r="U46" s="730"/>
      <c r="V46" s="730"/>
      <c r="W46" s="731"/>
      <c r="X46" s="732"/>
      <c r="AA46" s="137"/>
      <c r="AC46" s="714" t="str">
        <f>予選リーグ!J5</f>
        <v>E1</v>
      </c>
      <c r="AD46" s="716" t="s">
        <v>325</v>
      </c>
      <c r="AE46" s="717"/>
      <c r="AF46" s="179"/>
      <c r="AG46" s="179"/>
      <c r="AH46" s="180"/>
      <c r="AI46" s="177"/>
      <c r="AJ46" s="157" t="str">
        <f>IF(AI47="","",IF(AI47&gt;AK47,"○",IF(AI47&lt;AK47,"●",IF(AI47=AK47,"△"))))</f>
        <v>△</v>
      </c>
      <c r="AK46" s="178"/>
      <c r="AL46" s="157"/>
      <c r="AM46" s="157" t="str">
        <f>IF(AL47="","",IF(AL47&gt;AN47,"○",IF(AL47&lt;AN47,"●",IF(AL47=AN47,"△"))))</f>
        <v>△</v>
      </c>
      <c r="AN46" s="178"/>
      <c r="AO46" s="733">
        <f>COUNTIF(AF46:AN46,"○")</f>
        <v>0</v>
      </c>
      <c r="AP46" s="734">
        <f>COUNTIF(AF46:AN46,"△")</f>
        <v>2</v>
      </c>
      <c r="AQ46" s="734">
        <f>COUNTIF(AF46:AN46,"●")</f>
        <v>0</v>
      </c>
      <c r="AR46" s="720">
        <f>(AO46*4)+(AP46*1)</f>
        <v>2</v>
      </c>
      <c r="AS46" s="735">
        <f>RANK(AR46,AR$46:AR$51)</f>
        <v>1</v>
      </c>
      <c r="AT46" s="736" t="s">
        <v>326</v>
      </c>
      <c r="AU46" s="737"/>
      <c r="AV46" s="738"/>
      <c r="AW46" s="730"/>
      <c r="AX46" s="730"/>
      <c r="AY46" s="731"/>
      <c r="AZ46" s="732"/>
    </row>
    <row r="47" spans="1:56" ht="26.25" customHeight="1" x14ac:dyDescent="0.15">
      <c r="A47" s="715"/>
      <c r="B47" s="739" t="s">
        <v>314</v>
      </c>
      <c r="C47" s="740"/>
      <c r="D47" s="182"/>
      <c r="E47" s="183"/>
      <c r="F47" s="184"/>
      <c r="G47" s="181">
        <f>F14</f>
        <v>0</v>
      </c>
      <c r="H47" s="185" t="s">
        <v>313</v>
      </c>
      <c r="I47" s="186">
        <f>J14</f>
        <v>0</v>
      </c>
      <c r="J47" s="187">
        <f>J22</f>
        <v>0</v>
      </c>
      <c r="K47" s="188" t="s">
        <v>313</v>
      </c>
      <c r="L47" s="186">
        <f>F22</f>
        <v>0</v>
      </c>
      <c r="M47" s="719"/>
      <c r="N47" s="721"/>
      <c r="O47" s="721"/>
      <c r="P47" s="721"/>
      <c r="Q47" s="723"/>
      <c r="R47" s="725"/>
      <c r="S47" s="728"/>
      <c r="T47" s="729"/>
      <c r="U47" s="730"/>
      <c r="V47" s="730"/>
      <c r="W47" s="731"/>
      <c r="X47" s="732"/>
      <c r="AA47" s="137"/>
      <c r="AC47" s="715"/>
      <c r="AD47" s="739" t="s">
        <v>314</v>
      </c>
      <c r="AE47" s="740"/>
      <c r="AF47" s="189"/>
      <c r="AG47" s="183"/>
      <c r="AH47" s="184"/>
      <c r="AI47" s="181">
        <f>AH14</f>
        <v>0</v>
      </c>
      <c r="AJ47" s="185" t="s">
        <v>313</v>
      </c>
      <c r="AK47" s="186">
        <f>AL14</f>
        <v>0</v>
      </c>
      <c r="AL47" s="187">
        <f>AL22</f>
        <v>0</v>
      </c>
      <c r="AM47" s="188" t="s">
        <v>313</v>
      </c>
      <c r="AN47" s="186">
        <f>AH22</f>
        <v>0</v>
      </c>
      <c r="AO47" s="719"/>
      <c r="AP47" s="721"/>
      <c r="AQ47" s="721"/>
      <c r="AR47" s="721"/>
      <c r="AS47" s="723"/>
      <c r="AT47" s="725"/>
      <c r="AU47" s="728"/>
      <c r="AV47" s="729"/>
      <c r="AW47" s="730"/>
      <c r="AX47" s="730"/>
      <c r="AY47" s="731"/>
      <c r="AZ47" s="732"/>
    </row>
    <row r="48" spans="1:56" ht="26.25" customHeight="1" x14ac:dyDescent="0.15">
      <c r="A48" s="741" t="str">
        <f>予選リーグ!C7</f>
        <v>A2</v>
      </c>
      <c r="B48" s="742" t="s">
        <v>325</v>
      </c>
      <c r="C48" s="743"/>
      <c r="D48" s="190"/>
      <c r="E48" s="191" t="str">
        <f>IF(D49="","",IF(D49&gt;F49,"○",IF(D49&lt;F49,"●",IF(D49=F49,"△"))))</f>
        <v>△</v>
      </c>
      <c r="F48" s="192"/>
      <c r="G48" s="193"/>
      <c r="H48" s="194"/>
      <c r="I48" s="195"/>
      <c r="J48" s="196"/>
      <c r="K48" s="197" t="str">
        <f>IF(J49="","",IF(J49&gt;L49,"○",IF(J49&lt;L49,"●",IF(J49=L49,"△"))))</f>
        <v>△</v>
      </c>
      <c r="L48" s="192"/>
      <c r="M48" s="744">
        <f>COUNTIF(D48:L48,"○")</f>
        <v>0</v>
      </c>
      <c r="N48" s="745">
        <f>COUNTIF(D48:L48,"△")</f>
        <v>2</v>
      </c>
      <c r="O48" s="745">
        <f>COUNTIF(D48:L48,"●")</f>
        <v>0</v>
      </c>
      <c r="P48" s="734">
        <f>(M48*4)+(N48*1)</f>
        <v>2</v>
      </c>
      <c r="Q48" s="723">
        <f>RANK(P48,P$46:P$51)</f>
        <v>1</v>
      </c>
      <c r="R48" s="725" t="s">
        <v>326</v>
      </c>
      <c r="S48" s="746"/>
      <c r="T48" s="747"/>
      <c r="U48" s="730"/>
      <c r="V48" s="730"/>
      <c r="W48" s="731"/>
      <c r="X48" s="732"/>
      <c r="AA48" s="137"/>
      <c r="AC48" s="741" t="str">
        <f>予選リーグ!I7</f>
        <v>E2</v>
      </c>
      <c r="AD48" s="742" t="s">
        <v>325</v>
      </c>
      <c r="AE48" s="743"/>
      <c r="AF48" s="191"/>
      <c r="AG48" s="191" t="str">
        <f>IF(AF49="","",IF(AF49&gt;AH49,"○",IF(AF49&lt;AH49,"●",IF(AF49=AH49,"△"))))</f>
        <v>△</v>
      </c>
      <c r="AH48" s="192"/>
      <c r="AI48" s="193"/>
      <c r="AJ48" s="194"/>
      <c r="AK48" s="195"/>
      <c r="AL48" s="196"/>
      <c r="AM48" s="197" t="str">
        <f>IF(AL49="","",IF(AL49&gt;AN49,"○",IF(AL49&lt;AN49,"●",IF(AL49=AN49,"△"))))</f>
        <v>△</v>
      </c>
      <c r="AN48" s="192"/>
      <c r="AO48" s="744">
        <f>COUNTIF(AF48:AN48,"○")</f>
        <v>0</v>
      </c>
      <c r="AP48" s="745">
        <f>COUNTIF(AF48:AN48,"△")</f>
        <v>2</v>
      </c>
      <c r="AQ48" s="745">
        <f>COUNTIF(AF48:AN48,"●")</f>
        <v>0</v>
      </c>
      <c r="AR48" s="734">
        <f>(AO48*4)+(AP48*1)</f>
        <v>2</v>
      </c>
      <c r="AS48" s="723">
        <f>RANK(AR48,AR$46:AR$51)</f>
        <v>1</v>
      </c>
      <c r="AT48" s="725" t="s">
        <v>326</v>
      </c>
      <c r="AU48" s="728"/>
      <c r="AV48" s="729"/>
      <c r="AW48" s="730"/>
      <c r="AX48" s="730"/>
      <c r="AY48" s="731"/>
      <c r="AZ48" s="732"/>
    </row>
    <row r="49" spans="1:52" ht="26.25" customHeight="1" x14ac:dyDescent="0.15">
      <c r="A49" s="715"/>
      <c r="B49" s="739" t="s">
        <v>314</v>
      </c>
      <c r="C49" s="740"/>
      <c r="D49" s="198">
        <f>I47</f>
        <v>0</v>
      </c>
      <c r="E49" s="185" t="s">
        <v>313</v>
      </c>
      <c r="F49" s="186">
        <f>G47</f>
        <v>0</v>
      </c>
      <c r="G49" s="199"/>
      <c r="H49" s="183"/>
      <c r="I49" s="200"/>
      <c r="J49" s="201">
        <f>F18</f>
        <v>0</v>
      </c>
      <c r="K49" s="185" t="s">
        <v>313</v>
      </c>
      <c r="L49" s="202">
        <f>J18</f>
        <v>0</v>
      </c>
      <c r="M49" s="719"/>
      <c r="N49" s="721"/>
      <c r="O49" s="721"/>
      <c r="P49" s="721"/>
      <c r="Q49" s="723"/>
      <c r="R49" s="725"/>
      <c r="S49" s="746"/>
      <c r="T49" s="747"/>
      <c r="U49" s="730"/>
      <c r="V49" s="730"/>
      <c r="W49" s="731"/>
      <c r="X49" s="732"/>
      <c r="AA49" s="137"/>
      <c r="AC49" s="715"/>
      <c r="AD49" s="739" t="s">
        <v>314</v>
      </c>
      <c r="AE49" s="740"/>
      <c r="AF49" s="187">
        <f>AK47</f>
        <v>0</v>
      </c>
      <c r="AG49" s="185" t="s">
        <v>313</v>
      </c>
      <c r="AH49" s="186">
        <f>AI47</f>
        <v>0</v>
      </c>
      <c r="AI49" s="199"/>
      <c r="AJ49" s="183"/>
      <c r="AK49" s="200"/>
      <c r="AL49" s="201">
        <f>AH18</f>
        <v>0</v>
      </c>
      <c r="AM49" s="185" t="s">
        <v>313</v>
      </c>
      <c r="AN49" s="202">
        <f>AL18</f>
        <v>0</v>
      </c>
      <c r="AO49" s="719"/>
      <c r="AP49" s="721"/>
      <c r="AQ49" s="721"/>
      <c r="AR49" s="721"/>
      <c r="AS49" s="723"/>
      <c r="AT49" s="725"/>
      <c r="AU49" s="728"/>
      <c r="AV49" s="729"/>
      <c r="AW49" s="730"/>
      <c r="AX49" s="730"/>
      <c r="AY49" s="731"/>
      <c r="AZ49" s="732"/>
    </row>
    <row r="50" spans="1:52" ht="26.25" customHeight="1" x14ac:dyDescent="0.15">
      <c r="A50" s="741" t="str">
        <f>予選リーグ!E7</f>
        <v>A3</v>
      </c>
      <c r="B50" s="742" t="s">
        <v>325</v>
      </c>
      <c r="C50" s="743"/>
      <c r="D50" s="190"/>
      <c r="E50" s="191" t="str">
        <f>IF(D51="","",IF(D51&gt;F51,"○",IF(D51&lt;F51,"●",IF(D51=F51,"△"))))</f>
        <v>△</v>
      </c>
      <c r="F50" s="192"/>
      <c r="G50" s="196"/>
      <c r="H50" s="191" t="str">
        <f>IF(G51="","",IF(G51&gt;I51,"○",IF(G51&lt;I51,"●",IF(G51=I51,"△"))))</f>
        <v>△</v>
      </c>
      <c r="I50" s="192"/>
      <c r="J50" s="193"/>
      <c r="K50" s="194"/>
      <c r="L50" s="195"/>
      <c r="M50" s="744">
        <f>COUNTIF(D50:L50,"○")</f>
        <v>0</v>
      </c>
      <c r="N50" s="745">
        <f>COUNTIF(D50:L50,"△")</f>
        <v>2</v>
      </c>
      <c r="O50" s="745">
        <f>COUNTIF(D50:L50,"●")</f>
        <v>0</v>
      </c>
      <c r="P50" s="734">
        <f>(M50*4)+(N50*1)</f>
        <v>2</v>
      </c>
      <c r="Q50" s="723">
        <f>RANK(P50,P$46:P$51)</f>
        <v>1</v>
      </c>
      <c r="R50" s="725" t="s">
        <v>326</v>
      </c>
      <c r="S50" s="728"/>
      <c r="T50" s="729"/>
      <c r="U50" s="730"/>
      <c r="V50" s="730"/>
      <c r="W50" s="731"/>
      <c r="X50" s="732"/>
      <c r="AA50" s="137"/>
      <c r="AC50" s="741" t="str">
        <f>予選リーグ!K7</f>
        <v>E3</v>
      </c>
      <c r="AD50" s="742" t="s">
        <v>325</v>
      </c>
      <c r="AE50" s="743"/>
      <c r="AF50" s="191"/>
      <c r="AG50" s="191" t="str">
        <f>IF(AF51="","",IF(AF51&gt;AH51,"○",IF(AF51&lt;AH51,"●",IF(AF51=AH51,"△"))))</f>
        <v>△</v>
      </c>
      <c r="AH50" s="192"/>
      <c r="AI50" s="196"/>
      <c r="AJ50" s="191" t="str">
        <f>IF(AI51="","",IF(AI51&gt;AK51,"○",IF(AI51&lt;AK51,"●",IF(AI51=AK51,"△"))))</f>
        <v>△</v>
      </c>
      <c r="AK50" s="192"/>
      <c r="AL50" s="193"/>
      <c r="AM50" s="194"/>
      <c r="AN50" s="195"/>
      <c r="AO50" s="744">
        <f>COUNTIF(AF50:AN50,"○")</f>
        <v>0</v>
      </c>
      <c r="AP50" s="745">
        <f>COUNTIF(AF50:AN50,"△")</f>
        <v>2</v>
      </c>
      <c r="AQ50" s="745">
        <f>COUNTIF(AF50:AN50,"●")</f>
        <v>0</v>
      </c>
      <c r="AR50" s="734">
        <f>(AO50*4)+(AP50*1)</f>
        <v>2</v>
      </c>
      <c r="AS50" s="723">
        <f>RANK(AR50,AR$46:AR$51)</f>
        <v>1</v>
      </c>
      <c r="AT50" s="725" t="s">
        <v>326</v>
      </c>
      <c r="AU50" s="746"/>
      <c r="AV50" s="747"/>
      <c r="AW50" s="730"/>
      <c r="AX50" s="730"/>
      <c r="AY50" s="731"/>
      <c r="AZ50" s="732"/>
    </row>
    <row r="51" spans="1:52" ht="26.25" customHeight="1" x14ac:dyDescent="0.15">
      <c r="A51" s="748"/>
      <c r="B51" s="757" t="s">
        <v>314</v>
      </c>
      <c r="C51" s="758"/>
      <c r="D51" s="203">
        <f>L47</f>
        <v>0</v>
      </c>
      <c r="E51" s="204" t="s">
        <v>313</v>
      </c>
      <c r="F51" s="205">
        <f>J47</f>
        <v>0</v>
      </c>
      <c r="G51" s="206">
        <f>L49</f>
        <v>0</v>
      </c>
      <c r="H51" s="204" t="s">
        <v>313</v>
      </c>
      <c r="I51" s="207">
        <f>J49</f>
        <v>0</v>
      </c>
      <c r="J51" s="208"/>
      <c r="K51" s="209"/>
      <c r="L51" s="210"/>
      <c r="M51" s="749"/>
      <c r="N51" s="750"/>
      <c r="O51" s="750"/>
      <c r="P51" s="750"/>
      <c r="Q51" s="751"/>
      <c r="R51" s="752"/>
      <c r="S51" s="753"/>
      <c r="T51" s="754"/>
      <c r="U51" s="730"/>
      <c r="V51" s="730"/>
      <c r="W51" s="731"/>
      <c r="X51" s="732"/>
      <c r="AA51" s="137"/>
      <c r="AC51" s="748"/>
      <c r="AD51" s="757" t="s">
        <v>314</v>
      </c>
      <c r="AE51" s="758"/>
      <c r="AF51" s="211">
        <f>AN47</f>
        <v>0</v>
      </c>
      <c r="AG51" s="204" t="s">
        <v>313</v>
      </c>
      <c r="AH51" s="205">
        <f>AL47</f>
        <v>0</v>
      </c>
      <c r="AI51" s="206">
        <f>AN49</f>
        <v>0</v>
      </c>
      <c r="AJ51" s="204" t="s">
        <v>313</v>
      </c>
      <c r="AK51" s="207">
        <f>AL49</f>
        <v>0</v>
      </c>
      <c r="AL51" s="208"/>
      <c r="AM51" s="209"/>
      <c r="AN51" s="210"/>
      <c r="AO51" s="749"/>
      <c r="AP51" s="750"/>
      <c r="AQ51" s="750"/>
      <c r="AR51" s="750"/>
      <c r="AS51" s="751"/>
      <c r="AT51" s="752"/>
      <c r="AU51" s="755"/>
      <c r="AV51" s="756"/>
      <c r="AW51" s="730"/>
      <c r="AX51" s="730"/>
      <c r="AY51" s="731"/>
      <c r="AZ51" s="732"/>
    </row>
    <row r="52" spans="1:52" ht="15" customHeight="1" x14ac:dyDescent="0.15">
      <c r="A52" s="163"/>
      <c r="B52" s="163"/>
      <c r="C52" s="163"/>
      <c r="D52" s="163"/>
      <c r="E52" s="163"/>
      <c r="F52" s="163"/>
      <c r="G52" s="163"/>
      <c r="H52" s="163"/>
      <c r="I52" s="163"/>
      <c r="J52" s="163"/>
      <c r="K52" s="163"/>
      <c r="L52" s="163"/>
      <c r="M52" s="163"/>
      <c r="N52" s="163"/>
      <c r="O52" s="163"/>
      <c r="P52" s="163"/>
      <c r="Q52" s="163"/>
      <c r="R52" s="163"/>
      <c r="S52" s="163"/>
      <c r="T52" s="212"/>
      <c r="U52" s="163"/>
      <c r="V52" s="163"/>
      <c r="W52" s="163"/>
      <c r="X52" s="163"/>
      <c r="AA52" s="137"/>
      <c r="AC52" s="212"/>
      <c r="AD52" s="212"/>
      <c r="AE52" s="212"/>
      <c r="AF52" s="212"/>
      <c r="AG52" s="212"/>
      <c r="AH52" s="212"/>
      <c r="AI52" s="212"/>
      <c r="AJ52" s="212"/>
      <c r="AK52" s="212"/>
      <c r="AL52" s="212"/>
      <c r="AM52" s="212"/>
      <c r="AN52" s="212"/>
      <c r="AO52" s="212"/>
      <c r="AP52" s="212"/>
      <c r="AQ52" s="212"/>
      <c r="AR52" s="212"/>
      <c r="AS52" s="163"/>
      <c r="AT52" s="163"/>
      <c r="AU52" s="163"/>
      <c r="AV52" s="212"/>
      <c r="AW52" s="163"/>
      <c r="AX52" s="163"/>
      <c r="AY52" s="163"/>
      <c r="AZ52" s="163"/>
    </row>
    <row r="53" spans="1:52" ht="54" customHeight="1" x14ac:dyDescent="0.15">
      <c r="A53" s="703" t="s">
        <v>327</v>
      </c>
      <c r="B53" s="704"/>
      <c r="C53" s="705"/>
      <c r="D53" s="706" t="str">
        <f>A54</f>
        <v>B1</v>
      </c>
      <c r="E53" s="707"/>
      <c r="F53" s="707"/>
      <c r="G53" s="707" t="str">
        <f>A56</f>
        <v>B2</v>
      </c>
      <c r="H53" s="707"/>
      <c r="I53" s="707"/>
      <c r="J53" s="707" t="str">
        <f>A58</f>
        <v>B3</v>
      </c>
      <c r="K53" s="707"/>
      <c r="L53" s="707"/>
      <c r="M53" s="171" t="s">
        <v>316</v>
      </c>
      <c r="N53" s="172" t="s">
        <v>317</v>
      </c>
      <c r="O53" s="173" t="s">
        <v>320</v>
      </c>
      <c r="P53" s="172" t="s">
        <v>321</v>
      </c>
      <c r="Q53" s="708" t="s">
        <v>322</v>
      </c>
      <c r="R53" s="709"/>
      <c r="S53" s="710" t="s">
        <v>323</v>
      </c>
      <c r="T53" s="711"/>
      <c r="U53" s="712"/>
      <c r="V53" s="713"/>
      <c r="W53" s="712"/>
      <c r="X53" s="713"/>
      <c r="AA53" s="137"/>
      <c r="AC53" s="703" t="s">
        <v>328</v>
      </c>
      <c r="AD53" s="704"/>
      <c r="AE53" s="705"/>
      <c r="AF53" s="706" t="str">
        <f>AC54</f>
        <v>F1</v>
      </c>
      <c r="AG53" s="707"/>
      <c r="AH53" s="707"/>
      <c r="AI53" s="707" t="str">
        <f>AC56</f>
        <v>F2</v>
      </c>
      <c r="AJ53" s="707"/>
      <c r="AK53" s="707"/>
      <c r="AL53" s="707" t="str">
        <f>AC58</f>
        <v>F3</v>
      </c>
      <c r="AM53" s="707"/>
      <c r="AN53" s="707"/>
      <c r="AO53" s="171" t="s">
        <v>316</v>
      </c>
      <c r="AP53" s="172" t="s">
        <v>317</v>
      </c>
      <c r="AQ53" s="173" t="s">
        <v>320</v>
      </c>
      <c r="AR53" s="172" t="s">
        <v>321</v>
      </c>
      <c r="AS53" s="708" t="s">
        <v>322</v>
      </c>
      <c r="AT53" s="709"/>
      <c r="AU53" s="710" t="s">
        <v>323</v>
      </c>
      <c r="AV53" s="711"/>
      <c r="AW53" s="712"/>
      <c r="AX53" s="713"/>
      <c r="AY53" s="712"/>
      <c r="AZ53" s="713"/>
    </row>
    <row r="54" spans="1:52" ht="26.25" customHeight="1" x14ac:dyDescent="0.15">
      <c r="A54" s="714" t="str">
        <f>予選リーグ!G5</f>
        <v>B1</v>
      </c>
      <c r="B54" s="716" t="s">
        <v>325</v>
      </c>
      <c r="C54" s="717"/>
      <c r="D54" s="179"/>
      <c r="E54" s="179"/>
      <c r="F54" s="180"/>
      <c r="G54" s="177"/>
      <c r="H54" s="157" t="str">
        <f>IF(G55="","",IF(G55&gt;I55,"○",IF(G55&lt;I55,"●",IF(G55=I55,"△"))))</f>
        <v>△</v>
      </c>
      <c r="I54" s="178"/>
      <c r="J54" s="157"/>
      <c r="K54" s="157" t="str">
        <f>IF(J55="","",IF(J55&gt;L55,"○",IF(J55&lt;L55,"●",IF(J55=L55,"△"))))</f>
        <v>△</v>
      </c>
      <c r="L54" s="178"/>
      <c r="M54" s="733">
        <f>COUNTIF(D54:L54,"○")</f>
        <v>0</v>
      </c>
      <c r="N54" s="734">
        <f>COUNTIF(D54:L54,"△")</f>
        <v>2</v>
      </c>
      <c r="O54" s="734">
        <f>COUNTIF(D54:L54,"●")</f>
        <v>0</v>
      </c>
      <c r="P54" s="720">
        <f>(M54*4)+(N54*1)</f>
        <v>2</v>
      </c>
      <c r="Q54" s="735">
        <f>RANK(P54,$P$54:$P$59)</f>
        <v>1</v>
      </c>
      <c r="R54" s="736" t="s">
        <v>326</v>
      </c>
      <c r="S54" s="737"/>
      <c r="T54" s="738"/>
      <c r="U54" s="730"/>
      <c r="V54" s="730"/>
      <c r="W54" s="731"/>
      <c r="X54" s="732"/>
      <c r="AA54" s="137"/>
      <c r="AC54" s="714" t="str">
        <f>予選リーグ!M5</f>
        <v>F1</v>
      </c>
      <c r="AD54" s="716" t="s">
        <v>325</v>
      </c>
      <c r="AE54" s="717"/>
      <c r="AF54" s="179"/>
      <c r="AG54" s="179"/>
      <c r="AH54" s="180"/>
      <c r="AI54" s="177"/>
      <c r="AJ54" s="157" t="str">
        <f>IF(AI55="","",IF(AI55&gt;AK55,"○",IF(AI55&lt;AK55,"●",IF(AI55=AK55,"△"))))</f>
        <v>△</v>
      </c>
      <c r="AK54" s="178"/>
      <c r="AL54" s="157"/>
      <c r="AM54" s="157" t="str">
        <f>IF(AL55="","",IF(AL55&gt;AN55,"○",IF(AL55&lt;AN55,"●",IF(AL55=AN55,"△"))))</f>
        <v>△</v>
      </c>
      <c r="AN54" s="178"/>
      <c r="AO54" s="733">
        <f>COUNTIF(AF54:AN54,"○")</f>
        <v>0</v>
      </c>
      <c r="AP54" s="734">
        <f>COUNTIF(AF54:AN54,"△")</f>
        <v>2</v>
      </c>
      <c r="AQ54" s="734">
        <f>COUNTIF(AF54:AN54,"●")</f>
        <v>0</v>
      </c>
      <c r="AR54" s="720">
        <f>(AO54*4)+(AP54*1)</f>
        <v>2</v>
      </c>
      <c r="AS54" s="735">
        <f>RANK(AR54,$AR$54:$AR$59)</f>
        <v>1</v>
      </c>
      <c r="AT54" s="736" t="s">
        <v>326</v>
      </c>
      <c r="AU54" s="737"/>
      <c r="AV54" s="738"/>
      <c r="AW54" s="730"/>
      <c r="AX54" s="730"/>
      <c r="AY54" s="731"/>
      <c r="AZ54" s="732"/>
    </row>
    <row r="55" spans="1:52" ht="26.25" customHeight="1" x14ac:dyDescent="0.15">
      <c r="A55" s="715"/>
      <c r="B55" s="739" t="s">
        <v>314</v>
      </c>
      <c r="C55" s="740"/>
      <c r="D55" s="189"/>
      <c r="E55" s="183"/>
      <c r="F55" s="184"/>
      <c r="G55" s="181">
        <f>R14</f>
        <v>0</v>
      </c>
      <c r="H55" s="185" t="s">
        <v>313</v>
      </c>
      <c r="I55" s="186">
        <f>V14</f>
        <v>0</v>
      </c>
      <c r="J55" s="187">
        <f>V22</f>
        <v>0</v>
      </c>
      <c r="K55" s="188" t="s">
        <v>313</v>
      </c>
      <c r="L55" s="186">
        <f>R22</f>
        <v>0</v>
      </c>
      <c r="M55" s="719"/>
      <c r="N55" s="721"/>
      <c r="O55" s="721"/>
      <c r="P55" s="721"/>
      <c r="Q55" s="723"/>
      <c r="R55" s="725"/>
      <c r="S55" s="728"/>
      <c r="T55" s="729"/>
      <c r="U55" s="730"/>
      <c r="V55" s="730"/>
      <c r="W55" s="731"/>
      <c r="X55" s="732"/>
      <c r="AA55" s="137"/>
      <c r="AC55" s="715"/>
      <c r="AD55" s="739" t="s">
        <v>314</v>
      </c>
      <c r="AE55" s="740"/>
      <c r="AF55" s="189"/>
      <c r="AG55" s="183"/>
      <c r="AH55" s="184"/>
      <c r="AI55" s="181">
        <f>AT14</f>
        <v>0</v>
      </c>
      <c r="AJ55" s="185" t="s">
        <v>313</v>
      </c>
      <c r="AK55" s="186">
        <f>AX14</f>
        <v>0</v>
      </c>
      <c r="AL55" s="187">
        <f>AX22</f>
        <v>0</v>
      </c>
      <c r="AM55" s="188" t="s">
        <v>313</v>
      </c>
      <c r="AN55" s="186">
        <f>AT22</f>
        <v>0</v>
      </c>
      <c r="AO55" s="719"/>
      <c r="AP55" s="721"/>
      <c r="AQ55" s="721"/>
      <c r="AR55" s="721"/>
      <c r="AS55" s="723"/>
      <c r="AT55" s="725"/>
      <c r="AU55" s="728"/>
      <c r="AV55" s="729"/>
      <c r="AW55" s="730"/>
      <c r="AX55" s="730"/>
      <c r="AY55" s="731"/>
      <c r="AZ55" s="732"/>
    </row>
    <row r="56" spans="1:52" ht="26.25" customHeight="1" x14ac:dyDescent="0.15">
      <c r="A56" s="741" t="str">
        <f>予選リーグ!F7</f>
        <v>B2</v>
      </c>
      <c r="B56" s="742" t="s">
        <v>325</v>
      </c>
      <c r="C56" s="743"/>
      <c r="D56" s="191"/>
      <c r="E56" s="191" t="str">
        <f>IF(D57="","",IF(D57&gt;F57,"○",IF(D57&lt;F57,"●",IF(D57=F57,"△"))))</f>
        <v>△</v>
      </c>
      <c r="F56" s="192"/>
      <c r="G56" s="193"/>
      <c r="H56" s="194"/>
      <c r="I56" s="195"/>
      <c r="J56" s="196"/>
      <c r="K56" s="197" t="str">
        <f>IF(J57="","",IF(J57&gt;L57,"○",IF(J57&lt;L57,"●",IF(J57=L57,"△"))))</f>
        <v>△</v>
      </c>
      <c r="L56" s="192"/>
      <c r="M56" s="744">
        <f>COUNTIF(D56:L56,"○")</f>
        <v>0</v>
      </c>
      <c r="N56" s="745">
        <f>COUNTIF(D56:L56,"△")</f>
        <v>2</v>
      </c>
      <c r="O56" s="745">
        <f>COUNTIF(D56:L56,"●")</f>
        <v>0</v>
      </c>
      <c r="P56" s="734">
        <f>(M56*4)+(N56*1)</f>
        <v>2</v>
      </c>
      <c r="Q56" s="723">
        <f>RANK(P56,$P$54:$P$59)</f>
        <v>1</v>
      </c>
      <c r="R56" s="725" t="s">
        <v>326</v>
      </c>
      <c r="S56" s="746"/>
      <c r="T56" s="747"/>
      <c r="U56" s="730"/>
      <c r="V56" s="730"/>
      <c r="W56" s="731"/>
      <c r="X56" s="732"/>
      <c r="AA56" s="137"/>
      <c r="AC56" s="741" t="str">
        <f>予選リーグ!L7</f>
        <v>F2</v>
      </c>
      <c r="AD56" s="742" t="s">
        <v>325</v>
      </c>
      <c r="AE56" s="743"/>
      <c r="AF56" s="191"/>
      <c r="AG56" s="191" t="str">
        <f>IF(AF57="","",IF(AF57&gt;AH57,"○",IF(AF57&lt;AH57,"●",IF(AF57=AH57,"△"))))</f>
        <v>△</v>
      </c>
      <c r="AH56" s="192"/>
      <c r="AI56" s="193"/>
      <c r="AJ56" s="194"/>
      <c r="AK56" s="195"/>
      <c r="AL56" s="196"/>
      <c r="AM56" s="197" t="str">
        <f>IF(AL57="","",IF(AL57&gt;AN57,"○",IF(AL57&lt;AN57,"●",IF(AL57=AN57,"△"))))</f>
        <v>△</v>
      </c>
      <c r="AN56" s="192"/>
      <c r="AO56" s="744">
        <f>COUNTIF(AF56:AN56,"○")</f>
        <v>0</v>
      </c>
      <c r="AP56" s="745">
        <f>COUNTIF(AF56:AN56,"△")</f>
        <v>2</v>
      </c>
      <c r="AQ56" s="745">
        <f>COUNTIF(AF56:AN56,"●")</f>
        <v>0</v>
      </c>
      <c r="AR56" s="734">
        <f>(AO56*4)+(AP56*1)</f>
        <v>2</v>
      </c>
      <c r="AS56" s="723">
        <f>RANK(AR56,$AR$54:$AR$59)</f>
        <v>1</v>
      </c>
      <c r="AT56" s="725" t="s">
        <v>326</v>
      </c>
      <c r="AU56" s="746"/>
      <c r="AV56" s="747"/>
      <c r="AW56" s="730"/>
      <c r="AX56" s="730"/>
      <c r="AY56" s="731"/>
      <c r="AZ56" s="732"/>
    </row>
    <row r="57" spans="1:52" ht="26.25" customHeight="1" x14ac:dyDescent="0.15">
      <c r="A57" s="715"/>
      <c r="B57" s="739" t="s">
        <v>314</v>
      </c>
      <c r="C57" s="740"/>
      <c r="D57" s="187">
        <f>I55</f>
        <v>0</v>
      </c>
      <c r="E57" s="185" t="s">
        <v>313</v>
      </c>
      <c r="F57" s="186">
        <f>G55</f>
        <v>0</v>
      </c>
      <c r="G57" s="199"/>
      <c r="H57" s="183"/>
      <c r="I57" s="200"/>
      <c r="J57" s="201">
        <f>R18</f>
        <v>0</v>
      </c>
      <c r="K57" s="185" t="s">
        <v>313</v>
      </c>
      <c r="L57" s="202">
        <f>V18</f>
        <v>0</v>
      </c>
      <c r="M57" s="719"/>
      <c r="N57" s="721"/>
      <c r="O57" s="721"/>
      <c r="P57" s="721"/>
      <c r="Q57" s="723"/>
      <c r="R57" s="725"/>
      <c r="S57" s="746"/>
      <c r="T57" s="747"/>
      <c r="U57" s="730"/>
      <c r="V57" s="730"/>
      <c r="W57" s="731"/>
      <c r="X57" s="732"/>
      <c r="AA57" s="137"/>
      <c r="AC57" s="715"/>
      <c r="AD57" s="739" t="s">
        <v>314</v>
      </c>
      <c r="AE57" s="740"/>
      <c r="AF57" s="187">
        <f>AK55</f>
        <v>0</v>
      </c>
      <c r="AG57" s="185" t="s">
        <v>313</v>
      </c>
      <c r="AH57" s="186">
        <f>AI55</f>
        <v>0</v>
      </c>
      <c r="AI57" s="199"/>
      <c r="AJ57" s="183"/>
      <c r="AK57" s="200"/>
      <c r="AL57" s="201">
        <f>AT18</f>
        <v>0</v>
      </c>
      <c r="AM57" s="185" t="s">
        <v>313</v>
      </c>
      <c r="AN57" s="202">
        <f>AX18</f>
        <v>0</v>
      </c>
      <c r="AO57" s="719"/>
      <c r="AP57" s="721"/>
      <c r="AQ57" s="721"/>
      <c r="AR57" s="721"/>
      <c r="AS57" s="723"/>
      <c r="AT57" s="725"/>
      <c r="AU57" s="746"/>
      <c r="AV57" s="747"/>
      <c r="AW57" s="730"/>
      <c r="AX57" s="730"/>
      <c r="AY57" s="731"/>
      <c r="AZ57" s="732"/>
    </row>
    <row r="58" spans="1:52" ht="26.25" customHeight="1" x14ac:dyDescent="0.15">
      <c r="A58" s="741" t="str">
        <f>予選リーグ!H7</f>
        <v>B3</v>
      </c>
      <c r="B58" s="742" t="s">
        <v>325</v>
      </c>
      <c r="C58" s="743"/>
      <c r="D58" s="191"/>
      <c r="E58" s="191" t="str">
        <f>IF(D59="","",IF(D59&gt;F59,"○",IF(D59&lt;F59,"●",IF(D59=F59,"△"))))</f>
        <v>△</v>
      </c>
      <c r="F58" s="192"/>
      <c r="G58" s="196"/>
      <c r="H58" s="191" t="str">
        <f>IF(G59="","",IF(G59&gt;I59,"○",IF(G59&lt;I59,"●",IF(G59=I59,"△"))))</f>
        <v>△</v>
      </c>
      <c r="I58" s="192"/>
      <c r="J58" s="193"/>
      <c r="K58" s="194"/>
      <c r="L58" s="195"/>
      <c r="M58" s="744">
        <f>COUNTIF(D58:L58,"○")</f>
        <v>0</v>
      </c>
      <c r="N58" s="745">
        <f>COUNTIF(D58:L58,"△")</f>
        <v>2</v>
      </c>
      <c r="O58" s="745">
        <f>COUNTIF(D58:L58,"●")</f>
        <v>0</v>
      </c>
      <c r="P58" s="734">
        <f>(M58*4)+(N58*1)</f>
        <v>2</v>
      </c>
      <c r="Q58" s="723">
        <f>RANK(P58,$P$54:$P$59)</f>
        <v>1</v>
      </c>
      <c r="R58" s="725" t="s">
        <v>326</v>
      </c>
      <c r="S58" s="728"/>
      <c r="T58" s="729"/>
      <c r="U58" s="730"/>
      <c r="V58" s="730"/>
      <c r="W58" s="731"/>
      <c r="X58" s="732"/>
      <c r="AA58" s="137"/>
      <c r="AC58" s="741" t="str">
        <f>予選リーグ!N7</f>
        <v>F3</v>
      </c>
      <c r="AD58" s="742" t="s">
        <v>325</v>
      </c>
      <c r="AE58" s="743"/>
      <c r="AF58" s="191"/>
      <c r="AG58" s="191" t="str">
        <f>IF(AF59="","",IF(AF59&gt;AH59,"○",IF(AF59&lt;AH59,"●",IF(AF59=AH59,"△"))))</f>
        <v>△</v>
      </c>
      <c r="AH58" s="192"/>
      <c r="AI58" s="196"/>
      <c r="AJ58" s="191" t="str">
        <f>IF(AI59="","",IF(AI59&gt;AK59,"○",IF(AI59&lt;AK59,"●",IF(AI59=AK59,"△"))))</f>
        <v>△</v>
      </c>
      <c r="AK58" s="192"/>
      <c r="AL58" s="193"/>
      <c r="AM58" s="194"/>
      <c r="AN58" s="195"/>
      <c r="AO58" s="744">
        <f>COUNTIF(AF58:AN58,"○")</f>
        <v>0</v>
      </c>
      <c r="AP58" s="745">
        <f>COUNTIF(AF58:AN58,"△")</f>
        <v>2</v>
      </c>
      <c r="AQ58" s="745">
        <f>COUNTIF(AF58:AN58,"●")</f>
        <v>0</v>
      </c>
      <c r="AR58" s="734">
        <f>(AO58*4)+(AP58*1)</f>
        <v>2</v>
      </c>
      <c r="AS58" s="723">
        <f>RANK(AR58,$AR$54:$AR$59)</f>
        <v>1</v>
      </c>
      <c r="AT58" s="725" t="s">
        <v>326</v>
      </c>
      <c r="AU58" s="728"/>
      <c r="AV58" s="729"/>
      <c r="AW58" s="730"/>
      <c r="AX58" s="730"/>
      <c r="AY58" s="731"/>
      <c r="AZ58" s="732"/>
    </row>
    <row r="59" spans="1:52" ht="26.25" customHeight="1" x14ac:dyDescent="0.15">
      <c r="A59" s="748"/>
      <c r="B59" s="757" t="s">
        <v>314</v>
      </c>
      <c r="C59" s="758"/>
      <c r="D59" s="211">
        <f>L55</f>
        <v>0</v>
      </c>
      <c r="E59" s="204" t="s">
        <v>313</v>
      </c>
      <c r="F59" s="205">
        <f>J55</f>
        <v>0</v>
      </c>
      <c r="G59" s="206">
        <f>L57</f>
        <v>0</v>
      </c>
      <c r="H59" s="204" t="s">
        <v>313</v>
      </c>
      <c r="I59" s="207">
        <f>J57</f>
        <v>0</v>
      </c>
      <c r="J59" s="208"/>
      <c r="K59" s="209"/>
      <c r="L59" s="210"/>
      <c r="M59" s="749"/>
      <c r="N59" s="750"/>
      <c r="O59" s="750"/>
      <c r="P59" s="750"/>
      <c r="Q59" s="751"/>
      <c r="R59" s="752"/>
      <c r="S59" s="753"/>
      <c r="T59" s="754"/>
      <c r="U59" s="730"/>
      <c r="V59" s="730"/>
      <c r="W59" s="731"/>
      <c r="X59" s="732"/>
      <c r="AA59" s="137"/>
      <c r="AC59" s="748"/>
      <c r="AD59" s="757" t="s">
        <v>314</v>
      </c>
      <c r="AE59" s="758"/>
      <c r="AF59" s="211">
        <f>AN55</f>
        <v>0</v>
      </c>
      <c r="AG59" s="204" t="s">
        <v>313</v>
      </c>
      <c r="AH59" s="205">
        <f>AL55</f>
        <v>0</v>
      </c>
      <c r="AI59" s="206">
        <f>AN57</f>
        <v>0</v>
      </c>
      <c r="AJ59" s="204" t="s">
        <v>313</v>
      </c>
      <c r="AK59" s="207">
        <f>AL57</f>
        <v>0</v>
      </c>
      <c r="AL59" s="208"/>
      <c r="AM59" s="209"/>
      <c r="AN59" s="210"/>
      <c r="AO59" s="749"/>
      <c r="AP59" s="750"/>
      <c r="AQ59" s="750"/>
      <c r="AR59" s="750"/>
      <c r="AS59" s="751"/>
      <c r="AT59" s="752"/>
      <c r="AU59" s="753"/>
      <c r="AV59" s="754"/>
      <c r="AW59" s="730"/>
      <c r="AX59" s="730"/>
      <c r="AY59" s="731"/>
      <c r="AZ59" s="732"/>
    </row>
    <row r="60" spans="1:52" x14ac:dyDescent="0.15">
      <c r="A60" s="163"/>
      <c r="B60" s="163"/>
      <c r="C60" s="163"/>
      <c r="D60" s="163"/>
      <c r="E60" s="163"/>
      <c r="F60" s="163"/>
      <c r="G60" s="163"/>
      <c r="H60" s="163"/>
      <c r="I60" s="163"/>
      <c r="J60" s="163"/>
      <c r="K60" s="163"/>
      <c r="L60" s="163"/>
      <c r="M60" s="163"/>
      <c r="N60" s="163"/>
      <c r="O60" s="163"/>
      <c r="P60" s="163"/>
      <c r="Q60" s="163"/>
      <c r="R60" s="163"/>
      <c r="S60" s="212"/>
      <c r="T60" s="212"/>
      <c r="U60" s="163"/>
      <c r="V60" s="163"/>
      <c r="W60" s="163"/>
      <c r="X60" s="163"/>
      <c r="AA60" s="137"/>
      <c r="AC60" s="213"/>
      <c r="AD60" s="213"/>
      <c r="AE60" s="213"/>
      <c r="AF60" s="213"/>
      <c r="AG60" s="213"/>
      <c r="AH60" s="213"/>
      <c r="AI60" s="213"/>
      <c r="AJ60" s="213"/>
      <c r="AK60" s="213"/>
      <c r="AL60" s="213"/>
      <c r="AM60" s="213"/>
      <c r="AN60" s="213"/>
      <c r="AO60" s="212"/>
      <c r="AP60" s="212"/>
      <c r="AQ60" s="212"/>
      <c r="AR60" s="212"/>
      <c r="AS60" s="163"/>
      <c r="AT60" s="163"/>
      <c r="AU60" s="212"/>
      <c r="AV60" s="212"/>
      <c r="AW60" s="163"/>
      <c r="AX60" s="163"/>
      <c r="AY60" s="163"/>
      <c r="AZ60" s="163"/>
    </row>
    <row r="61" spans="1:52" ht="54" customHeight="1" x14ac:dyDescent="0.15">
      <c r="A61" s="703" t="s">
        <v>329</v>
      </c>
      <c r="B61" s="704"/>
      <c r="C61" s="705"/>
      <c r="D61" s="706" t="str">
        <f>A62</f>
        <v>C1</v>
      </c>
      <c r="E61" s="707"/>
      <c r="F61" s="707"/>
      <c r="G61" s="707" t="str">
        <f>A64</f>
        <v>C2</v>
      </c>
      <c r="H61" s="707"/>
      <c r="I61" s="707"/>
      <c r="J61" s="707" t="str">
        <f>A66</f>
        <v>C3</v>
      </c>
      <c r="K61" s="707"/>
      <c r="L61" s="707"/>
      <c r="M61" s="171" t="s">
        <v>316</v>
      </c>
      <c r="N61" s="172" t="s">
        <v>317</v>
      </c>
      <c r="O61" s="173" t="s">
        <v>320</v>
      </c>
      <c r="P61" s="172" t="s">
        <v>321</v>
      </c>
      <c r="Q61" s="708" t="s">
        <v>322</v>
      </c>
      <c r="R61" s="709"/>
      <c r="S61" s="710" t="s">
        <v>323</v>
      </c>
      <c r="T61" s="711"/>
      <c r="U61" s="712"/>
      <c r="V61" s="713"/>
      <c r="W61" s="712"/>
      <c r="X61" s="713"/>
      <c r="AA61" s="137"/>
      <c r="AC61" s="703" t="s">
        <v>330</v>
      </c>
      <c r="AD61" s="704"/>
      <c r="AE61" s="705"/>
      <c r="AF61" s="706" t="str">
        <f>AC62</f>
        <v>G1</v>
      </c>
      <c r="AG61" s="707"/>
      <c r="AH61" s="707"/>
      <c r="AI61" s="707" t="str">
        <f>AC64</f>
        <v>G2</v>
      </c>
      <c r="AJ61" s="707"/>
      <c r="AK61" s="707"/>
      <c r="AL61" s="707" t="str">
        <f>AC66</f>
        <v>G3</v>
      </c>
      <c r="AM61" s="707"/>
      <c r="AN61" s="707"/>
      <c r="AO61" s="171" t="s">
        <v>316</v>
      </c>
      <c r="AP61" s="172" t="s">
        <v>317</v>
      </c>
      <c r="AQ61" s="173" t="s">
        <v>320</v>
      </c>
      <c r="AR61" s="172" t="s">
        <v>321</v>
      </c>
      <c r="AS61" s="708" t="s">
        <v>322</v>
      </c>
      <c r="AT61" s="709"/>
      <c r="AU61" s="710" t="s">
        <v>323</v>
      </c>
      <c r="AV61" s="711"/>
      <c r="AW61" s="712"/>
      <c r="AX61" s="713"/>
      <c r="AY61" s="712"/>
      <c r="AZ61" s="713"/>
    </row>
    <row r="62" spans="1:52" ht="26.25" customHeight="1" x14ac:dyDescent="0.15">
      <c r="A62" s="714" t="str">
        <f>予選リーグ!D10</f>
        <v>C1</v>
      </c>
      <c r="B62" s="716" t="s">
        <v>325</v>
      </c>
      <c r="C62" s="717"/>
      <c r="D62" s="179"/>
      <c r="E62" s="179"/>
      <c r="F62" s="180"/>
      <c r="G62" s="177"/>
      <c r="H62" s="157" t="str">
        <f>IF(G63="","",IF(G63&gt;I63,"○",IF(G63&lt;I63,"●",IF(G63=I63,"△"))))</f>
        <v>△</v>
      </c>
      <c r="I62" s="178"/>
      <c r="J62" s="157"/>
      <c r="K62" s="157" t="str">
        <f>IF(J63="","",IF(J63&gt;L63,"○",IF(J63&lt;L63,"●",IF(J63=L63,"△"))))</f>
        <v>△</v>
      </c>
      <c r="L62" s="178"/>
      <c r="M62" s="733">
        <f>COUNTIF(D62:L62,"○")</f>
        <v>0</v>
      </c>
      <c r="N62" s="734">
        <f>COUNTIF(D62:L62,"△")</f>
        <v>2</v>
      </c>
      <c r="O62" s="734">
        <f>COUNTIF(D62:L62,"●")</f>
        <v>0</v>
      </c>
      <c r="P62" s="720">
        <f>(M62*4)+(N62*1)</f>
        <v>2</v>
      </c>
      <c r="Q62" s="735">
        <f>RANK(P62,$P$62:$P$67)</f>
        <v>1</v>
      </c>
      <c r="R62" s="736" t="s">
        <v>326</v>
      </c>
      <c r="S62" s="737"/>
      <c r="T62" s="738"/>
      <c r="U62" s="730"/>
      <c r="V62" s="730"/>
      <c r="W62" s="731"/>
      <c r="X62" s="732"/>
      <c r="AA62" s="137"/>
      <c r="AC62" s="714" t="str">
        <f>予選リーグ!J10</f>
        <v>G1</v>
      </c>
      <c r="AD62" s="716" t="s">
        <v>325</v>
      </c>
      <c r="AE62" s="717"/>
      <c r="AF62" s="179"/>
      <c r="AG62" s="179"/>
      <c r="AH62" s="180"/>
      <c r="AI62" s="177"/>
      <c r="AJ62" s="157" t="str">
        <f>IF(AI63="","",IF(AI63&gt;AK63,"○",IF(AI63&lt;AK63,"●",IF(AI63=AK63,"△"))))</f>
        <v>△</v>
      </c>
      <c r="AK62" s="178"/>
      <c r="AL62" s="157"/>
      <c r="AM62" s="157" t="str">
        <f>IF(AL63="","",IF(AL63&gt;AN63,"○",IF(AL63&lt;AN63,"●",IF(AL63=AN63,"△"))))</f>
        <v>△</v>
      </c>
      <c r="AN62" s="178"/>
      <c r="AO62" s="733">
        <f>COUNTIF(AF62:AN62,"○")</f>
        <v>0</v>
      </c>
      <c r="AP62" s="734">
        <f>COUNTIF(AF62:AN62,"△")</f>
        <v>2</v>
      </c>
      <c r="AQ62" s="734">
        <f>COUNTIF(AF62:AN62,"●")</f>
        <v>0</v>
      </c>
      <c r="AR62" s="720">
        <f>(AO62*4)+(AP62*1)</f>
        <v>2</v>
      </c>
      <c r="AS62" s="735">
        <f>RANK(AR62,$AR$62:$AR$67)</f>
        <v>1</v>
      </c>
      <c r="AT62" s="736" t="s">
        <v>326</v>
      </c>
      <c r="AU62" s="737"/>
      <c r="AV62" s="738"/>
      <c r="AW62" s="730"/>
      <c r="AX62" s="730"/>
      <c r="AY62" s="731"/>
      <c r="AZ62" s="732"/>
    </row>
    <row r="63" spans="1:52" ht="26.25" customHeight="1" x14ac:dyDescent="0.15">
      <c r="A63" s="715"/>
      <c r="B63" s="739" t="s">
        <v>314</v>
      </c>
      <c r="C63" s="740"/>
      <c r="D63" s="189"/>
      <c r="E63" s="183"/>
      <c r="F63" s="184"/>
      <c r="G63" s="181">
        <f>F16</f>
        <v>0</v>
      </c>
      <c r="H63" s="185" t="s">
        <v>313</v>
      </c>
      <c r="I63" s="186">
        <f>J16</f>
        <v>0</v>
      </c>
      <c r="J63" s="187">
        <f>J24</f>
        <v>0</v>
      </c>
      <c r="K63" s="188" t="s">
        <v>313</v>
      </c>
      <c r="L63" s="186">
        <f>F24</f>
        <v>0</v>
      </c>
      <c r="M63" s="719"/>
      <c r="N63" s="721"/>
      <c r="O63" s="721"/>
      <c r="P63" s="721"/>
      <c r="Q63" s="723"/>
      <c r="R63" s="725"/>
      <c r="S63" s="728"/>
      <c r="T63" s="729"/>
      <c r="U63" s="730"/>
      <c r="V63" s="730"/>
      <c r="W63" s="731"/>
      <c r="X63" s="732"/>
      <c r="AA63" s="137"/>
      <c r="AC63" s="715"/>
      <c r="AD63" s="739" t="s">
        <v>314</v>
      </c>
      <c r="AE63" s="740"/>
      <c r="AF63" s="189"/>
      <c r="AG63" s="183"/>
      <c r="AH63" s="184"/>
      <c r="AI63" s="181">
        <f>AH16</f>
        <v>0</v>
      </c>
      <c r="AJ63" s="185" t="s">
        <v>313</v>
      </c>
      <c r="AK63" s="186">
        <f>AL16</f>
        <v>0</v>
      </c>
      <c r="AL63" s="187">
        <f>AL24</f>
        <v>0</v>
      </c>
      <c r="AM63" s="188" t="s">
        <v>313</v>
      </c>
      <c r="AN63" s="186">
        <f>AH24</f>
        <v>0</v>
      </c>
      <c r="AO63" s="719"/>
      <c r="AP63" s="721"/>
      <c r="AQ63" s="721"/>
      <c r="AR63" s="721"/>
      <c r="AS63" s="723"/>
      <c r="AT63" s="725"/>
      <c r="AU63" s="728"/>
      <c r="AV63" s="729"/>
      <c r="AW63" s="730"/>
      <c r="AX63" s="730"/>
      <c r="AY63" s="731"/>
      <c r="AZ63" s="732"/>
    </row>
    <row r="64" spans="1:52" ht="26.25" customHeight="1" x14ac:dyDescent="0.15">
      <c r="A64" s="741" t="str">
        <f>予選リーグ!C12</f>
        <v>C2</v>
      </c>
      <c r="B64" s="742" t="s">
        <v>325</v>
      </c>
      <c r="C64" s="743"/>
      <c r="D64" s="191"/>
      <c r="E64" s="191" t="str">
        <f>IF(D65="","",IF(D65&gt;F65,"○",IF(D65&lt;F65,"●",IF(D65=F65,"△"))))</f>
        <v>△</v>
      </c>
      <c r="F64" s="192"/>
      <c r="G64" s="193"/>
      <c r="H64" s="194"/>
      <c r="I64" s="195"/>
      <c r="J64" s="196"/>
      <c r="K64" s="197" t="str">
        <f>IF(J65="","",IF(J65&gt;L65,"○",IF(J65&lt;L65,"●",IF(J65=L65,"△"))))</f>
        <v>△</v>
      </c>
      <c r="L64" s="192"/>
      <c r="M64" s="744">
        <f>COUNTIF(D64:L64,"○")</f>
        <v>0</v>
      </c>
      <c r="N64" s="745">
        <f>COUNTIF(D64:L64,"△")</f>
        <v>2</v>
      </c>
      <c r="O64" s="745">
        <f>COUNTIF(D64:L64,"●")</f>
        <v>0</v>
      </c>
      <c r="P64" s="734">
        <f>(M64*4)+(N64*1)</f>
        <v>2</v>
      </c>
      <c r="Q64" s="723">
        <f>RANK(P64,$P$62:$P$67)</f>
        <v>1</v>
      </c>
      <c r="R64" s="725" t="s">
        <v>326</v>
      </c>
      <c r="S64" s="746"/>
      <c r="T64" s="747"/>
      <c r="U64" s="730"/>
      <c r="V64" s="730"/>
      <c r="W64" s="731"/>
      <c r="X64" s="732"/>
      <c r="AA64" s="137"/>
      <c r="AC64" s="741" t="str">
        <f>予選リーグ!I12</f>
        <v>G2</v>
      </c>
      <c r="AD64" s="742" t="s">
        <v>325</v>
      </c>
      <c r="AE64" s="743"/>
      <c r="AF64" s="191"/>
      <c r="AG64" s="191" t="str">
        <f>IF(AF65="","",IF(AF65&gt;AH65,"○",IF(AF65&lt;AH65,"●",IF(AF65=AH65,"△"))))</f>
        <v>△</v>
      </c>
      <c r="AH64" s="192"/>
      <c r="AI64" s="193"/>
      <c r="AJ64" s="194"/>
      <c r="AK64" s="195"/>
      <c r="AL64" s="196"/>
      <c r="AM64" s="197" t="str">
        <f>IF(AL65="","",IF(AL65&gt;AN65,"○",IF(AL65&lt;AN65,"●",IF(AL65=AN65,"△"))))</f>
        <v>△</v>
      </c>
      <c r="AN64" s="192"/>
      <c r="AO64" s="744">
        <f>COUNTIF(AF64:AN64,"○")</f>
        <v>0</v>
      </c>
      <c r="AP64" s="745">
        <f>COUNTIF(AF64:AN64,"△")</f>
        <v>2</v>
      </c>
      <c r="AQ64" s="745">
        <f>COUNTIF(AF64:AN64,"●")</f>
        <v>0</v>
      </c>
      <c r="AR64" s="734">
        <f>(AO64*4)+(AP64*1)</f>
        <v>2</v>
      </c>
      <c r="AS64" s="723">
        <f>RANK(AR64,$AR$62:$AR$67)</f>
        <v>1</v>
      </c>
      <c r="AT64" s="725" t="s">
        <v>326</v>
      </c>
      <c r="AU64" s="746"/>
      <c r="AV64" s="747"/>
      <c r="AW64" s="730"/>
      <c r="AX64" s="730"/>
      <c r="AY64" s="731"/>
      <c r="AZ64" s="732"/>
    </row>
    <row r="65" spans="1:67" ht="26.25" customHeight="1" x14ac:dyDescent="0.15">
      <c r="A65" s="715"/>
      <c r="B65" s="739" t="s">
        <v>314</v>
      </c>
      <c r="C65" s="740"/>
      <c r="D65" s="187">
        <f>I63</f>
        <v>0</v>
      </c>
      <c r="E65" s="185" t="s">
        <v>313</v>
      </c>
      <c r="F65" s="186">
        <f>G63</f>
        <v>0</v>
      </c>
      <c r="G65" s="199"/>
      <c r="H65" s="183"/>
      <c r="I65" s="200"/>
      <c r="J65" s="201">
        <f>F20</f>
        <v>0</v>
      </c>
      <c r="K65" s="185" t="s">
        <v>313</v>
      </c>
      <c r="L65" s="202">
        <f>J20</f>
        <v>0</v>
      </c>
      <c r="M65" s="719"/>
      <c r="N65" s="721"/>
      <c r="O65" s="721"/>
      <c r="P65" s="721"/>
      <c r="Q65" s="723"/>
      <c r="R65" s="725"/>
      <c r="S65" s="746"/>
      <c r="T65" s="747"/>
      <c r="U65" s="730"/>
      <c r="V65" s="730"/>
      <c r="W65" s="731"/>
      <c r="X65" s="732"/>
      <c r="AA65" s="137"/>
      <c r="AC65" s="715"/>
      <c r="AD65" s="739" t="s">
        <v>314</v>
      </c>
      <c r="AE65" s="740"/>
      <c r="AF65" s="187">
        <f>AK63</f>
        <v>0</v>
      </c>
      <c r="AG65" s="185" t="s">
        <v>313</v>
      </c>
      <c r="AH65" s="186">
        <f>AI63</f>
        <v>0</v>
      </c>
      <c r="AI65" s="199"/>
      <c r="AJ65" s="183"/>
      <c r="AK65" s="200"/>
      <c r="AL65" s="201">
        <f>AH20</f>
        <v>0</v>
      </c>
      <c r="AM65" s="185" t="s">
        <v>313</v>
      </c>
      <c r="AN65" s="202">
        <f>AL20</f>
        <v>0</v>
      </c>
      <c r="AO65" s="719"/>
      <c r="AP65" s="721"/>
      <c r="AQ65" s="721"/>
      <c r="AR65" s="721"/>
      <c r="AS65" s="723"/>
      <c r="AT65" s="725"/>
      <c r="AU65" s="746"/>
      <c r="AV65" s="747"/>
      <c r="AW65" s="730"/>
      <c r="AX65" s="730"/>
      <c r="AY65" s="731"/>
      <c r="AZ65" s="732"/>
    </row>
    <row r="66" spans="1:67" ht="26.25" customHeight="1" x14ac:dyDescent="0.15">
      <c r="A66" s="741" t="str">
        <f>予選リーグ!E12</f>
        <v>C3</v>
      </c>
      <c r="B66" s="742" t="s">
        <v>325</v>
      </c>
      <c r="C66" s="743"/>
      <c r="D66" s="191"/>
      <c r="E66" s="191" t="str">
        <f>IF(D67="","",IF(D67&gt;F67,"○",IF(D67&lt;F67,"●",IF(D67=F67,"△"))))</f>
        <v>△</v>
      </c>
      <c r="F66" s="192"/>
      <c r="G66" s="196"/>
      <c r="H66" s="191" t="str">
        <f>IF(G67="","",IF(G67&gt;I67,"○",IF(G67&lt;I67,"●",IF(G67=I67,"△"))))</f>
        <v>△</v>
      </c>
      <c r="I66" s="192"/>
      <c r="J66" s="193"/>
      <c r="K66" s="194"/>
      <c r="L66" s="195"/>
      <c r="M66" s="744">
        <f>COUNTIF(D66:L66,"○")</f>
        <v>0</v>
      </c>
      <c r="N66" s="745">
        <f>COUNTIF(D66:L66,"△")</f>
        <v>2</v>
      </c>
      <c r="O66" s="745">
        <f>COUNTIF(D66:L66,"●")</f>
        <v>0</v>
      </c>
      <c r="P66" s="734">
        <f>(M66*4)+(N66*1)</f>
        <v>2</v>
      </c>
      <c r="Q66" s="723">
        <f>RANK(P66,$P$62:$P$67)</f>
        <v>1</v>
      </c>
      <c r="R66" s="725" t="s">
        <v>326</v>
      </c>
      <c r="S66" s="728"/>
      <c r="T66" s="729"/>
      <c r="U66" s="730"/>
      <c r="V66" s="730"/>
      <c r="W66" s="731"/>
      <c r="X66" s="732"/>
      <c r="AA66" s="137"/>
      <c r="AC66" s="741" t="str">
        <f>予選リーグ!K12</f>
        <v>G3</v>
      </c>
      <c r="AD66" s="742" t="s">
        <v>325</v>
      </c>
      <c r="AE66" s="743"/>
      <c r="AF66" s="191"/>
      <c r="AG66" s="191" t="str">
        <f>IF(AF67="","",IF(AF67&gt;AH67,"○",IF(AF67&lt;AH67,"●",IF(AF67=AH67,"△"))))</f>
        <v>△</v>
      </c>
      <c r="AH66" s="192"/>
      <c r="AI66" s="196"/>
      <c r="AJ66" s="191" t="str">
        <f>IF(AI67="","",IF(AI67&gt;AK67,"○",IF(AI67&lt;AK67,"●",IF(AI67=AK67,"△"))))</f>
        <v>△</v>
      </c>
      <c r="AK66" s="192"/>
      <c r="AL66" s="193"/>
      <c r="AM66" s="194"/>
      <c r="AN66" s="195"/>
      <c r="AO66" s="744">
        <f>COUNTIF(AF66:AN66,"○")</f>
        <v>0</v>
      </c>
      <c r="AP66" s="745">
        <f>COUNTIF(AF66:AN66,"△")</f>
        <v>2</v>
      </c>
      <c r="AQ66" s="745">
        <f>COUNTIF(AF66:AN66,"●")</f>
        <v>0</v>
      </c>
      <c r="AR66" s="734">
        <f>(AO66*4)+(AP66*1)</f>
        <v>2</v>
      </c>
      <c r="AS66" s="723">
        <f>RANK(AR66,$AR$62:$AR$67)</f>
        <v>1</v>
      </c>
      <c r="AT66" s="725" t="s">
        <v>326</v>
      </c>
      <c r="AU66" s="728"/>
      <c r="AV66" s="729"/>
      <c r="AW66" s="730"/>
      <c r="AX66" s="730"/>
      <c r="AY66" s="731"/>
      <c r="AZ66" s="732"/>
    </row>
    <row r="67" spans="1:67" ht="26.25" customHeight="1" x14ac:dyDescent="0.15">
      <c r="A67" s="748"/>
      <c r="B67" s="757" t="s">
        <v>314</v>
      </c>
      <c r="C67" s="758"/>
      <c r="D67" s="211">
        <f>L63</f>
        <v>0</v>
      </c>
      <c r="E67" s="204" t="s">
        <v>313</v>
      </c>
      <c r="F67" s="205">
        <f>J63</f>
        <v>0</v>
      </c>
      <c r="G67" s="206">
        <f>L65</f>
        <v>0</v>
      </c>
      <c r="H67" s="204" t="s">
        <v>313</v>
      </c>
      <c r="I67" s="207">
        <f>J65</f>
        <v>0</v>
      </c>
      <c r="J67" s="208"/>
      <c r="K67" s="209"/>
      <c r="L67" s="210"/>
      <c r="M67" s="749"/>
      <c r="N67" s="750"/>
      <c r="O67" s="750"/>
      <c r="P67" s="750"/>
      <c r="Q67" s="751"/>
      <c r="R67" s="752"/>
      <c r="S67" s="753"/>
      <c r="T67" s="754"/>
      <c r="U67" s="730"/>
      <c r="V67" s="730"/>
      <c r="W67" s="731"/>
      <c r="X67" s="732"/>
      <c r="AA67" s="137"/>
      <c r="AC67" s="748"/>
      <c r="AD67" s="757" t="s">
        <v>314</v>
      </c>
      <c r="AE67" s="758"/>
      <c r="AF67" s="211">
        <f>AN63</f>
        <v>0</v>
      </c>
      <c r="AG67" s="204" t="s">
        <v>313</v>
      </c>
      <c r="AH67" s="205">
        <f>AL63</f>
        <v>0</v>
      </c>
      <c r="AI67" s="206">
        <f>AN65</f>
        <v>0</v>
      </c>
      <c r="AJ67" s="204" t="s">
        <v>313</v>
      </c>
      <c r="AK67" s="207">
        <f>AL65</f>
        <v>0</v>
      </c>
      <c r="AL67" s="208"/>
      <c r="AM67" s="209"/>
      <c r="AN67" s="210"/>
      <c r="AO67" s="749"/>
      <c r="AP67" s="750"/>
      <c r="AQ67" s="750"/>
      <c r="AR67" s="750"/>
      <c r="AS67" s="751"/>
      <c r="AT67" s="752"/>
      <c r="AU67" s="753"/>
      <c r="AV67" s="754"/>
      <c r="AW67" s="730"/>
      <c r="AX67" s="730"/>
      <c r="AY67" s="731"/>
      <c r="AZ67" s="732"/>
    </row>
    <row r="68" spans="1:67" x14ac:dyDescent="0.15">
      <c r="A68" s="163"/>
      <c r="B68" s="163"/>
      <c r="C68" s="163"/>
      <c r="D68" s="163"/>
      <c r="E68" s="163"/>
      <c r="F68" s="163"/>
      <c r="G68" s="163"/>
      <c r="H68" s="163"/>
      <c r="I68" s="163"/>
      <c r="J68" s="163"/>
      <c r="K68" s="163"/>
      <c r="L68" s="163"/>
      <c r="M68" s="163"/>
      <c r="N68" s="163"/>
      <c r="O68" s="163"/>
      <c r="P68" s="163"/>
      <c r="Q68" s="163"/>
      <c r="R68" s="163"/>
      <c r="S68" s="212"/>
      <c r="T68" s="212"/>
      <c r="U68" s="163"/>
      <c r="V68" s="163"/>
      <c r="W68" s="163"/>
      <c r="X68" s="163"/>
      <c r="AA68" s="137"/>
      <c r="AC68" s="213"/>
      <c r="AD68" s="213"/>
      <c r="AE68" s="213"/>
      <c r="AF68" s="213"/>
      <c r="AG68" s="213"/>
      <c r="AH68" s="213"/>
      <c r="AI68" s="213"/>
      <c r="AJ68" s="213"/>
      <c r="AK68" s="213"/>
      <c r="AL68" s="213"/>
      <c r="AM68" s="213"/>
      <c r="AN68" s="213"/>
      <c r="AO68" s="212"/>
      <c r="AP68" s="212"/>
      <c r="AQ68" s="212"/>
      <c r="AR68" s="212"/>
      <c r="AS68" s="163"/>
      <c r="AT68" s="163"/>
      <c r="AU68" s="212"/>
      <c r="AV68" s="212"/>
      <c r="AW68" s="163"/>
      <c r="AX68" s="163"/>
      <c r="AY68" s="163"/>
      <c r="AZ68" s="163"/>
    </row>
    <row r="69" spans="1:67" ht="54" customHeight="1" x14ac:dyDescent="0.15">
      <c r="A69" s="703" t="s">
        <v>331</v>
      </c>
      <c r="B69" s="704"/>
      <c r="C69" s="705"/>
      <c r="D69" s="706" t="str">
        <f>A70</f>
        <v>D1</v>
      </c>
      <c r="E69" s="707"/>
      <c r="F69" s="707"/>
      <c r="G69" s="707" t="str">
        <f>A72</f>
        <v>D2</v>
      </c>
      <c r="H69" s="707"/>
      <c r="I69" s="707"/>
      <c r="J69" s="707" t="str">
        <f>A74</f>
        <v>D3</v>
      </c>
      <c r="K69" s="707"/>
      <c r="L69" s="707"/>
      <c r="M69" s="171" t="s">
        <v>316</v>
      </c>
      <c r="N69" s="172" t="s">
        <v>317</v>
      </c>
      <c r="O69" s="173" t="s">
        <v>320</v>
      </c>
      <c r="P69" s="172" t="s">
        <v>321</v>
      </c>
      <c r="Q69" s="708" t="s">
        <v>322</v>
      </c>
      <c r="R69" s="709"/>
      <c r="S69" s="710" t="s">
        <v>323</v>
      </c>
      <c r="T69" s="711"/>
      <c r="U69" s="712"/>
      <c r="V69" s="713"/>
      <c r="W69" s="712"/>
      <c r="X69" s="713"/>
      <c r="AA69" s="137"/>
      <c r="AC69" s="703" t="s">
        <v>332</v>
      </c>
      <c r="AD69" s="704"/>
      <c r="AE69" s="705"/>
      <c r="AF69" s="706" t="str">
        <f>AC70</f>
        <v>H1</v>
      </c>
      <c r="AG69" s="707"/>
      <c r="AH69" s="707"/>
      <c r="AI69" s="707" t="str">
        <f>AC72</f>
        <v>H2</v>
      </c>
      <c r="AJ69" s="707"/>
      <c r="AK69" s="707"/>
      <c r="AL69" s="707" t="str">
        <f>AC74</f>
        <v>H3</v>
      </c>
      <c r="AM69" s="707"/>
      <c r="AN69" s="707"/>
      <c r="AO69" s="171" t="s">
        <v>316</v>
      </c>
      <c r="AP69" s="172" t="s">
        <v>317</v>
      </c>
      <c r="AQ69" s="173" t="s">
        <v>320</v>
      </c>
      <c r="AR69" s="172" t="s">
        <v>321</v>
      </c>
      <c r="AS69" s="708" t="s">
        <v>322</v>
      </c>
      <c r="AT69" s="709"/>
      <c r="AU69" s="710" t="s">
        <v>323</v>
      </c>
      <c r="AV69" s="711"/>
      <c r="AW69" s="712"/>
      <c r="AX69" s="713"/>
      <c r="AY69" s="712"/>
      <c r="AZ69" s="713"/>
    </row>
    <row r="70" spans="1:67" ht="26.25" customHeight="1" x14ac:dyDescent="0.15">
      <c r="A70" s="714" t="str">
        <f>予選リーグ!G10</f>
        <v>D1</v>
      </c>
      <c r="B70" s="716" t="s">
        <v>325</v>
      </c>
      <c r="C70" s="717"/>
      <c r="D70" s="179"/>
      <c r="E70" s="179"/>
      <c r="F70" s="180"/>
      <c r="G70" s="177"/>
      <c r="H70" s="157" t="str">
        <f>IF(G71="","",IF(G71&gt;I71,"○",IF(G71&lt;I71,"●",IF(G71=I71,"△"))))</f>
        <v>△</v>
      </c>
      <c r="I70" s="178"/>
      <c r="J70" s="157"/>
      <c r="K70" s="157" t="str">
        <f>IF(J71="","",IF(J71&gt;L71,"○",IF(J71&lt;L71,"●",IF(J71=L71,"△"))))</f>
        <v>△</v>
      </c>
      <c r="L70" s="178"/>
      <c r="M70" s="733">
        <f>COUNTIF(D70:L70,"○")</f>
        <v>0</v>
      </c>
      <c r="N70" s="734">
        <f>COUNTIF(D70:L70,"△")</f>
        <v>2</v>
      </c>
      <c r="O70" s="734">
        <f>COUNTIF(D70:L70,"●")</f>
        <v>0</v>
      </c>
      <c r="P70" s="720">
        <f>(M70*4)+(N70*1)</f>
        <v>2</v>
      </c>
      <c r="Q70" s="735">
        <f>RANK(P70,$P$70:$P$75)</f>
        <v>1</v>
      </c>
      <c r="R70" s="736" t="s">
        <v>326</v>
      </c>
      <c r="S70" s="759"/>
      <c r="T70" s="760"/>
      <c r="U70" s="730"/>
      <c r="V70" s="730"/>
      <c r="W70" s="731"/>
      <c r="X70" s="732"/>
      <c r="AA70" s="137"/>
      <c r="AC70" s="714" t="str">
        <f>予選リーグ!M10</f>
        <v>H1</v>
      </c>
      <c r="AD70" s="716" t="s">
        <v>325</v>
      </c>
      <c r="AE70" s="717"/>
      <c r="AF70" s="179"/>
      <c r="AG70" s="179"/>
      <c r="AH70" s="180"/>
      <c r="AI70" s="177"/>
      <c r="AJ70" s="157" t="str">
        <f>IF(AI71="","",IF(AI71&gt;AK71,"○",IF(AI71&lt;AK71,"●",IF(AI71=AK71,"△"))))</f>
        <v>△</v>
      </c>
      <c r="AK70" s="178"/>
      <c r="AL70" s="157"/>
      <c r="AM70" s="157" t="str">
        <f>IF(AL71="","",IF(AL71&gt;AN71,"○",IF(AL71&lt;AN71,"●",IF(AL71=AN71,"△"))))</f>
        <v>△</v>
      </c>
      <c r="AN70" s="178"/>
      <c r="AO70" s="733">
        <f>COUNTIF(AF70:AN70,"○")</f>
        <v>0</v>
      </c>
      <c r="AP70" s="734">
        <f>COUNTIF(AF70:AN70,"△")</f>
        <v>2</v>
      </c>
      <c r="AQ70" s="734">
        <f>COUNTIF(AF70:AN70,"●")</f>
        <v>0</v>
      </c>
      <c r="AR70" s="720">
        <f>(AO70*4)+(AP70*1)</f>
        <v>2</v>
      </c>
      <c r="AS70" s="735">
        <f>RANK(AR70,$AR$70:$AR$75)</f>
        <v>1</v>
      </c>
      <c r="AT70" s="736" t="s">
        <v>326</v>
      </c>
      <c r="AU70" s="759"/>
      <c r="AV70" s="760"/>
      <c r="AW70" s="730"/>
      <c r="AX70" s="730"/>
      <c r="AY70" s="731"/>
      <c r="AZ70" s="732"/>
    </row>
    <row r="71" spans="1:67" ht="26.25" customHeight="1" x14ac:dyDescent="0.15">
      <c r="A71" s="715"/>
      <c r="B71" s="739" t="s">
        <v>314</v>
      </c>
      <c r="C71" s="740"/>
      <c r="D71" s="189"/>
      <c r="E71" s="183"/>
      <c r="F71" s="184"/>
      <c r="G71" s="181">
        <f>R16</f>
        <v>0</v>
      </c>
      <c r="H71" s="185" t="s">
        <v>313</v>
      </c>
      <c r="I71" s="186">
        <f>V16</f>
        <v>0</v>
      </c>
      <c r="J71" s="187">
        <f>V24</f>
        <v>0</v>
      </c>
      <c r="K71" s="188" t="s">
        <v>313</v>
      </c>
      <c r="L71" s="186">
        <f>R24</f>
        <v>0</v>
      </c>
      <c r="M71" s="719"/>
      <c r="N71" s="721"/>
      <c r="O71" s="721"/>
      <c r="P71" s="721"/>
      <c r="Q71" s="723"/>
      <c r="R71" s="725"/>
      <c r="S71" s="746"/>
      <c r="T71" s="747"/>
      <c r="U71" s="730"/>
      <c r="V71" s="730"/>
      <c r="W71" s="731"/>
      <c r="X71" s="732"/>
      <c r="AA71" s="137"/>
      <c r="AC71" s="715"/>
      <c r="AD71" s="739" t="s">
        <v>314</v>
      </c>
      <c r="AE71" s="740"/>
      <c r="AF71" s="189"/>
      <c r="AG71" s="183"/>
      <c r="AH71" s="184"/>
      <c r="AI71" s="181">
        <f>AT16</f>
        <v>0</v>
      </c>
      <c r="AJ71" s="185" t="s">
        <v>313</v>
      </c>
      <c r="AK71" s="186">
        <f>AX16</f>
        <v>0</v>
      </c>
      <c r="AL71" s="187">
        <f>AX24</f>
        <v>0</v>
      </c>
      <c r="AM71" s="188" t="s">
        <v>313</v>
      </c>
      <c r="AN71" s="186">
        <f>AT24</f>
        <v>0</v>
      </c>
      <c r="AO71" s="719"/>
      <c r="AP71" s="721"/>
      <c r="AQ71" s="721"/>
      <c r="AR71" s="721"/>
      <c r="AS71" s="723"/>
      <c r="AT71" s="725"/>
      <c r="AU71" s="746"/>
      <c r="AV71" s="747"/>
      <c r="AW71" s="730"/>
      <c r="AX71" s="730"/>
      <c r="AY71" s="731"/>
      <c r="AZ71" s="732"/>
    </row>
    <row r="72" spans="1:67" ht="26.25" customHeight="1" x14ac:dyDescent="0.15">
      <c r="A72" s="741" t="str">
        <f>予選リーグ!F12</f>
        <v>D2</v>
      </c>
      <c r="B72" s="742" t="s">
        <v>325</v>
      </c>
      <c r="C72" s="743"/>
      <c r="D72" s="191"/>
      <c r="E72" s="191" t="str">
        <f>IF(D73="","",IF(D73&gt;F73,"○",IF(D73&lt;F73,"●",IF(D73=F73,"△"))))</f>
        <v>△</v>
      </c>
      <c r="F72" s="192"/>
      <c r="G72" s="193"/>
      <c r="H72" s="194"/>
      <c r="I72" s="195"/>
      <c r="J72" s="196"/>
      <c r="K72" s="197" t="str">
        <f>IF(J73="","",IF(J73&gt;L73,"○",IF(J73&lt;L73,"●",IF(J73=L73,"△"))))</f>
        <v>△</v>
      </c>
      <c r="L72" s="192"/>
      <c r="M72" s="744">
        <f>COUNTIF(D72:L72,"○")</f>
        <v>0</v>
      </c>
      <c r="N72" s="745">
        <f>COUNTIF(D72:L72,"△")</f>
        <v>2</v>
      </c>
      <c r="O72" s="745">
        <f>COUNTIF(D72:L72,"●")</f>
        <v>0</v>
      </c>
      <c r="P72" s="734">
        <f>(M72*4)+(N72*1)</f>
        <v>2</v>
      </c>
      <c r="Q72" s="723">
        <f>RANK(P72,$P$70:$P$75)</f>
        <v>1</v>
      </c>
      <c r="R72" s="725" t="s">
        <v>326</v>
      </c>
      <c r="S72" s="728"/>
      <c r="T72" s="729"/>
      <c r="U72" s="730"/>
      <c r="V72" s="730"/>
      <c r="W72" s="731"/>
      <c r="X72" s="732"/>
      <c r="AA72" s="137"/>
      <c r="AC72" s="741" t="str">
        <f>予選リーグ!L12</f>
        <v>H2</v>
      </c>
      <c r="AD72" s="742" t="s">
        <v>325</v>
      </c>
      <c r="AE72" s="743"/>
      <c r="AF72" s="191"/>
      <c r="AG72" s="191" t="str">
        <f>IF(AF73="","",IF(AF73&gt;AH73,"○",IF(AF73&lt;AH73,"●",IF(AF73=AH73,"△"))))</f>
        <v>△</v>
      </c>
      <c r="AH72" s="192"/>
      <c r="AI72" s="193"/>
      <c r="AJ72" s="194"/>
      <c r="AK72" s="195"/>
      <c r="AL72" s="196"/>
      <c r="AM72" s="197" t="str">
        <f>IF(AL73="","",IF(AL73&gt;AN73,"○",IF(AL73&lt;AN73,"●",IF(AL73=AN73,"△"))))</f>
        <v>△</v>
      </c>
      <c r="AN72" s="192"/>
      <c r="AO72" s="744">
        <f>COUNTIF(AF72:AN72,"○")</f>
        <v>0</v>
      </c>
      <c r="AP72" s="745">
        <f>COUNTIF(AF72:AN72,"△")</f>
        <v>2</v>
      </c>
      <c r="AQ72" s="745">
        <f>COUNTIF(AF72:AN72,"●")</f>
        <v>0</v>
      </c>
      <c r="AR72" s="734">
        <f>(AO72*4)+(AP72*1)</f>
        <v>2</v>
      </c>
      <c r="AS72" s="723">
        <f>RANK(AR72,$AR$70:$AR$75)</f>
        <v>1</v>
      </c>
      <c r="AT72" s="725" t="s">
        <v>326</v>
      </c>
      <c r="AU72" s="728"/>
      <c r="AV72" s="729"/>
      <c r="AW72" s="730"/>
      <c r="AX72" s="730"/>
      <c r="AY72" s="731"/>
      <c r="AZ72" s="732"/>
    </row>
    <row r="73" spans="1:67" ht="26.25" customHeight="1" x14ac:dyDescent="0.15">
      <c r="A73" s="715"/>
      <c r="B73" s="739" t="s">
        <v>314</v>
      </c>
      <c r="C73" s="740"/>
      <c r="D73" s="187">
        <f>I71</f>
        <v>0</v>
      </c>
      <c r="E73" s="185" t="s">
        <v>313</v>
      </c>
      <c r="F73" s="186">
        <f>G71</f>
        <v>0</v>
      </c>
      <c r="G73" s="199"/>
      <c r="H73" s="183"/>
      <c r="I73" s="200"/>
      <c r="J73" s="201">
        <f>R20</f>
        <v>0</v>
      </c>
      <c r="K73" s="185" t="s">
        <v>313</v>
      </c>
      <c r="L73" s="202">
        <f>V20</f>
        <v>0</v>
      </c>
      <c r="M73" s="719"/>
      <c r="N73" s="721"/>
      <c r="O73" s="721"/>
      <c r="P73" s="721"/>
      <c r="Q73" s="723"/>
      <c r="R73" s="725"/>
      <c r="S73" s="728"/>
      <c r="T73" s="729"/>
      <c r="U73" s="730"/>
      <c r="V73" s="730"/>
      <c r="W73" s="731"/>
      <c r="X73" s="732"/>
      <c r="AA73" s="137"/>
      <c r="AC73" s="715"/>
      <c r="AD73" s="739" t="s">
        <v>314</v>
      </c>
      <c r="AE73" s="740"/>
      <c r="AF73" s="187">
        <f>AK71</f>
        <v>0</v>
      </c>
      <c r="AG73" s="185" t="s">
        <v>313</v>
      </c>
      <c r="AH73" s="186">
        <f>AI71</f>
        <v>0</v>
      </c>
      <c r="AI73" s="199"/>
      <c r="AJ73" s="183"/>
      <c r="AK73" s="200"/>
      <c r="AL73" s="201">
        <f>AT20</f>
        <v>0</v>
      </c>
      <c r="AM73" s="185" t="s">
        <v>313</v>
      </c>
      <c r="AN73" s="202">
        <f>AX20</f>
        <v>0</v>
      </c>
      <c r="AO73" s="719"/>
      <c r="AP73" s="721"/>
      <c r="AQ73" s="721"/>
      <c r="AR73" s="721"/>
      <c r="AS73" s="723"/>
      <c r="AT73" s="725"/>
      <c r="AU73" s="728"/>
      <c r="AV73" s="729"/>
      <c r="AW73" s="730"/>
      <c r="AX73" s="730"/>
      <c r="AY73" s="731"/>
      <c r="AZ73" s="732"/>
    </row>
    <row r="74" spans="1:67" ht="26.25" customHeight="1" x14ac:dyDescent="0.15">
      <c r="A74" s="741" t="str">
        <f>予選リーグ!H12</f>
        <v>D3</v>
      </c>
      <c r="B74" s="742" t="s">
        <v>325</v>
      </c>
      <c r="C74" s="743"/>
      <c r="D74" s="191"/>
      <c r="E74" s="191" t="str">
        <f>IF(D75="","",IF(D75&gt;F75,"○",IF(D75&lt;F75,"●",IF(D75=F75,"△"))))</f>
        <v>△</v>
      </c>
      <c r="F74" s="192"/>
      <c r="G74" s="196"/>
      <c r="H74" s="191" t="str">
        <f>IF(G75="","",IF(G75&gt;I75,"○",IF(G75&lt;I75,"●",IF(G75=I75,"△"))))</f>
        <v>△</v>
      </c>
      <c r="I74" s="192"/>
      <c r="J74" s="193"/>
      <c r="K74" s="194"/>
      <c r="L74" s="195"/>
      <c r="M74" s="744">
        <f>COUNTIF(D74:L74,"○")</f>
        <v>0</v>
      </c>
      <c r="N74" s="745">
        <f>COUNTIF(D74:L74,"△")</f>
        <v>2</v>
      </c>
      <c r="O74" s="745">
        <f>COUNTIF(D74:L74,"●")</f>
        <v>0</v>
      </c>
      <c r="P74" s="734">
        <f>(M74*4)+(N74*1)</f>
        <v>2</v>
      </c>
      <c r="Q74" s="723">
        <f>RANK(P74,$P$70:$P$75)</f>
        <v>1</v>
      </c>
      <c r="R74" s="725" t="s">
        <v>326</v>
      </c>
      <c r="S74" s="728"/>
      <c r="T74" s="729"/>
      <c r="U74" s="730"/>
      <c r="V74" s="730"/>
      <c r="W74" s="731"/>
      <c r="X74" s="732"/>
      <c r="AA74" s="137"/>
      <c r="AC74" s="741" t="str">
        <f>予選リーグ!N12</f>
        <v>H3</v>
      </c>
      <c r="AD74" s="742" t="s">
        <v>325</v>
      </c>
      <c r="AE74" s="743"/>
      <c r="AF74" s="191"/>
      <c r="AG74" s="191" t="str">
        <f>IF(AF75="","",IF(AF75&gt;AH75,"○",IF(AF75&lt;AH75,"●",IF(AF75=AH75,"△"))))</f>
        <v>△</v>
      </c>
      <c r="AH74" s="192"/>
      <c r="AI74" s="196"/>
      <c r="AJ74" s="191" t="str">
        <f>IF(AI75="","",IF(AI75&gt;AK75,"○",IF(AI75&lt;AK75,"●",IF(AI75=AK75,"△"))))</f>
        <v>△</v>
      </c>
      <c r="AK74" s="192"/>
      <c r="AL74" s="193"/>
      <c r="AM74" s="194"/>
      <c r="AN74" s="195"/>
      <c r="AO74" s="744">
        <f>COUNTIF(AF74:AN74,"○")</f>
        <v>0</v>
      </c>
      <c r="AP74" s="745">
        <f>COUNTIF(AF74:AN74,"△")</f>
        <v>2</v>
      </c>
      <c r="AQ74" s="745">
        <f>COUNTIF(AF74:AN74,"●")</f>
        <v>0</v>
      </c>
      <c r="AR74" s="734">
        <f>(AO74*4)+(AP74*1)</f>
        <v>2</v>
      </c>
      <c r="AS74" s="723">
        <f>RANK(AR74,$AR$70:$AR$75)</f>
        <v>1</v>
      </c>
      <c r="AT74" s="725" t="s">
        <v>326</v>
      </c>
      <c r="AU74" s="728"/>
      <c r="AV74" s="729"/>
      <c r="AW74" s="730"/>
      <c r="AX74" s="730"/>
      <c r="AY74" s="731"/>
      <c r="AZ74" s="732"/>
    </row>
    <row r="75" spans="1:67" ht="26.25" customHeight="1" x14ac:dyDescent="0.15">
      <c r="A75" s="748"/>
      <c r="B75" s="757" t="s">
        <v>314</v>
      </c>
      <c r="C75" s="758"/>
      <c r="D75" s="211">
        <f>L71</f>
        <v>0</v>
      </c>
      <c r="E75" s="204" t="s">
        <v>313</v>
      </c>
      <c r="F75" s="205">
        <f>J71</f>
        <v>0</v>
      </c>
      <c r="G75" s="206">
        <f>L73</f>
        <v>0</v>
      </c>
      <c r="H75" s="204" t="s">
        <v>313</v>
      </c>
      <c r="I75" s="207">
        <f>J73</f>
        <v>0</v>
      </c>
      <c r="J75" s="208"/>
      <c r="K75" s="209"/>
      <c r="L75" s="210"/>
      <c r="M75" s="749"/>
      <c r="N75" s="750"/>
      <c r="O75" s="750"/>
      <c r="P75" s="750"/>
      <c r="Q75" s="751"/>
      <c r="R75" s="752"/>
      <c r="S75" s="753"/>
      <c r="T75" s="754"/>
      <c r="U75" s="730"/>
      <c r="V75" s="730"/>
      <c r="W75" s="731"/>
      <c r="X75" s="732"/>
      <c r="AA75" s="137"/>
      <c r="AC75" s="748"/>
      <c r="AD75" s="757" t="s">
        <v>314</v>
      </c>
      <c r="AE75" s="758"/>
      <c r="AF75" s="211">
        <f>AN71</f>
        <v>0</v>
      </c>
      <c r="AG75" s="204" t="s">
        <v>313</v>
      </c>
      <c r="AH75" s="205">
        <f>AL71</f>
        <v>0</v>
      </c>
      <c r="AI75" s="206">
        <f>AN73</f>
        <v>0</v>
      </c>
      <c r="AJ75" s="204" t="s">
        <v>313</v>
      </c>
      <c r="AK75" s="207">
        <f>AL73</f>
        <v>0</v>
      </c>
      <c r="AL75" s="208"/>
      <c r="AM75" s="209"/>
      <c r="AN75" s="210"/>
      <c r="AO75" s="749"/>
      <c r="AP75" s="750"/>
      <c r="AQ75" s="750"/>
      <c r="AR75" s="750"/>
      <c r="AS75" s="751"/>
      <c r="AT75" s="752"/>
      <c r="AU75" s="753"/>
      <c r="AV75" s="754"/>
      <c r="AW75" s="730"/>
      <c r="AX75" s="730"/>
      <c r="AY75" s="731"/>
      <c r="AZ75" s="732"/>
    </row>
    <row r="76" spans="1:67" x14ac:dyDescent="0.15">
      <c r="Y76" s="137"/>
      <c r="Z76" s="137"/>
      <c r="AA76" s="139"/>
      <c r="AC76" s="137"/>
      <c r="AD76" s="137"/>
      <c r="AE76" s="137"/>
      <c r="AF76" s="137"/>
      <c r="AG76" s="137"/>
      <c r="AH76" s="137"/>
      <c r="AI76" s="137"/>
      <c r="AJ76" s="137"/>
      <c r="AK76" s="137"/>
      <c r="AL76" s="137"/>
      <c r="AM76" s="137"/>
      <c r="AN76" s="137"/>
      <c r="AO76" s="137"/>
      <c r="AP76" s="137"/>
      <c r="BD76" s="139"/>
      <c r="BE76" s="139"/>
      <c r="BF76" s="139"/>
      <c r="BG76" s="139"/>
      <c r="BH76" s="139"/>
      <c r="BI76" s="139"/>
      <c r="BJ76" s="139"/>
      <c r="BK76" s="139"/>
      <c r="BL76" s="139"/>
      <c r="BM76" s="139"/>
      <c r="BN76" s="139"/>
      <c r="BO76" s="139"/>
    </row>
    <row r="77" spans="1:67" x14ac:dyDescent="0.15">
      <c r="Y77" s="137"/>
      <c r="Z77" s="137"/>
      <c r="AA77" s="139"/>
      <c r="AC77" s="137"/>
      <c r="AD77" s="137"/>
      <c r="AE77" s="137"/>
      <c r="AF77" s="137"/>
      <c r="AG77" s="137"/>
      <c r="AH77" s="137"/>
      <c r="AI77" s="137"/>
      <c r="AJ77" s="137"/>
      <c r="AK77" s="137"/>
      <c r="AL77" s="137"/>
      <c r="AM77" s="137"/>
      <c r="AN77" s="137"/>
      <c r="AO77" s="137"/>
      <c r="AP77" s="137"/>
      <c r="BD77" s="139"/>
      <c r="BE77" s="139"/>
      <c r="BF77" s="139"/>
      <c r="BG77" s="139"/>
      <c r="BH77" s="139"/>
      <c r="BI77" s="139"/>
      <c r="BJ77" s="139"/>
      <c r="BK77" s="139"/>
      <c r="BL77" s="139"/>
      <c r="BM77" s="139"/>
      <c r="BN77" s="139"/>
      <c r="BO77" s="139"/>
    </row>
    <row r="78" spans="1:67" x14ac:dyDescent="0.15">
      <c r="Y78" s="137"/>
      <c r="Z78" s="137"/>
      <c r="AA78" s="139"/>
      <c r="AC78" s="137"/>
      <c r="AD78" s="137"/>
      <c r="AE78" s="137"/>
      <c r="AF78" s="137"/>
      <c r="AG78" s="137"/>
      <c r="AH78" s="137"/>
      <c r="AI78" s="137"/>
      <c r="AJ78" s="137"/>
      <c r="AK78" s="137"/>
      <c r="AL78" s="137"/>
      <c r="AM78" s="137"/>
      <c r="AN78" s="137"/>
      <c r="AO78" s="137"/>
      <c r="AP78" s="137"/>
      <c r="BD78" s="139"/>
      <c r="BE78" s="139"/>
      <c r="BF78" s="139"/>
      <c r="BG78" s="139"/>
      <c r="BH78" s="139"/>
      <c r="BI78" s="139"/>
      <c r="BJ78" s="139"/>
      <c r="BK78" s="139"/>
      <c r="BL78" s="139"/>
      <c r="BM78" s="139"/>
      <c r="BN78" s="139"/>
      <c r="BO78" s="139"/>
    </row>
    <row r="79" spans="1:67" x14ac:dyDescent="0.15">
      <c r="Y79" s="137"/>
      <c r="Z79" s="137"/>
      <c r="AA79" s="139"/>
      <c r="AC79" s="137"/>
      <c r="AD79" s="137"/>
      <c r="AE79" s="137"/>
      <c r="AF79" s="137"/>
      <c r="AG79" s="137"/>
      <c r="AH79" s="137"/>
      <c r="AI79" s="137"/>
      <c r="AJ79" s="137"/>
      <c r="AK79" s="137"/>
      <c r="AL79" s="137"/>
      <c r="AM79" s="137"/>
      <c r="AN79" s="137"/>
      <c r="AO79" s="137"/>
      <c r="AP79" s="137"/>
      <c r="BD79" s="139"/>
      <c r="BE79" s="139"/>
      <c r="BF79" s="139"/>
      <c r="BG79" s="139"/>
      <c r="BH79" s="139"/>
      <c r="BI79" s="139"/>
      <c r="BJ79" s="139"/>
      <c r="BK79" s="139"/>
      <c r="BL79" s="139"/>
      <c r="BM79" s="139"/>
      <c r="BN79" s="139"/>
      <c r="BO79" s="139"/>
    </row>
    <row r="80" spans="1:67" x14ac:dyDescent="0.15">
      <c r="Y80" s="137"/>
      <c r="Z80" s="137"/>
      <c r="AA80" s="139"/>
      <c r="AC80" s="137"/>
      <c r="AD80" s="137"/>
      <c r="AE80" s="137"/>
      <c r="AF80" s="137"/>
      <c r="AG80" s="137"/>
      <c r="AH80" s="137"/>
      <c r="AI80" s="137"/>
      <c r="AJ80" s="137"/>
      <c r="AK80" s="137"/>
      <c r="AL80" s="137"/>
      <c r="AM80" s="137"/>
      <c r="AN80" s="137"/>
      <c r="AO80" s="137"/>
      <c r="AP80" s="137"/>
      <c r="BD80" s="139"/>
      <c r="BE80" s="139"/>
      <c r="BF80" s="139"/>
      <c r="BG80" s="139"/>
      <c r="BH80" s="139"/>
      <c r="BI80" s="139"/>
      <c r="BJ80" s="139"/>
      <c r="BK80" s="139"/>
      <c r="BL80" s="139"/>
      <c r="BM80" s="139"/>
      <c r="BN80" s="139"/>
      <c r="BO80" s="139"/>
    </row>
    <row r="81" spans="25:67" x14ac:dyDescent="0.15">
      <c r="Y81" s="137"/>
      <c r="Z81" s="137"/>
      <c r="AA81" s="139"/>
      <c r="AC81" s="137"/>
      <c r="AD81" s="137"/>
      <c r="AE81" s="137"/>
      <c r="AF81" s="137"/>
      <c r="AG81" s="137"/>
      <c r="AH81" s="137"/>
      <c r="AI81" s="137"/>
      <c r="AJ81" s="137"/>
      <c r="AK81" s="137"/>
      <c r="AL81" s="137"/>
      <c r="AM81" s="137"/>
      <c r="AN81" s="137"/>
      <c r="AO81" s="137"/>
      <c r="AP81" s="137"/>
      <c r="BD81" s="139"/>
      <c r="BE81" s="139"/>
      <c r="BF81" s="139"/>
      <c r="BG81" s="139"/>
      <c r="BH81" s="139"/>
      <c r="BI81" s="139"/>
      <c r="BJ81" s="139"/>
      <c r="BK81" s="139"/>
      <c r="BL81" s="139"/>
      <c r="BM81" s="139"/>
      <c r="BN81" s="139"/>
      <c r="BO81" s="139"/>
    </row>
    <row r="82" spans="25:67" x14ac:dyDescent="0.15">
      <c r="Y82" s="137"/>
      <c r="Z82" s="137"/>
      <c r="AA82" s="139"/>
      <c r="AC82" s="137"/>
      <c r="AD82" s="137"/>
      <c r="AE82" s="137"/>
      <c r="AF82" s="137"/>
      <c r="AG82" s="137"/>
      <c r="AH82" s="137"/>
      <c r="AI82" s="137"/>
      <c r="AJ82" s="137"/>
      <c r="AK82" s="137"/>
      <c r="AL82" s="137"/>
      <c r="AM82" s="137"/>
      <c r="AN82" s="137"/>
      <c r="AO82" s="137"/>
      <c r="AP82" s="137"/>
      <c r="BD82" s="139"/>
      <c r="BE82" s="139"/>
      <c r="BF82" s="139"/>
      <c r="BG82" s="139"/>
      <c r="BH82" s="139"/>
      <c r="BI82" s="139"/>
      <c r="BJ82" s="139"/>
      <c r="BK82" s="139"/>
      <c r="BL82" s="139"/>
      <c r="BM82" s="139"/>
      <c r="BN82" s="139"/>
      <c r="BO82" s="139"/>
    </row>
    <row r="83" spans="25:67" x14ac:dyDescent="0.15">
      <c r="Y83" s="137"/>
      <c r="Z83" s="137"/>
      <c r="AA83" s="139"/>
      <c r="AC83" s="137"/>
      <c r="AD83" s="137"/>
      <c r="AE83" s="137"/>
      <c r="AF83" s="137"/>
      <c r="AG83" s="137"/>
      <c r="AH83" s="137"/>
      <c r="AI83" s="137"/>
      <c r="AJ83" s="137"/>
      <c r="AK83" s="137"/>
      <c r="AL83" s="137"/>
      <c r="AM83" s="137"/>
      <c r="AN83" s="137"/>
      <c r="AO83" s="137"/>
      <c r="AP83" s="137"/>
      <c r="BD83" s="139"/>
      <c r="BE83" s="139"/>
      <c r="BF83" s="139"/>
      <c r="BG83" s="139"/>
      <c r="BH83" s="139"/>
      <c r="BI83" s="139"/>
      <c r="BJ83" s="139"/>
      <c r="BK83" s="139"/>
      <c r="BL83" s="139"/>
      <c r="BM83" s="139"/>
      <c r="BN83" s="139"/>
      <c r="BO83" s="139"/>
    </row>
  </sheetData>
  <mergeCells count="624">
    <mergeCell ref="AQ74:AQ75"/>
    <mergeCell ref="AR74:AR75"/>
    <mergeCell ref="AS74:AS75"/>
    <mergeCell ref="AT74:AT75"/>
    <mergeCell ref="AU74:AV75"/>
    <mergeCell ref="AW74:AX75"/>
    <mergeCell ref="AY74:AY75"/>
    <mergeCell ref="AZ74:AZ75"/>
    <mergeCell ref="B75:C75"/>
    <mergeCell ref="AD75:AE75"/>
    <mergeCell ref="AS72:AS73"/>
    <mergeCell ref="AT72:AT73"/>
    <mergeCell ref="AU72:AV73"/>
    <mergeCell ref="AW72:AX73"/>
    <mergeCell ref="AY72:AY73"/>
    <mergeCell ref="AZ72:AZ73"/>
    <mergeCell ref="B73:C73"/>
    <mergeCell ref="AD73:AE73"/>
    <mergeCell ref="A74:A75"/>
    <mergeCell ref="B74:C74"/>
    <mergeCell ref="M74:M75"/>
    <mergeCell ref="N74:N75"/>
    <mergeCell ref="O74:O75"/>
    <mergeCell ref="P74:P75"/>
    <mergeCell ref="Q74:Q75"/>
    <mergeCell ref="R74:R75"/>
    <mergeCell ref="S74:T75"/>
    <mergeCell ref="U74:V75"/>
    <mergeCell ref="W74:W75"/>
    <mergeCell ref="X74:X75"/>
    <mergeCell ref="AC74:AC75"/>
    <mergeCell ref="AD74:AE74"/>
    <mergeCell ref="AO74:AO75"/>
    <mergeCell ref="AP74:AP75"/>
    <mergeCell ref="U72:V73"/>
    <mergeCell ref="W72:W73"/>
    <mergeCell ref="X72:X73"/>
    <mergeCell ref="AC72:AC73"/>
    <mergeCell ref="AD72:AE72"/>
    <mergeCell ref="AO72:AO73"/>
    <mergeCell ref="AP72:AP73"/>
    <mergeCell ref="AQ72:AQ73"/>
    <mergeCell ref="AR72:AR73"/>
    <mergeCell ref="A72:A73"/>
    <mergeCell ref="B72:C72"/>
    <mergeCell ref="M72:M73"/>
    <mergeCell ref="N72:N73"/>
    <mergeCell ref="O72:O73"/>
    <mergeCell ref="P72:P73"/>
    <mergeCell ref="Q72:Q73"/>
    <mergeCell ref="R72:R73"/>
    <mergeCell ref="S72:T73"/>
    <mergeCell ref="AR70:AR71"/>
    <mergeCell ref="AS70:AS71"/>
    <mergeCell ref="AT70:AT71"/>
    <mergeCell ref="AU70:AV71"/>
    <mergeCell ref="AW70:AX71"/>
    <mergeCell ref="AY70:AY71"/>
    <mergeCell ref="AZ70:AZ71"/>
    <mergeCell ref="B71:C71"/>
    <mergeCell ref="AD71:AE71"/>
    <mergeCell ref="AF69:AH69"/>
    <mergeCell ref="AI69:AK69"/>
    <mergeCell ref="AL69:AN69"/>
    <mergeCell ref="AS69:AT69"/>
    <mergeCell ref="AU69:AV69"/>
    <mergeCell ref="AW69:AX69"/>
    <mergeCell ref="AY69:AZ69"/>
    <mergeCell ref="A70:A71"/>
    <mergeCell ref="B70:C70"/>
    <mergeCell ref="M70:M71"/>
    <mergeCell ref="N70:N71"/>
    <mergeCell ref="O70:O71"/>
    <mergeCell ref="P70:P71"/>
    <mergeCell ref="Q70:Q71"/>
    <mergeCell ref="R70:R71"/>
    <mergeCell ref="S70:T71"/>
    <mergeCell ref="U70:V71"/>
    <mergeCell ref="W70:W71"/>
    <mergeCell ref="X70:X71"/>
    <mergeCell ref="AC70:AC71"/>
    <mergeCell ref="AD70:AE70"/>
    <mergeCell ref="AO70:AO71"/>
    <mergeCell ref="AP70:AP71"/>
    <mergeCell ref="AQ70:AQ71"/>
    <mergeCell ref="A69:C69"/>
    <mergeCell ref="D69:F69"/>
    <mergeCell ref="G69:I69"/>
    <mergeCell ref="J69:L69"/>
    <mergeCell ref="Q69:R69"/>
    <mergeCell ref="S69:T69"/>
    <mergeCell ref="U69:V69"/>
    <mergeCell ref="W69:X69"/>
    <mergeCell ref="AC69:AE69"/>
    <mergeCell ref="AQ66:AQ67"/>
    <mergeCell ref="AR66:AR67"/>
    <mergeCell ref="AS66:AS67"/>
    <mergeCell ref="AT66:AT67"/>
    <mergeCell ref="AU66:AV67"/>
    <mergeCell ref="AW66:AX67"/>
    <mergeCell ref="AY66:AY67"/>
    <mergeCell ref="AZ66:AZ67"/>
    <mergeCell ref="B67:C67"/>
    <mergeCell ref="AD67:AE67"/>
    <mergeCell ref="AS64:AS65"/>
    <mergeCell ref="AT64:AT65"/>
    <mergeCell ref="AU64:AV65"/>
    <mergeCell ref="AW64:AX65"/>
    <mergeCell ref="AY64:AY65"/>
    <mergeCell ref="AZ64:AZ65"/>
    <mergeCell ref="B65:C65"/>
    <mergeCell ref="AD65:AE65"/>
    <mergeCell ref="A66:A67"/>
    <mergeCell ref="B66:C66"/>
    <mergeCell ref="M66:M67"/>
    <mergeCell ref="N66:N67"/>
    <mergeCell ref="O66:O67"/>
    <mergeCell ref="P66:P67"/>
    <mergeCell ref="Q66:Q67"/>
    <mergeCell ref="R66:R67"/>
    <mergeCell ref="S66:T67"/>
    <mergeCell ref="U66:V67"/>
    <mergeCell ref="W66:W67"/>
    <mergeCell ref="X66:X67"/>
    <mergeCell ref="AC66:AC67"/>
    <mergeCell ref="AD66:AE66"/>
    <mergeCell ref="AO66:AO67"/>
    <mergeCell ref="AP66:AP67"/>
    <mergeCell ref="U64:V65"/>
    <mergeCell ref="W64:W65"/>
    <mergeCell ref="X64:X65"/>
    <mergeCell ref="AC64:AC65"/>
    <mergeCell ref="AD64:AE64"/>
    <mergeCell ref="AO64:AO65"/>
    <mergeCell ref="AP64:AP65"/>
    <mergeCell ref="AQ64:AQ65"/>
    <mergeCell ref="AR64:AR65"/>
    <mergeCell ref="A64:A65"/>
    <mergeCell ref="B64:C64"/>
    <mergeCell ref="M64:M65"/>
    <mergeCell ref="N64:N65"/>
    <mergeCell ref="O64:O65"/>
    <mergeCell ref="P64:P65"/>
    <mergeCell ref="Q64:Q65"/>
    <mergeCell ref="R64:R65"/>
    <mergeCell ref="S64:T65"/>
    <mergeCell ref="AR62:AR63"/>
    <mergeCell ref="AS62:AS63"/>
    <mergeCell ref="AT62:AT63"/>
    <mergeCell ref="AU62:AV63"/>
    <mergeCell ref="AW62:AX63"/>
    <mergeCell ref="AY62:AY63"/>
    <mergeCell ref="AZ62:AZ63"/>
    <mergeCell ref="B63:C63"/>
    <mergeCell ref="AD63:AE63"/>
    <mergeCell ref="AF61:AH61"/>
    <mergeCell ref="AI61:AK61"/>
    <mergeCell ref="AL61:AN61"/>
    <mergeCell ref="AS61:AT61"/>
    <mergeCell ref="AU61:AV61"/>
    <mergeCell ref="AW61:AX61"/>
    <mergeCell ref="AY61:AZ61"/>
    <mergeCell ref="A62:A63"/>
    <mergeCell ref="B62:C62"/>
    <mergeCell ref="M62:M63"/>
    <mergeCell ref="N62:N63"/>
    <mergeCell ref="O62:O63"/>
    <mergeCell ref="P62:P63"/>
    <mergeCell ref="Q62:Q63"/>
    <mergeCell ref="R62:R63"/>
    <mergeCell ref="S62:T63"/>
    <mergeCell ref="U62:V63"/>
    <mergeCell ref="W62:W63"/>
    <mergeCell ref="X62:X63"/>
    <mergeCell ref="AC62:AC63"/>
    <mergeCell ref="AD62:AE62"/>
    <mergeCell ref="AO62:AO63"/>
    <mergeCell ref="AP62:AP63"/>
    <mergeCell ref="AQ62:AQ63"/>
    <mergeCell ref="A61:C61"/>
    <mergeCell ref="D61:F61"/>
    <mergeCell ref="G61:I61"/>
    <mergeCell ref="J61:L61"/>
    <mergeCell ref="Q61:R61"/>
    <mergeCell ref="S61:T61"/>
    <mergeCell ref="U61:V61"/>
    <mergeCell ref="W61:X61"/>
    <mergeCell ref="AC61:AE61"/>
    <mergeCell ref="AQ58:AQ59"/>
    <mergeCell ref="AR58:AR59"/>
    <mergeCell ref="AS58:AS59"/>
    <mergeCell ref="AT58:AT59"/>
    <mergeCell ref="AU58:AV59"/>
    <mergeCell ref="AW58:AX59"/>
    <mergeCell ref="AY58:AY59"/>
    <mergeCell ref="AZ58:AZ59"/>
    <mergeCell ref="B59:C59"/>
    <mergeCell ref="AD59:AE59"/>
    <mergeCell ref="AS56:AS57"/>
    <mergeCell ref="AT56:AT57"/>
    <mergeCell ref="AU56:AV57"/>
    <mergeCell ref="AW56:AX57"/>
    <mergeCell ref="AY56:AY57"/>
    <mergeCell ref="AZ56:AZ57"/>
    <mergeCell ref="B57:C57"/>
    <mergeCell ref="AD57:AE57"/>
    <mergeCell ref="A58:A59"/>
    <mergeCell ref="B58:C58"/>
    <mergeCell ref="M58:M59"/>
    <mergeCell ref="N58:N59"/>
    <mergeCell ref="O58:O59"/>
    <mergeCell ref="P58:P59"/>
    <mergeCell ref="Q58:Q59"/>
    <mergeCell ref="R58:R59"/>
    <mergeCell ref="S58:T59"/>
    <mergeCell ref="U58:V59"/>
    <mergeCell ref="W58:W59"/>
    <mergeCell ref="X58:X59"/>
    <mergeCell ref="AC58:AC59"/>
    <mergeCell ref="AD58:AE58"/>
    <mergeCell ref="AO58:AO59"/>
    <mergeCell ref="AP58:AP59"/>
    <mergeCell ref="U56:V57"/>
    <mergeCell ref="W56:W57"/>
    <mergeCell ref="X56:X57"/>
    <mergeCell ref="AC56:AC57"/>
    <mergeCell ref="AD56:AE56"/>
    <mergeCell ref="AO56:AO57"/>
    <mergeCell ref="AP56:AP57"/>
    <mergeCell ref="AQ56:AQ57"/>
    <mergeCell ref="AR56:AR57"/>
    <mergeCell ref="A56:A57"/>
    <mergeCell ref="B56:C56"/>
    <mergeCell ref="M56:M57"/>
    <mergeCell ref="N56:N57"/>
    <mergeCell ref="O56:O57"/>
    <mergeCell ref="P56:P57"/>
    <mergeCell ref="Q56:Q57"/>
    <mergeCell ref="R56:R57"/>
    <mergeCell ref="S56:T57"/>
    <mergeCell ref="AR54:AR55"/>
    <mergeCell ref="AS54:AS55"/>
    <mergeCell ref="AT54:AT55"/>
    <mergeCell ref="AU54:AV55"/>
    <mergeCell ref="AW54:AX55"/>
    <mergeCell ref="AY54:AY55"/>
    <mergeCell ref="AZ54:AZ55"/>
    <mergeCell ref="B55:C55"/>
    <mergeCell ref="AD55:AE55"/>
    <mergeCell ref="AF53:AH53"/>
    <mergeCell ref="AI53:AK53"/>
    <mergeCell ref="AL53:AN53"/>
    <mergeCell ref="AS53:AT53"/>
    <mergeCell ref="AU53:AV53"/>
    <mergeCell ref="AW53:AX53"/>
    <mergeCell ref="AY53:AZ53"/>
    <mergeCell ref="A54:A55"/>
    <mergeCell ref="B54:C54"/>
    <mergeCell ref="M54:M55"/>
    <mergeCell ref="N54:N55"/>
    <mergeCell ref="O54:O55"/>
    <mergeCell ref="P54:P55"/>
    <mergeCell ref="Q54:Q55"/>
    <mergeCell ref="R54:R55"/>
    <mergeCell ref="S54:T55"/>
    <mergeCell ref="U54:V55"/>
    <mergeCell ref="W54:W55"/>
    <mergeCell ref="X54:X55"/>
    <mergeCell ref="AC54:AC55"/>
    <mergeCell ref="AD54:AE54"/>
    <mergeCell ref="AO54:AO55"/>
    <mergeCell ref="AP54:AP55"/>
    <mergeCell ref="AQ54:AQ55"/>
    <mergeCell ref="A53:C53"/>
    <mergeCell ref="D53:F53"/>
    <mergeCell ref="G53:I53"/>
    <mergeCell ref="J53:L53"/>
    <mergeCell ref="Q53:R53"/>
    <mergeCell ref="S53:T53"/>
    <mergeCell ref="U53:V53"/>
    <mergeCell ref="W53:X53"/>
    <mergeCell ref="AC53:AE53"/>
    <mergeCell ref="AQ50:AQ51"/>
    <mergeCell ref="AR50:AR51"/>
    <mergeCell ref="AS50:AS51"/>
    <mergeCell ref="AT50:AT51"/>
    <mergeCell ref="AU50:AV51"/>
    <mergeCell ref="AW50:AX51"/>
    <mergeCell ref="AY50:AY51"/>
    <mergeCell ref="AZ50:AZ51"/>
    <mergeCell ref="B51:C51"/>
    <mergeCell ref="AD51:AE51"/>
    <mergeCell ref="AS48:AS49"/>
    <mergeCell ref="AT48:AT49"/>
    <mergeCell ref="AU48:AV49"/>
    <mergeCell ref="AW48:AX49"/>
    <mergeCell ref="AY48:AY49"/>
    <mergeCell ref="AZ48:AZ49"/>
    <mergeCell ref="B49:C49"/>
    <mergeCell ref="AD49:AE49"/>
    <mergeCell ref="A50:A51"/>
    <mergeCell ref="B50:C50"/>
    <mergeCell ref="M50:M51"/>
    <mergeCell ref="N50:N51"/>
    <mergeCell ref="O50:O51"/>
    <mergeCell ref="P50:P51"/>
    <mergeCell ref="Q50:Q51"/>
    <mergeCell ref="R50:R51"/>
    <mergeCell ref="S50:T51"/>
    <mergeCell ref="U50:V51"/>
    <mergeCell ref="W50:W51"/>
    <mergeCell ref="X50:X51"/>
    <mergeCell ref="AC50:AC51"/>
    <mergeCell ref="AD50:AE50"/>
    <mergeCell ref="AO50:AO51"/>
    <mergeCell ref="AP50:AP51"/>
    <mergeCell ref="U48:V49"/>
    <mergeCell ref="W48:W49"/>
    <mergeCell ref="X48:X49"/>
    <mergeCell ref="AC48:AC49"/>
    <mergeCell ref="AD48:AE48"/>
    <mergeCell ref="AO48:AO49"/>
    <mergeCell ref="AP48:AP49"/>
    <mergeCell ref="AQ48:AQ49"/>
    <mergeCell ref="AR48:AR49"/>
    <mergeCell ref="A48:A49"/>
    <mergeCell ref="B48:C48"/>
    <mergeCell ref="M48:M49"/>
    <mergeCell ref="N48:N49"/>
    <mergeCell ref="O48:O49"/>
    <mergeCell ref="P48:P49"/>
    <mergeCell ref="Q48:Q49"/>
    <mergeCell ref="R48:R49"/>
    <mergeCell ref="S48:T49"/>
    <mergeCell ref="AR46:AR47"/>
    <mergeCell ref="AS46:AS47"/>
    <mergeCell ref="AT46:AT47"/>
    <mergeCell ref="AU46:AV47"/>
    <mergeCell ref="AW46:AX47"/>
    <mergeCell ref="AY46:AY47"/>
    <mergeCell ref="AZ46:AZ47"/>
    <mergeCell ref="B47:C47"/>
    <mergeCell ref="AD47:AE47"/>
    <mergeCell ref="AF45:AH45"/>
    <mergeCell ref="AI45:AK45"/>
    <mergeCell ref="AL45:AN45"/>
    <mergeCell ref="AS45:AT45"/>
    <mergeCell ref="AU45:AV45"/>
    <mergeCell ref="AW45:AX45"/>
    <mergeCell ref="AY45:AZ45"/>
    <mergeCell ref="A46:A47"/>
    <mergeCell ref="B46:C46"/>
    <mergeCell ref="M46:M47"/>
    <mergeCell ref="N46:N47"/>
    <mergeCell ref="O46:O47"/>
    <mergeCell ref="P46:P47"/>
    <mergeCell ref="Q46:Q47"/>
    <mergeCell ref="R46:R47"/>
    <mergeCell ref="S46:T47"/>
    <mergeCell ref="U46:V47"/>
    <mergeCell ref="W46:W47"/>
    <mergeCell ref="X46:X47"/>
    <mergeCell ref="AC46:AC47"/>
    <mergeCell ref="AD46:AE46"/>
    <mergeCell ref="AO46:AO47"/>
    <mergeCell ref="AP46:AP47"/>
    <mergeCell ref="AQ46:AQ47"/>
    <mergeCell ref="A45:C45"/>
    <mergeCell ref="D45:F45"/>
    <mergeCell ref="G45:I45"/>
    <mergeCell ref="J45:L45"/>
    <mergeCell ref="Q45:R45"/>
    <mergeCell ref="S45:T45"/>
    <mergeCell ref="U45:V45"/>
    <mergeCell ref="W45:X45"/>
    <mergeCell ref="AC45:AE45"/>
    <mergeCell ref="AX23:AZ23"/>
    <mergeCell ref="BA23:BC24"/>
    <mergeCell ref="D24:E24"/>
    <mergeCell ref="F24:H24"/>
    <mergeCell ref="J24:L24"/>
    <mergeCell ref="P24:Q24"/>
    <mergeCell ref="R24:T24"/>
    <mergeCell ref="V24:X24"/>
    <mergeCell ref="AF24:AG24"/>
    <mergeCell ref="AH24:AJ24"/>
    <mergeCell ref="AL24:AN24"/>
    <mergeCell ref="AR24:AS24"/>
    <mergeCell ref="AT24:AV24"/>
    <mergeCell ref="AX24:AZ24"/>
    <mergeCell ref="Y23:AA24"/>
    <mergeCell ref="AC23:AC24"/>
    <mergeCell ref="AD23:AE24"/>
    <mergeCell ref="AF23:AG23"/>
    <mergeCell ref="AH23:AJ23"/>
    <mergeCell ref="AL23:AN23"/>
    <mergeCell ref="AO23:AQ24"/>
    <mergeCell ref="AR23:AS23"/>
    <mergeCell ref="AT23:AV23"/>
    <mergeCell ref="A23:A24"/>
    <mergeCell ref="B23:C24"/>
    <mergeCell ref="D23:E23"/>
    <mergeCell ref="F23:H23"/>
    <mergeCell ref="J23:L23"/>
    <mergeCell ref="M23:O24"/>
    <mergeCell ref="P23:Q23"/>
    <mergeCell ref="R23:T23"/>
    <mergeCell ref="V23:X23"/>
    <mergeCell ref="AX21:AZ21"/>
    <mergeCell ref="BA21:BC22"/>
    <mergeCell ref="D22:E22"/>
    <mergeCell ref="F22:H22"/>
    <mergeCell ref="J22:L22"/>
    <mergeCell ref="P22:Q22"/>
    <mergeCell ref="R22:T22"/>
    <mergeCell ref="V22:X22"/>
    <mergeCell ref="AF22:AG22"/>
    <mergeCell ref="AH22:AJ22"/>
    <mergeCell ref="AL22:AN22"/>
    <mergeCell ref="AR22:AS22"/>
    <mergeCell ref="AT22:AV22"/>
    <mergeCell ref="AX22:AZ22"/>
    <mergeCell ref="Y21:AA22"/>
    <mergeCell ref="AC21:AC22"/>
    <mergeCell ref="AD21:AE22"/>
    <mergeCell ref="AF21:AG21"/>
    <mergeCell ref="AH21:AJ21"/>
    <mergeCell ref="AL21:AN21"/>
    <mergeCell ref="AO21:AQ22"/>
    <mergeCell ref="AR21:AS21"/>
    <mergeCell ref="AT21:AV21"/>
    <mergeCell ref="A21:A22"/>
    <mergeCell ref="B21:C22"/>
    <mergeCell ref="D21:E21"/>
    <mergeCell ref="F21:H21"/>
    <mergeCell ref="J21:L21"/>
    <mergeCell ref="M21:O22"/>
    <mergeCell ref="P21:Q21"/>
    <mergeCell ref="R21:T21"/>
    <mergeCell ref="V21:X21"/>
    <mergeCell ref="AX19:AZ19"/>
    <mergeCell ref="BA19:BC20"/>
    <mergeCell ref="D20:E20"/>
    <mergeCell ref="F20:H20"/>
    <mergeCell ref="J20:L20"/>
    <mergeCell ref="P20:Q20"/>
    <mergeCell ref="R20:T20"/>
    <mergeCell ref="V20:X20"/>
    <mergeCell ref="AF20:AG20"/>
    <mergeCell ref="AH20:AJ20"/>
    <mergeCell ref="AL20:AN20"/>
    <mergeCell ref="AR20:AS20"/>
    <mergeCell ref="AT20:AV20"/>
    <mergeCell ref="AX20:AZ20"/>
    <mergeCell ref="Y19:AA20"/>
    <mergeCell ref="AC19:AC20"/>
    <mergeCell ref="AD19:AE20"/>
    <mergeCell ref="AF19:AG19"/>
    <mergeCell ref="AH19:AJ19"/>
    <mergeCell ref="AL19:AN19"/>
    <mergeCell ref="AO19:AQ20"/>
    <mergeCell ref="AR19:AS19"/>
    <mergeCell ref="AT19:AV19"/>
    <mergeCell ref="A19:A20"/>
    <mergeCell ref="B19:C20"/>
    <mergeCell ref="D19:E19"/>
    <mergeCell ref="F19:H19"/>
    <mergeCell ref="J19:L19"/>
    <mergeCell ref="M19:O20"/>
    <mergeCell ref="P19:Q19"/>
    <mergeCell ref="R19:T19"/>
    <mergeCell ref="V19:X19"/>
    <mergeCell ref="AX17:AZ17"/>
    <mergeCell ref="BA17:BC18"/>
    <mergeCell ref="D18:E18"/>
    <mergeCell ref="F18:H18"/>
    <mergeCell ref="J18:L18"/>
    <mergeCell ref="P18:Q18"/>
    <mergeCell ref="R18:T18"/>
    <mergeCell ref="V18:X18"/>
    <mergeCell ref="AF18:AG18"/>
    <mergeCell ref="AH18:AJ18"/>
    <mergeCell ref="AL18:AN18"/>
    <mergeCell ref="AR18:AS18"/>
    <mergeCell ref="AT18:AV18"/>
    <mergeCell ref="AX18:AZ18"/>
    <mergeCell ref="Y17:AA18"/>
    <mergeCell ref="AC17:AC18"/>
    <mergeCell ref="AD17:AE18"/>
    <mergeCell ref="AF17:AG17"/>
    <mergeCell ref="AH17:AJ17"/>
    <mergeCell ref="AL17:AN17"/>
    <mergeCell ref="AO17:AQ18"/>
    <mergeCell ref="AR17:AS17"/>
    <mergeCell ref="AT17:AV17"/>
    <mergeCell ref="A17:A18"/>
    <mergeCell ref="B17:C18"/>
    <mergeCell ref="D17:E17"/>
    <mergeCell ref="F17:H17"/>
    <mergeCell ref="J17:L17"/>
    <mergeCell ref="M17:O18"/>
    <mergeCell ref="P17:Q17"/>
    <mergeCell ref="R17:T17"/>
    <mergeCell ref="V17:X17"/>
    <mergeCell ref="AX15:AZ15"/>
    <mergeCell ref="BA15:BC16"/>
    <mergeCell ref="D16:E16"/>
    <mergeCell ref="F16:H16"/>
    <mergeCell ref="J16:L16"/>
    <mergeCell ref="P16:Q16"/>
    <mergeCell ref="R16:T16"/>
    <mergeCell ref="V16:X16"/>
    <mergeCell ref="AF16:AG16"/>
    <mergeCell ref="AH16:AJ16"/>
    <mergeCell ref="AL16:AN16"/>
    <mergeCell ref="AR16:AS16"/>
    <mergeCell ref="AT16:AV16"/>
    <mergeCell ref="AX16:AZ16"/>
    <mergeCell ref="Y15:AA16"/>
    <mergeCell ref="AC15:AC16"/>
    <mergeCell ref="AD15:AE16"/>
    <mergeCell ref="AF15:AG15"/>
    <mergeCell ref="AH15:AJ15"/>
    <mergeCell ref="AL15:AN15"/>
    <mergeCell ref="AO15:AQ16"/>
    <mergeCell ref="AR15:AS15"/>
    <mergeCell ref="AT15:AV15"/>
    <mergeCell ref="A15:A16"/>
    <mergeCell ref="B15:C16"/>
    <mergeCell ref="D15:E15"/>
    <mergeCell ref="F15:H15"/>
    <mergeCell ref="J15:L15"/>
    <mergeCell ref="M15:O16"/>
    <mergeCell ref="P15:Q15"/>
    <mergeCell ref="R15:T15"/>
    <mergeCell ref="V15:X15"/>
    <mergeCell ref="AX13:AZ13"/>
    <mergeCell ref="BA13:BC14"/>
    <mergeCell ref="D14:E14"/>
    <mergeCell ref="F14:H14"/>
    <mergeCell ref="J14:L14"/>
    <mergeCell ref="P14:Q14"/>
    <mergeCell ref="R14:T14"/>
    <mergeCell ref="V14:X14"/>
    <mergeCell ref="AF14:AG14"/>
    <mergeCell ref="AH14:AJ14"/>
    <mergeCell ref="AL14:AN14"/>
    <mergeCell ref="AR14:AS14"/>
    <mergeCell ref="AT14:AV14"/>
    <mergeCell ref="AX14:AZ14"/>
    <mergeCell ref="A12:C12"/>
    <mergeCell ref="M12:O12"/>
    <mergeCell ref="Y12:AA12"/>
    <mergeCell ref="AC12:AE12"/>
    <mergeCell ref="AO12:AQ12"/>
    <mergeCell ref="BA12:BC12"/>
    <mergeCell ref="A13:A14"/>
    <mergeCell ref="B13:C14"/>
    <mergeCell ref="D13:E13"/>
    <mergeCell ref="F13:H13"/>
    <mergeCell ref="J13:L13"/>
    <mergeCell ref="M13:O14"/>
    <mergeCell ref="P13:Q13"/>
    <mergeCell ref="R13:T13"/>
    <mergeCell ref="V13:X13"/>
    <mergeCell ref="Y13:AA14"/>
    <mergeCell ref="AC13:AC14"/>
    <mergeCell ref="AD13:AE14"/>
    <mergeCell ref="AF13:AG13"/>
    <mergeCell ref="AH13:AJ13"/>
    <mergeCell ref="AL13:AN13"/>
    <mergeCell ref="AO13:AQ14"/>
    <mergeCell ref="AR13:AS13"/>
    <mergeCell ref="AT13:AV13"/>
    <mergeCell ref="AX7:BC7"/>
    <mergeCell ref="A10:C10"/>
    <mergeCell ref="AC10:AE10"/>
    <mergeCell ref="A11:C11"/>
    <mergeCell ref="D11:O11"/>
    <mergeCell ref="P11:AA11"/>
    <mergeCell ref="AC11:AE11"/>
    <mergeCell ref="AF11:AQ11"/>
    <mergeCell ref="AR11:BC11"/>
    <mergeCell ref="A5:C7"/>
    <mergeCell ref="AX5:BC5"/>
    <mergeCell ref="D6:I6"/>
    <mergeCell ref="J6:O6"/>
    <mergeCell ref="P6:U6"/>
    <mergeCell ref="V6:AA6"/>
    <mergeCell ref="AF6:AK6"/>
    <mergeCell ref="AL6:AQ6"/>
    <mergeCell ref="AR6:AW6"/>
    <mergeCell ref="AX6:BC6"/>
    <mergeCell ref="D5:I5"/>
    <mergeCell ref="J5:O5"/>
    <mergeCell ref="P5:U5"/>
    <mergeCell ref="V5:AA5"/>
    <mergeCell ref="AC5:AE7"/>
    <mergeCell ref="AF5:AK5"/>
    <mergeCell ref="AL5:AQ5"/>
    <mergeCell ref="AR5:AW5"/>
    <mergeCell ref="D7:I7"/>
    <mergeCell ref="J7:O7"/>
    <mergeCell ref="P7:U7"/>
    <mergeCell ref="V7:AA7"/>
    <mergeCell ref="AF7:AK7"/>
    <mergeCell ref="AL7:AQ7"/>
    <mergeCell ref="AR7:AW7"/>
    <mergeCell ref="A1:AA1"/>
    <mergeCell ref="AC1:BC1"/>
    <mergeCell ref="A3:C3"/>
    <mergeCell ref="D3:AA3"/>
    <mergeCell ref="AC3:AE3"/>
    <mergeCell ref="AF3:BC3"/>
    <mergeCell ref="A4:C4"/>
    <mergeCell ref="D4:I4"/>
    <mergeCell ref="J4:O4"/>
    <mergeCell ref="P4:U4"/>
    <mergeCell ref="V4:AA4"/>
    <mergeCell ref="AC4:AE4"/>
    <mergeCell ref="AF4:AK4"/>
    <mergeCell ref="AL4:AQ4"/>
    <mergeCell ref="AR4:AW4"/>
    <mergeCell ref="AX4:BC4"/>
  </mergeCells>
  <phoneticPr fontId="77"/>
  <pageMargins left="0.39370078740157477" right="0.39370078740157477" top="0.39370078740157477" bottom="0.39370078740157477" header="0.51181102362204722" footer="0.51181102362204722"/>
  <pageSetup paperSize="9" scale="79" orientation="portrait" horizontalDpi="214748364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2">
    <pageSetUpPr fitToPage="1"/>
  </sheetPr>
  <dimension ref="A1:AC89"/>
  <sheetViews>
    <sheetView zoomScale="70" workbookViewId="0">
      <selection activeCell="A2" sqref="A2"/>
    </sheetView>
  </sheetViews>
  <sheetFormatPr defaultColWidth="9" defaultRowHeight="20.25" customHeight="1" x14ac:dyDescent="0.15"/>
  <cols>
    <col min="1" max="1" width="12.125" style="214" customWidth="1"/>
    <col min="2" max="2" width="11.875" style="214" bestFit="1" customWidth="1"/>
    <col min="3" max="3" width="3.125" style="214" customWidth="1"/>
    <col min="4" max="4" width="6.75" style="214" bestFit="1" customWidth="1"/>
    <col min="5" max="5" width="10.125" style="214" bestFit="1" customWidth="1"/>
    <col min="6" max="6" width="20.625" style="214" customWidth="1"/>
    <col min="7" max="7" width="7.625" style="214" customWidth="1"/>
    <col min="8" max="9" width="4.875" style="214" customWidth="1"/>
    <col min="10" max="10" width="5.25" style="214" customWidth="1"/>
    <col min="11" max="12" width="4.875" style="214" customWidth="1"/>
    <col min="13" max="13" width="7.625" style="214" customWidth="1"/>
    <col min="14" max="14" width="20.625" style="214" customWidth="1"/>
    <col min="15" max="15" width="5" style="214" bestFit="1" customWidth="1"/>
    <col min="16" max="16" width="12.125" style="214" customWidth="1"/>
    <col min="17" max="17" width="11.875" style="214" bestFit="1" customWidth="1"/>
    <col min="18" max="18" width="3.125" style="214" customWidth="1"/>
    <col min="19" max="19" width="6.75" style="214" bestFit="1" customWidth="1"/>
    <col min="20" max="20" width="10.125" style="214" bestFit="1" customWidth="1"/>
    <col min="21" max="21" width="20.625" style="214" customWidth="1"/>
    <col min="22" max="22" width="7.625" style="214" customWidth="1"/>
    <col min="23" max="24" width="4.875" style="214" customWidth="1"/>
    <col min="25" max="25" width="5.25" style="214" customWidth="1"/>
    <col min="26" max="27" width="4.875" style="214" customWidth="1"/>
    <col min="28" max="28" width="7.625" style="214" customWidth="1"/>
    <col min="29" max="29" width="20.625" style="214" customWidth="1"/>
    <col min="30" max="16384" width="9" style="214"/>
  </cols>
  <sheetData>
    <row r="1" spans="1:29" s="215" customFormat="1" ht="20.25" customHeight="1" x14ac:dyDescent="0.15">
      <c r="A1" s="761" t="str">
        <f>大会要項!$B$3</f>
        <v>第15回 全日本不動産協会杯争奪U-12サッカー大会【ラビットカップ】大分県大会</v>
      </c>
      <c r="B1" s="761"/>
      <c r="C1" s="761"/>
      <c r="D1" s="761"/>
      <c r="E1" s="761"/>
      <c r="F1" s="761"/>
      <c r="G1" s="761"/>
      <c r="H1" s="761"/>
      <c r="I1" s="761"/>
      <c r="J1" s="761"/>
      <c r="K1" s="761" t="s">
        <v>333</v>
      </c>
      <c r="L1" s="761"/>
      <c r="M1" s="761"/>
      <c r="N1" s="761"/>
      <c r="O1" s="216"/>
      <c r="P1" s="761" t="str">
        <f>大会要項!$B$3</f>
        <v>第15回 全日本不動産協会杯争奪U-12サッカー大会【ラビットカップ】大分県大会</v>
      </c>
      <c r="Q1" s="761"/>
      <c r="R1" s="761"/>
      <c r="S1" s="761"/>
      <c r="T1" s="761"/>
      <c r="U1" s="761"/>
      <c r="V1" s="761"/>
      <c r="W1" s="761"/>
      <c r="X1" s="761"/>
      <c r="Y1" s="761"/>
      <c r="Z1" s="761" t="s">
        <v>333</v>
      </c>
      <c r="AA1" s="761"/>
      <c r="AB1" s="761"/>
      <c r="AC1" s="761"/>
    </row>
    <row r="2" spans="1:29" ht="20.25" customHeight="1" x14ac:dyDescent="0.15">
      <c r="P2" s="217"/>
      <c r="Q2" s="217"/>
      <c r="R2" s="217"/>
      <c r="S2" s="217"/>
      <c r="T2" s="217"/>
      <c r="U2" s="217"/>
      <c r="V2" s="217"/>
      <c r="W2" s="217"/>
      <c r="X2" s="217"/>
      <c r="Y2" s="217"/>
      <c r="Z2" s="217"/>
      <c r="AA2" s="217"/>
      <c r="AB2" s="217"/>
      <c r="AC2" s="217"/>
    </row>
    <row r="3" spans="1:29" ht="20.25" customHeight="1" x14ac:dyDescent="0.15">
      <c r="A3" s="214" t="s">
        <v>36</v>
      </c>
      <c r="B3" s="218" t="str">
        <f>予選リーグ!C14</f>
        <v>クラサス サッカー・ラグビー場　サブA</v>
      </c>
      <c r="C3" s="218"/>
      <c r="D3" s="218"/>
      <c r="E3" s="218"/>
      <c r="G3" s="218" t="str">
        <f>予選リーグ!C15</f>
        <v>「A」コート</v>
      </c>
      <c r="H3" s="218"/>
      <c r="I3" s="218"/>
      <c r="J3" s="218"/>
      <c r="K3" s="218"/>
      <c r="L3" s="218"/>
      <c r="P3" s="214" t="s">
        <v>36</v>
      </c>
      <c r="Q3" s="218" t="str">
        <f>予選リーグ!C14</f>
        <v>クラサス サッカー・ラグビー場　サブA</v>
      </c>
      <c r="R3" s="218"/>
      <c r="S3" s="218"/>
      <c r="T3" s="218"/>
      <c r="V3" s="218" t="str">
        <f>予選リーグ!C15</f>
        <v>「A」コート</v>
      </c>
      <c r="W3" s="219"/>
      <c r="X3" s="219"/>
      <c r="Y3" s="219"/>
      <c r="Z3" s="219"/>
      <c r="AA3" s="219"/>
      <c r="AB3" s="219"/>
      <c r="AC3" s="219"/>
    </row>
    <row r="4" spans="1:29" ht="20.25" customHeight="1" x14ac:dyDescent="0.15">
      <c r="P4" s="217"/>
      <c r="Q4" s="217"/>
      <c r="R4" s="217"/>
      <c r="S4" s="217"/>
      <c r="T4" s="217"/>
      <c r="U4" s="217"/>
      <c r="V4" s="217"/>
      <c r="W4" s="217"/>
      <c r="X4" s="217"/>
      <c r="Y4" s="217"/>
      <c r="Z4" s="217"/>
      <c r="AA4" s="217"/>
      <c r="AB4" s="217"/>
      <c r="AC4" s="217"/>
    </row>
    <row r="5" spans="1:29" ht="20.25" customHeight="1" x14ac:dyDescent="0.15">
      <c r="E5" s="220" t="s">
        <v>248</v>
      </c>
      <c r="F5" s="762" t="str">
        <f>VLOOKUP(E5,組合せ抽選用!$Q:$U,5,FALSE)</f>
        <v>ＮＦＣ・ＯＩＴＡ　Ｕ１２</v>
      </c>
      <c r="G5" s="762"/>
      <c r="H5" s="762"/>
      <c r="I5" s="762"/>
      <c r="J5" s="762"/>
      <c r="K5" s="762"/>
      <c r="L5" s="762"/>
      <c r="M5" s="762" t="str">
        <f>VLOOKUP(E5,組合せ抽選用!$Q:$V,6,FALSE)</f>
        <v>大分</v>
      </c>
      <c r="N5" s="763"/>
      <c r="R5" s="217"/>
      <c r="S5" s="217"/>
      <c r="T5" s="220" t="s">
        <v>249</v>
      </c>
      <c r="U5" s="762" t="str">
        <f>VLOOKUP(T5,組合せ抽選用!$Q:$U,5,FALSE)</f>
        <v>大分トリニータＵ－１２</v>
      </c>
      <c r="V5" s="762"/>
      <c r="W5" s="762"/>
      <c r="X5" s="762"/>
      <c r="Y5" s="762"/>
      <c r="Z5" s="762"/>
      <c r="AA5" s="762"/>
      <c r="AB5" s="762" t="str">
        <f>VLOOKUP(T5,組合せ抽選用!$Q:$V,6,FALSE)</f>
        <v>大分</v>
      </c>
      <c r="AC5" s="763"/>
    </row>
    <row r="6" spans="1:29" ht="20.25" customHeight="1" x14ac:dyDescent="0.15">
      <c r="E6" s="221" t="s">
        <v>250</v>
      </c>
      <c r="F6" s="764" t="str">
        <f>VLOOKUP(E6,組合せ抽選用!$Q:$U,5,FALSE)</f>
        <v>ＳＯＬ　ＦＵＴＥＢＯＬ　ＣＬＵＢＥ　Ｍａｇｉａ</v>
      </c>
      <c r="G6" s="764"/>
      <c r="H6" s="764"/>
      <c r="I6" s="764"/>
      <c r="J6" s="764"/>
      <c r="K6" s="764"/>
      <c r="L6" s="764"/>
      <c r="M6" s="764" t="str">
        <f>VLOOKUP(E6,組合せ抽選用!$Q:$V,6,FALSE)</f>
        <v>大分</v>
      </c>
      <c r="N6" s="765"/>
      <c r="P6" s="217"/>
      <c r="Q6" s="217"/>
      <c r="R6" s="217"/>
      <c r="S6" s="217"/>
      <c r="T6" s="221" t="s">
        <v>254</v>
      </c>
      <c r="U6" s="764" t="str">
        <f>VLOOKUP(T6,組合せ抽選用!$Q:$U,5,FALSE)</f>
        <v>明治サッカースポーツ少年団</v>
      </c>
      <c r="V6" s="764"/>
      <c r="W6" s="764"/>
      <c r="X6" s="764"/>
      <c r="Y6" s="764"/>
      <c r="Z6" s="764"/>
      <c r="AA6" s="764"/>
      <c r="AB6" s="764" t="str">
        <f>VLOOKUP(T6,組合せ抽選用!$Q:$V,6,FALSE)</f>
        <v>大分</v>
      </c>
      <c r="AC6" s="765"/>
    </row>
    <row r="7" spans="1:29" ht="20.25" customHeight="1" x14ac:dyDescent="0.15">
      <c r="E7" s="222" t="s">
        <v>251</v>
      </c>
      <c r="F7" s="766" t="str">
        <f>VLOOKUP(E7,組合せ抽選用!$Q:$U,5,FALSE)</f>
        <v>明治北ＳＳＣ</v>
      </c>
      <c r="G7" s="766"/>
      <c r="H7" s="766"/>
      <c r="I7" s="766"/>
      <c r="J7" s="766"/>
      <c r="K7" s="766"/>
      <c r="L7" s="766"/>
      <c r="M7" s="766" t="str">
        <f>VLOOKUP(E7,組合せ抽選用!$Q:$V,6,FALSE)</f>
        <v>大分</v>
      </c>
      <c r="N7" s="767"/>
      <c r="P7" s="217"/>
      <c r="Q7" s="217"/>
      <c r="R7" s="217"/>
      <c r="S7" s="217"/>
      <c r="T7" s="222" t="s">
        <v>255</v>
      </c>
      <c r="U7" s="766" t="str">
        <f>VLOOKUP(T7,組合せ抽選用!$Q:$U,5,FALSE)</f>
        <v>カティオーラフットボールクラブＵ－１２</v>
      </c>
      <c r="V7" s="766"/>
      <c r="W7" s="766"/>
      <c r="X7" s="766"/>
      <c r="Y7" s="766"/>
      <c r="Z7" s="766"/>
      <c r="AA7" s="766"/>
      <c r="AB7" s="766" t="str">
        <f>VLOOKUP(T7,組合せ抽選用!$Q:$V,6,FALSE)</f>
        <v>大分</v>
      </c>
      <c r="AC7" s="767"/>
    </row>
    <row r="8" spans="1:29" ht="20.25" customHeight="1" x14ac:dyDescent="0.15">
      <c r="P8" s="217"/>
      <c r="Q8" s="217"/>
      <c r="R8" s="217"/>
      <c r="S8" s="217"/>
      <c r="T8" s="217"/>
      <c r="U8" s="217"/>
      <c r="V8" s="217"/>
      <c r="W8" s="217"/>
      <c r="X8" s="217"/>
      <c r="Y8" s="217"/>
      <c r="Z8" s="217"/>
      <c r="AA8" s="217"/>
      <c r="AB8" s="217"/>
      <c r="AC8" s="217"/>
    </row>
    <row r="10" spans="1:29" ht="27.4" customHeight="1" x14ac:dyDescent="0.15">
      <c r="A10" s="223" t="s">
        <v>334</v>
      </c>
      <c r="B10" s="768"/>
      <c r="C10" s="769"/>
      <c r="D10" s="770"/>
      <c r="E10" s="771">
        <f>予選リーグ!B19</f>
        <v>0.4375</v>
      </c>
      <c r="F10" s="774" t="str">
        <f>F5</f>
        <v>ＮＦＣ・ＯＩＴＡ　Ｕ１２</v>
      </c>
      <c r="G10" s="777" t="str">
        <f>IF(I10="","",SUM(I10:I11))</f>
        <v/>
      </c>
      <c r="H10" s="780" t="s">
        <v>123</v>
      </c>
      <c r="I10" s="224"/>
      <c r="J10" s="224" t="s">
        <v>335</v>
      </c>
      <c r="K10" s="224"/>
      <c r="L10" s="780" t="s">
        <v>336</v>
      </c>
      <c r="M10" s="777" t="str">
        <f>IF(K10="","",SUM(K10:K11))</f>
        <v/>
      </c>
      <c r="N10" s="783" t="str">
        <f>F6</f>
        <v>ＳＯＬ　ＦＵＴＥＢＯＬ　ＣＬＵＢＥ　Ｍａｇｉａ</v>
      </c>
      <c r="P10" s="223" t="s">
        <v>334</v>
      </c>
      <c r="Q10" s="768"/>
      <c r="R10" s="769"/>
      <c r="S10" s="770"/>
      <c r="T10" s="771">
        <f>予選リーグ!B21</f>
        <v>0.47222222222222227</v>
      </c>
      <c r="U10" s="774" t="str">
        <f>U5</f>
        <v>大分トリニータＵ－１２</v>
      </c>
      <c r="V10" s="777" t="str">
        <f>IF(X10="","",SUM(X10:X11))</f>
        <v/>
      </c>
      <c r="W10" s="780" t="s">
        <v>123</v>
      </c>
      <c r="X10" s="224"/>
      <c r="Y10" s="224" t="s">
        <v>335</v>
      </c>
      <c r="Z10" s="224"/>
      <c r="AA10" s="780" t="s">
        <v>336</v>
      </c>
      <c r="AB10" s="777" t="str">
        <f>IF(Z10="","",SUM(Z10:Z11))</f>
        <v/>
      </c>
      <c r="AC10" s="783" t="str">
        <f>U6</f>
        <v>明治サッカースポーツ少年団</v>
      </c>
    </row>
    <row r="11" spans="1:29" ht="27.4" customHeight="1" x14ac:dyDescent="0.15">
      <c r="A11" s="225" t="s">
        <v>337</v>
      </c>
      <c r="B11" s="786" t="s">
        <v>313</v>
      </c>
      <c r="C11" s="786"/>
      <c r="D11" s="768"/>
      <c r="E11" s="772"/>
      <c r="F11" s="775"/>
      <c r="G11" s="778"/>
      <c r="H11" s="781"/>
      <c r="J11" s="214" t="s">
        <v>338</v>
      </c>
      <c r="L11" s="781"/>
      <c r="M11" s="778"/>
      <c r="N11" s="784"/>
      <c r="P11" s="225" t="s">
        <v>337</v>
      </c>
      <c r="Q11" s="786" t="s">
        <v>313</v>
      </c>
      <c r="R11" s="786"/>
      <c r="S11" s="768"/>
      <c r="T11" s="772"/>
      <c r="U11" s="775"/>
      <c r="V11" s="778"/>
      <c r="W11" s="781"/>
      <c r="Y11" s="214" t="s">
        <v>338</v>
      </c>
      <c r="AA11" s="781"/>
      <c r="AB11" s="778"/>
      <c r="AC11" s="784"/>
    </row>
    <row r="12" spans="1:29" ht="27.4" customHeight="1" x14ac:dyDescent="0.15">
      <c r="A12" s="225" t="s">
        <v>339</v>
      </c>
      <c r="B12" s="786"/>
      <c r="C12" s="786"/>
      <c r="D12" s="768"/>
      <c r="E12" s="773"/>
      <c r="F12" s="776"/>
      <c r="G12" s="779"/>
      <c r="H12" s="782"/>
      <c r="I12" s="226"/>
      <c r="J12" s="226" t="s">
        <v>340</v>
      </c>
      <c r="K12" s="226"/>
      <c r="L12" s="782"/>
      <c r="M12" s="779"/>
      <c r="N12" s="785"/>
      <c r="P12" s="225" t="s">
        <v>339</v>
      </c>
      <c r="Q12" s="786"/>
      <c r="R12" s="786"/>
      <c r="S12" s="768"/>
      <c r="T12" s="773"/>
      <c r="U12" s="776"/>
      <c r="V12" s="779"/>
      <c r="W12" s="782"/>
      <c r="X12" s="226"/>
      <c r="Y12" s="226" t="s">
        <v>340</v>
      </c>
      <c r="Z12" s="226"/>
      <c r="AA12" s="782"/>
      <c r="AB12" s="779"/>
      <c r="AC12" s="785"/>
    </row>
    <row r="13" spans="1:29" ht="20.25" customHeight="1" x14ac:dyDescent="0.15">
      <c r="A13" s="787" t="s">
        <v>341</v>
      </c>
      <c r="B13" s="787"/>
      <c r="C13" s="787"/>
      <c r="D13" s="787"/>
      <c r="E13" s="227"/>
      <c r="F13" s="228" t="s">
        <v>242</v>
      </c>
      <c r="G13" s="228" t="s">
        <v>342</v>
      </c>
      <c r="H13" s="228" t="s">
        <v>317</v>
      </c>
      <c r="I13" s="228"/>
      <c r="J13" s="229"/>
      <c r="K13" s="228"/>
      <c r="L13" s="228" t="s">
        <v>317</v>
      </c>
      <c r="M13" s="228" t="s">
        <v>342</v>
      </c>
      <c r="N13" s="230" t="s">
        <v>242</v>
      </c>
      <c r="P13" s="787" t="s">
        <v>341</v>
      </c>
      <c r="Q13" s="787"/>
      <c r="R13" s="787"/>
      <c r="S13" s="788"/>
      <c r="T13" s="227"/>
      <c r="U13" s="228" t="s">
        <v>242</v>
      </c>
      <c r="V13" s="228" t="s">
        <v>342</v>
      </c>
      <c r="W13" s="228" t="s">
        <v>317</v>
      </c>
      <c r="X13" s="228"/>
      <c r="Y13" s="229"/>
      <c r="Z13" s="228"/>
      <c r="AA13" s="228" t="s">
        <v>317</v>
      </c>
      <c r="AB13" s="228" t="s">
        <v>342</v>
      </c>
      <c r="AC13" s="230" t="s">
        <v>242</v>
      </c>
    </row>
    <row r="14" spans="1:29" ht="20.25" hidden="1" customHeight="1" x14ac:dyDescent="0.15">
      <c r="E14" s="231" t="s">
        <v>343</v>
      </c>
      <c r="F14" s="232" t="str">
        <f>IF(ISERROR(VLOOKUP(CONCATENATE($F$10,"_",G14),選手名簿!$A:$E,5,FALSE))=TRUE,"",VLOOKUP(CONCATENATE($F$10,"_",G14),選手名簿!$A:$E,5,FALSE))</f>
        <v/>
      </c>
      <c r="G14" s="233"/>
      <c r="H14" s="233"/>
      <c r="I14" s="233"/>
      <c r="J14" s="234"/>
      <c r="K14" s="233"/>
      <c r="L14" s="233"/>
      <c r="M14" s="233"/>
      <c r="N14" s="235" t="str">
        <f>IF(ISERROR(VLOOKUP(CONCATENATE($N$10,"_",M14),選手名簿!$A:$E,5,FALSE))=TRUE,"",VLOOKUP(CONCATENATE($N$10,"_",M14),選手名簿!$A:$E,5,FALSE))</f>
        <v/>
      </c>
      <c r="T14" s="231" t="s">
        <v>343</v>
      </c>
      <c r="U14" s="232" t="str">
        <f>IF(ISERROR(VLOOKUP(CONCATENATE($U$10,"_",V14),選手名簿!$A:$E,5,FALSE))=TRUE,"",VLOOKUP(CONCATENATE($U$10,"_",V14),選手名簿!$A:$E,5,FALSE))</f>
        <v/>
      </c>
      <c r="V14" s="233"/>
      <c r="W14" s="233"/>
      <c r="X14" s="233"/>
      <c r="Y14" s="234"/>
      <c r="Z14" s="233"/>
      <c r="AA14" s="233"/>
      <c r="AB14" s="233"/>
      <c r="AC14" s="235" t="str">
        <f>IF(ISERROR(VLOOKUP(CONCATENATE($AC$10,"_",AB14),選手名簿!$A:$E,5,FALSE))=TRUE,"",VLOOKUP(CONCATENATE($AC$10,"_",AB14),選手名簿!$A:$E,5,FALSE))</f>
        <v/>
      </c>
    </row>
    <row r="15" spans="1:29" ht="20.25" hidden="1" customHeight="1" x14ac:dyDescent="0.15">
      <c r="E15" s="231" t="s">
        <v>343</v>
      </c>
      <c r="F15" s="232" t="str">
        <f>IF(ISERROR(VLOOKUP(CONCATENATE($F$10,"_",G15),選手名簿!$A:$E,5,FALSE))=TRUE,"",VLOOKUP(CONCATENATE($F$10,"_",G15),選手名簿!$A:$E,5,FALSE))</f>
        <v/>
      </c>
      <c r="G15" s="233"/>
      <c r="H15" s="233"/>
      <c r="I15" s="233"/>
      <c r="J15" s="234"/>
      <c r="K15" s="233"/>
      <c r="L15" s="233"/>
      <c r="M15" s="233"/>
      <c r="N15" s="235" t="str">
        <f>IF(ISERROR(VLOOKUP(CONCATENATE($N$10,"_",M15),選手名簿!$A:$E,5,FALSE))=TRUE,"",VLOOKUP(CONCATENATE($N$10,"_",M15),選手名簿!$A:$E,5,FALSE))</f>
        <v/>
      </c>
      <c r="T15" s="231" t="s">
        <v>343</v>
      </c>
      <c r="U15" s="232" t="str">
        <f>IF(ISERROR(VLOOKUP(CONCATENATE($U$10,"_",V15),選手名簿!$A:$E,5,FALSE))=TRUE,"",VLOOKUP(CONCATENATE($U$10,"_",V15),選手名簿!$A:$E,5,FALSE))</f>
        <v/>
      </c>
      <c r="V15" s="233"/>
      <c r="W15" s="233"/>
      <c r="X15" s="233"/>
      <c r="Y15" s="234"/>
      <c r="Z15" s="233"/>
      <c r="AA15" s="233"/>
      <c r="AB15" s="233"/>
      <c r="AC15" s="235" t="str">
        <f>IF(ISERROR(VLOOKUP(CONCATENATE($AC$10,"_",AB15),選手名簿!$A:$E,5,FALSE))=TRUE,"",VLOOKUP(CONCATENATE($AC$10,"_",AB15),選手名簿!$A:$E,5,FALSE))</f>
        <v/>
      </c>
    </row>
    <row r="16" spans="1:29" ht="20.25" hidden="1" customHeight="1" x14ac:dyDescent="0.15">
      <c r="E16" s="231" t="s">
        <v>343</v>
      </c>
      <c r="F16" s="232" t="str">
        <f>IF(ISERROR(VLOOKUP(CONCATENATE($F$10,"_",G16),選手名簿!$A:$E,5,FALSE))=TRUE,"",VLOOKUP(CONCATENATE($F$10,"_",G16),選手名簿!$A:$E,5,FALSE))</f>
        <v/>
      </c>
      <c r="G16" s="233"/>
      <c r="H16" s="233"/>
      <c r="I16" s="233"/>
      <c r="J16" s="234"/>
      <c r="K16" s="233"/>
      <c r="L16" s="233"/>
      <c r="M16" s="233"/>
      <c r="N16" s="235" t="str">
        <f>IF(ISERROR(VLOOKUP(CONCATENATE($N$10,"_",M16),選手名簿!$A:$E,5,FALSE))=TRUE,"",VLOOKUP(CONCATENATE($N$10,"_",M16),選手名簿!$A:$E,5,FALSE))</f>
        <v/>
      </c>
      <c r="T16" s="231" t="s">
        <v>343</v>
      </c>
      <c r="U16" s="232" t="str">
        <f>IF(ISERROR(VLOOKUP(CONCATENATE($U$10,"_",V16),選手名簿!$A:$E,5,FALSE))=TRUE,"",VLOOKUP(CONCATENATE($U$10,"_",V16),選手名簿!$A:$E,5,FALSE))</f>
        <v/>
      </c>
      <c r="V16" s="233"/>
      <c r="W16" s="233"/>
      <c r="X16" s="233"/>
      <c r="Y16" s="234"/>
      <c r="Z16" s="233"/>
      <c r="AA16" s="233"/>
      <c r="AB16" s="233"/>
      <c r="AC16" s="235" t="str">
        <f>IF(ISERROR(VLOOKUP(CONCATENATE($AC$10,"_",AB16),選手名簿!$A:$E,5,FALSE))=TRUE,"",VLOOKUP(CONCATENATE($AC$10,"_",AB16),選手名簿!$A:$E,5,FALSE))</f>
        <v/>
      </c>
    </row>
    <row r="17" spans="1:29" ht="20.25" hidden="1" customHeight="1" x14ac:dyDescent="0.15">
      <c r="E17" s="231" t="s">
        <v>343</v>
      </c>
      <c r="F17" s="232" t="str">
        <f>IF(ISERROR(VLOOKUP(CONCATENATE($F$10,"_",G17),選手名簿!$A:$E,5,FALSE))=TRUE,"",VLOOKUP(CONCATENATE($F$10,"_",G17),選手名簿!$A:$E,5,FALSE))</f>
        <v/>
      </c>
      <c r="G17" s="233"/>
      <c r="H17" s="233"/>
      <c r="I17" s="233"/>
      <c r="J17" s="234"/>
      <c r="K17" s="233"/>
      <c r="L17" s="233"/>
      <c r="M17" s="233"/>
      <c r="N17" s="235" t="str">
        <f>IF(ISERROR(VLOOKUP(CONCATENATE($N$10,"_",M17),選手名簿!$A:$E,5,FALSE))=TRUE,"",VLOOKUP(CONCATENATE($N$10,"_",M17),選手名簿!$A:$E,5,FALSE))</f>
        <v/>
      </c>
      <c r="T17" s="231" t="s">
        <v>343</v>
      </c>
      <c r="U17" s="232" t="str">
        <f>IF(ISERROR(VLOOKUP(CONCATENATE($U$10,"_",V17),選手名簿!$A:$E,5,FALSE))=TRUE,"",VLOOKUP(CONCATENATE($U$10,"_",V17),選手名簿!$A:$E,5,FALSE))</f>
        <v/>
      </c>
      <c r="V17" s="233"/>
      <c r="W17" s="233"/>
      <c r="X17" s="233"/>
      <c r="Y17" s="234"/>
      <c r="Z17" s="233"/>
      <c r="AA17" s="233"/>
      <c r="AB17" s="233"/>
      <c r="AC17" s="235" t="str">
        <f>IF(ISERROR(VLOOKUP(CONCATENATE($AC$10,"_",AB17),選手名簿!$A:$E,5,FALSE))=TRUE,"",VLOOKUP(CONCATENATE($AC$10,"_",AB17),選手名簿!$A:$E,5,FALSE))</f>
        <v/>
      </c>
    </row>
    <row r="18" spans="1:29" ht="20.25" hidden="1" customHeight="1" x14ac:dyDescent="0.15">
      <c r="E18" s="231" t="s">
        <v>343</v>
      </c>
      <c r="F18" s="232" t="str">
        <f>IF(ISERROR(VLOOKUP(CONCATENATE($F$10,"_",G18),選手名簿!$A:$E,5,FALSE))=TRUE,"",VLOOKUP(CONCATENATE($F$10,"_",G18),選手名簿!$A:$E,5,FALSE))</f>
        <v/>
      </c>
      <c r="G18" s="233"/>
      <c r="H18" s="233"/>
      <c r="I18" s="233"/>
      <c r="J18" s="234"/>
      <c r="K18" s="233"/>
      <c r="L18" s="233"/>
      <c r="M18" s="233"/>
      <c r="N18" s="235" t="str">
        <f>IF(ISERROR(VLOOKUP(CONCATENATE($N$10,"_",M18),選手名簿!$A:$E,5,FALSE))=TRUE,"",VLOOKUP(CONCATENATE($N$10,"_",M18),選手名簿!$A:$E,5,FALSE))</f>
        <v/>
      </c>
      <c r="T18" s="231" t="s">
        <v>343</v>
      </c>
      <c r="U18" s="232" t="str">
        <f>IF(ISERROR(VLOOKUP(CONCATENATE($U$10,"_",V18),選手名簿!$A:$E,5,FALSE))=TRUE,"",VLOOKUP(CONCATENATE($U$10,"_",V18),選手名簿!$A:$E,5,FALSE))</f>
        <v/>
      </c>
      <c r="V18" s="233"/>
      <c r="W18" s="233"/>
      <c r="X18" s="233"/>
      <c r="Y18" s="234"/>
      <c r="Z18" s="233"/>
      <c r="AA18" s="233"/>
      <c r="AB18" s="233"/>
      <c r="AC18" s="235" t="str">
        <f>IF(ISERROR(VLOOKUP(CONCATENATE($AC$10,"_",AB18),選手名簿!$A:$E,5,FALSE))=TRUE,"",VLOOKUP(CONCATENATE($AC$10,"_",AB18),選手名簿!$A:$E,5,FALSE))</f>
        <v/>
      </c>
    </row>
    <row r="19" spans="1:29" ht="20.25" hidden="1" customHeight="1" x14ac:dyDescent="0.15">
      <c r="E19" s="231" t="s">
        <v>343</v>
      </c>
      <c r="F19" s="232" t="str">
        <f>IF(ISERROR(VLOOKUP(CONCATENATE($F$10,"_",G19),選手名簿!$A:$E,5,FALSE))=TRUE,"",VLOOKUP(CONCATENATE($F$10,"_",G19),選手名簿!$A:$E,5,FALSE))</f>
        <v/>
      </c>
      <c r="G19" s="233"/>
      <c r="H19" s="233"/>
      <c r="I19" s="233"/>
      <c r="J19" s="234"/>
      <c r="K19" s="233"/>
      <c r="L19" s="233"/>
      <c r="M19" s="233"/>
      <c r="N19" s="235" t="str">
        <f>IF(ISERROR(VLOOKUP(CONCATENATE($N$10,"_",M19),選手名簿!$A:$E,5,FALSE))=TRUE,"",VLOOKUP(CONCATENATE($N$10,"_",M19),選手名簿!$A:$E,5,FALSE))</f>
        <v/>
      </c>
      <c r="T19" s="231" t="s">
        <v>343</v>
      </c>
      <c r="U19" s="232" t="str">
        <f>IF(ISERROR(VLOOKUP(CONCATENATE($U$10,"_",V19),選手名簿!$A:$E,5,FALSE))=TRUE,"",VLOOKUP(CONCATENATE($U$10,"_",V19),選手名簿!$A:$E,5,FALSE))</f>
        <v/>
      </c>
      <c r="V19" s="233"/>
      <c r="W19" s="233"/>
      <c r="X19" s="233"/>
      <c r="Y19" s="234"/>
      <c r="Z19" s="233"/>
      <c r="AA19" s="233"/>
      <c r="AB19" s="233"/>
      <c r="AC19" s="235" t="str">
        <f>IF(ISERROR(VLOOKUP(CONCATENATE($AC$10,"_",AB19),選手名簿!$A:$E,5,FALSE))=TRUE,"",VLOOKUP(CONCATENATE($AC$10,"_",AB19),選手名簿!$A:$E,5,FALSE))</f>
        <v/>
      </c>
    </row>
    <row r="20" spans="1:29" ht="20.25" hidden="1" customHeight="1" x14ac:dyDescent="0.15">
      <c r="E20" s="231" t="s">
        <v>343</v>
      </c>
      <c r="F20" s="232" t="str">
        <f>IF(ISERROR(VLOOKUP(CONCATENATE($F$10,"_",G20),選手名簿!$A:$E,5,FALSE))=TRUE,"",VLOOKUP(CONCATENATE($F$10,"_",G20),選手名簿!$A:$E,5,FALSE))</f>
        <v/>
      </c>
      <c r="G20" s="233"/>
      <c r="H20" s="233"/>
      <c r="I20" s="233"/>
      <c r="J20" s="234"/>
      <c r="K20" s="233"/>
      <c r="L20" s="233"/>
      <c r="M20" s="233"/>
      <c r="N20" s="235" t="str">
        <f>IF(ISERROR(VLOOKUP(CONCATENATE($N$10,"_",M20),選手名簿!$A:$E,5,FALSE))=TRUE,"",VLOOKUP(CONCATENATE($N$10,"_",M20),選手名簿!$A:$E,5,FALSE))</f>
        <v/>
      </c>
      <c r="T20" s="231" t="s">
        <v>343</v>
      </c>
      <c r="U20" s="232" t="str">
        <f>IF(ISERROR(VLOOKUP(CONCATENATE($U$10,"_",V20),選手名簿!$A:$E,5,FALSE))=TRUE,"",VLOOKUP(CONCATENATE($U$10,"_",V20),選手名簿!$A:$E,5,FALSE))</f>
        <v/>
      </c>
      <c r="V20" s="233"/>
      <c r="W20" s="233"/>
      <c r="X20" s="233"/>
      <c r="Y20" s="234"/>
      <c r="Z20" s="233"/>
      <c r="AA20" s="233"/>
      <c r="AB20" s="233"/>
      <c r="AC20" s="235" t="str">
        <f>IF(ISERROR(VLOOKUP(CONCATENATE($AC$10,"_",AB20),選手名簿!$A:$E,5,FALSE))=TRUE,"",VLOOKUP(CONCATENATE($AC$10,"_",AB20),選手名簿!$A:$E,5,FALSE))</f>
        <v/>
      </c>
    </row>
    <row r="21" spans="1:29" ht="20.25" hidden="1" customHeight="1" x14ac:dyDescent="0.15">
      <c r="E21" s="231" t="s">
        <v>343</v>
      </c>
      <c r="F21" s="232" t="str">
        <f>IF(ISERROR(VLOOKUP(CONCATENATE($F$10,"_",G21),選手名簿!$A:$E,5,FALSE))=TRUE,"",VLOOKUP(CONCATENATE($F$10,"_",G21),選手名簿!$A:$E,5,FALSE))</f>
        <v/>
      </c>
      <c r="G21" s="233"/>
      <c r="H21" s="233"/>
      <c r="I21" s="233"/>
      <c r="J21" s="234"/>
      <c r="K21" s="233"/>
      <c r="L21" s="233"/>
      <c r="M21" s="233"/>
      <c r="N21" s="235" t="str">
        <f>IF(ISERROR(VLOOKUP(CONCATENATE($N$10,"_",M21),選手名簿!$A:$E,5,FALSE))=TRUE,"",VLOOKUP(CONCATENATE($N$10,"_",M21),選手名簿!$A:$E,5,FALSE))</f>
        <v/>
      </c>
      <c r="T21" s="231" t="s">
        <v>343</v>
      </c>
      <c r="U21" s="232" t="str">
        <f>IF(ISERROR(VLOOKUP(CONCATENATE($U$10,"_",V21),選手名簿!$A:$E,5,FALSE))=TRUE,"",VLOOKUP(CONCATENATE($U$10,"_",V21),選手名簿!$A:$E,5,FALSE))</f>
        <v/>
      </c>
      <c r="V21" s="233"/>
      <c r="W21" s="233"/>
      <c r="X21" s="233"/>
      <c r="Y21" s="234"/>
      <c r="Z21" s="233"/>
      <c r="AA21" s="233"/>
      <c r="AB21" s="233"/>
      <c r="AC21" s="235" t="str">
        <f>IF(ISERROR(VLOOKUP(CONCATENATE($AC$10,"_",AB21),選手名簿!$A:$E,5,FALSE))=TRUE,"",VLOOKUP(CONCATENATE($AC$10,"_",AB21),選手名簿!$A:$E,5,FALSE))</f>
        <v/>
      </c>
    </row>
    <row r="22" spans="1:29" ht="20.25" hidden="1" customHeight="1" x14ac:dyDescent="0.15">
      <c r="E22" s="231" t="s">
        <v>343</v>
      </c>
      <c r="F22" s="232" t="str">
        <f>IF(ISERROR(VLOOKUP(CONCATENATE($F$10,"_",G22),選手名簿!$A:$E,5,FALSE))=TRUE,"",VLOOKUP(CONCATENATE($F$10,"_",G22),選手名簿!$A:$E,5,FALSE))</f>
        <v/>
      </c>
      <c r="G22" s="233"/>
      <c r="H22" s="233"/>
      <c r="I22" s="233"/>
      <c r="J22" s="234"/>
      <c r="K22" s="233"/>
      <c r="L22" s="233"/>
      <c r="M22" s="233"/>
      <c r="N22" s="235" t="str">
        <f>IF(ISERROR(VLOOKUP(CONCATENATE($N$10,"_",M22),選手名簿!$A:$E,5,FALSE))=TRUE,"",VLOOKUP(CONCATENATE($N$10,"_",M22),選手名簿!$A:$E,5,FALSE))</f>
        <v/>
      </c>
      <c r="T22" s="231" t="s">
        <v>343</v>
      </c>
      <c r="U22" s="232" t="str">
        <f>IF(ISERROR(VLOOKUP(CONCATENATE($U$10,"_",V22),選手名簿!$A:$E,5,FALSE))=TRUE,"",VLOOKUP(CONCATENATE($U$10,"_",V22),選手名簿!$A:$E,5,FALSE))</f>
        <v/>
      </c>
      <c r="V22" s="233"/>
      <c r="W22" s="233"/>
      <c r="X22" s="233"/>
      <c r="Y22" s="234"/>
      <c r="Z22" s="233"/>
      <c r="AA22" s="233"/>
      <c r="AB22" s="233"/>
      <c r="AC22" s="235" t="str">
        <f>IF(ISERROR(VLOOKUP(CONCATENATE($AC$10,"_",AB22),選手名簿!$A:$E,5,FALSE))=TRUE,"",VLOOKUP(CONCATENATE($AC$10,"_",AB22),選手名簿!$A:$E,5,FALSE))</f>
        <v/>
      </c>
    </row>
    <row r="23" spans="1:29" ht="20.25" hidden="1" customHeight="1" x14ac:dyDescent="0.15">
      <c r="E23" s="236" t="s">
        <v>343</v>
      </c>
      <c r="F23" s="237" t="str">
        <f>IF(ISERROR(VLOOKUP(CONCATENATE($F$10,"_",G23),選手名簿!$A:$E,5,FALSE))=TRUE,"",VLOOKUP(CONCATENATE($F$10,"_",G23),選手名簿!$A:$E,5,FALSE))</f>
        <v/>
      </c>
      <c r="G23" s="238"/>
      <c r="H23" s="238"/>
      <c r="I23" s="238"/>
      <c r="J23" s="239"/>
      <c r="K23" s="238"/>
      <c r="L23" s="238"/>
      <c r="M23" s="238"/>
      <c r="N23" s="240" t="str">
        <f>IF(ISERROR(VLOOKUP(CONCATENATE($N$10,"_",M23),選手名簿!$A:$E,5,FALSE))=TRUE,"",VLOOKUP(CONCATENATE($N$10,"_",M23),選手名簿!$A:$E,5,FALSE))</f>
        <v/>
      </c>
      <c r="T23" s="236" t="s">
        <v>343</v>
      </c>
      <c r="U23" s="237" t="str">
        <f>IF(ISERROR(VLOOKUP(CONCATENATE($U$10,"_",V23),選手名簿!$A:$E,5,FALSE))=TRUE,"",VLOOKUP(CONCATENATE($U$10,"_",V23),選手名簿!$A:$E,5,FALSE))</f>
        <v/>
      </c>
      <c r="V23" s="238"/>
      <c r="W23" s="238"/>
      <c r="X23" s="238"/>
      <c r="Y23" s="239"/>
      <c r="Z23" s="238"/>
      <c r="AA23" s="238"/>
      <c r="AB23" s="238"/>
      <c r="AC23" s="240" t="str">
        <f>IF(ISERROR(VLOOKUP(CONCATENATE($AC$10,"_",AB23),選手名簿!$A:$E,5,FALSE))=TRUE,"",VLOOKUP(CONCATENATE($AC$10,"_",AB23),選手名簿!$A:$E,5,FALSE))</f>
        <v/>
      </c>
    </row>
    <row r="24" spans="1:29" ht="20.25" customHeight="1" x14ac:dyDescent="0.15">
      <c r="A24" s="241" t="s">
        <v>342</v>
      </c>
      <c r="B24" s="789"/>
      <c r="C24" s="789"/>
      <c r="D24" s="789"/>
      <c r="E24" s="231" t="s">
        <v>243</v>
      </c>
      <c r="F24" s="232" t="str">
        <f>IF(ISERROR(VLOOKUP(CONCATENATE($F$10,"_",G24),選手名簿!$A:$E,5,FALSE))=TRUE,"",VLOOKUP(CONCATENATE($F$10,"_",G24),選手名簿!$A:$E,5,FALSE))</f>
        <v/>
      </c>
      <c r="G24" s="233"/>
      <c r="H24" s="233"/>
      <c r="I24" s="233"/>
      <c r="J24" s="234"/>
      <c r="K24" s="233"/>
      <c r="L24" s="233"/>
      <c r="M24" s="233"/>
      <c r="N24" s="235" t="str">
        <f>IF(ISERROR(VLOOKUP(CONCATENATE($N$10,"_",M24),選手名簿!$A:$E,5,FALSE))=TRUE,"",VLOOKUP(CONCATENATE($N$10,"_",M24),選手名簿!$A:$E,5,FALSE))</f>
        <v/>
      </c>
      <c r="P24" s="241" t="s">
        <v>342</v>
      </c>
      <c r="Q24" s="789"/>
      <c r="R24" s="789"/>
      <c r="S24" s="789"/>
      <c r="T24" s="231" t="s">
        <v>243</v>
      </c>
      <c r="U24" s="232" t="str">
        <f>IF(ISERROR(VLOOKUP(CONCATENATE($U$10,"_",V24),選手名簿!$A:$E,5,FALSE))=TRUE,"",VLOOKUP(CONCATENATE($U$10,"_",V24),選手名簿!$A:$E,5,FALSE))</f>
        <v/>
      </c>
      <c r="V24" s="233"/>
      <c r="W24" s="233"/>
      <c r="X24" s="233"/>
      <c r="Y24" s="234"/>
      <c r="Z24" s="233"/>
      <c r="AA24" s="233"/>
      <c r="AB24" s="233"/>
      <c r="AC24" s="235" t="str">
        <f>IF(ISERROR(VLOOKUP(CONCATENATE($AC$10,"_",AB24),選手名簿!$A:$E,5,FALSE))=TRUE,"",VLOOKUP(CONCATENATE($AC$10,"_",AB24),選手名簿!$A:$E,5,FALSE))</f>
        <v/>
      </c>
    </row>
    <row r="25" spans="1:29" ht="20.25" customHeight="1" x14ac:dyDescent="0.15">
      <c r="A25" s="242" t="s">
        <v>344</v>
      </c>
      <c r="B25" s="790" t="str">
        <f>IF(ISERROR(VLOOKUP(B24,審判員!$A:$C,2,FALSE))=TRUE,"",VLOOKUP(B24,審判員!$A:$C,2,FALSE))</f>
        <v/>
      </c>
      <c r="C25" s="791"/>
      <c r="D25" s="243" t="str">
        <f>IF(ISERROR(VLOOKUP(B24,審判員!$A:$C,3,FALSE))=TRUE,"",VLOOKUP(B24,審判員!$A:$C,3,FALSE))</f>
        <v/>
      </c>
      <c r="E25" s="244" t="s">
        <v>243</v>
      </c>
      <c r="F25" s="245" t="str">
        <f>IF(ISERROR(VLOOKUP(CONCATENATE($F$10,"_",G25),選手名簿!$A:$E,5,FALSE))=TRUE,"",VLOOKUP(CONCATENATE($F$10,"_",G25),選手名簿!$A:$E,5,FALSE))</f>
        <v/>
      </c>
      <c r="G25" s="246"/>
      <c r="H25" s="246"/>
      <c r="I25" s="246"/>
      <c r="J25" s="234"/>
      <c r="K25" s="246"/>
      <c r="L25" s="246"/>
      <c r="M25" s="246"/>
      <c r="N25" s="247" t="str">
        <f>IF(ISERROR(VLOOKUP(CONCATENATE($N$10,"_",M25),選手名簿!$A:$E,5,FALSE))=TRUE,"",VLOOKUP(CONCATENATE($N$10,"_",M25),選手名簿!$A:$E,5,FALSE))</f>
        <v/>
      </c>
      <c r="P25" s="242" t="s">
        <v>344</v>
      </c>
      <c r="Q25" s="790" t="str">
        <f>IF(ISERROR(VLOOKUP(Q24,審判員!$A:$C,2,FALSE))=TRUE,"",VLOOKUP(Q24,審判員!$A:$C,2,FALSE))</f>
        <v/>
      </c>
      <c r="R25" s="791"/>
      <c r="S25" s="242" t="str">
        <f>IF(ISERROR(VLOOKUP(Q24,審判員!$A:$C,3,FALSE))=TRUE,"",VLOOKUP(Q24,審判員!$A:$C,3,FALSE))</f>
        <v/>
      </c>
      <c r="T25" s="244" t="s">
        <v>243</v>
      </c>
      <c r="U25" s="245" t="str">
        <f>IF(ISERROR(VLOOKUP(CONCATENATE($U$10,"_",V25),選手名簿!$A:$E,5,FALSE))=TRUE,"",VLOOKUP(CONCATENATE($U$10,"_",V25),選手名簿!$A:$E,5,FALSE))</f>
        <v/>
      </c>
      <c r="V25" s="246"/>
      <c r="W25" s="246"/>
      <c r="X25" s="246"/>
      <c r="Y25" s="234"/>
      <c r="Z25" s="246"/>
      <c r="AA25" s="246"/>
      <c r="AB25" s="246"/>
      <c r="AC25" s="247" t="str">
        <f>IF(ISERROR(VLOOKUP(CONCATENATE($AC$10,"_",AB25),選手名簿!$A:$E,5,FALSE))=TRUE,"",VLOOKUP(CONCATENATE($AC$10,"_",AB25),選手名簿!$A:$E,5,FALSE))</f>
        <v/>
      </c>
    </row>
    <row r="26" spans="1:29" ht="20.25" customHeight="1" x14ac:dyDescent="0.15">
      <c r="A26" s="430" t="s">
        <v>342</v>
      </c>
      <c r="B26" s="792"/>
      <c r="C26" s="792"/>
      <c r="D26" s="792"/>
      <c r="E26" s="244" t="s">
        <v>243</v>
      </c>
      <c r="F26" s="245" t="str">
        <f>IF(ISERROR(VLOOKUP(CONCATENATE($F$10,"_",G26),選手名簿!$A:$E,5,FALSE))=TRUE,"",VLOOKUP(CONCATENATE($F$10,"_",G26),選手名簿!$A:$E,5,FALSE))</f>
        <v/>
      </c>
      <c r="G26" s="246"/>
      <c r="H26" s="246"/>
      <c r="I26" s="246"/>
      <c r="J26" s="234"/>
      <c r="K26" s="246"/>
      <c r="L26" s="246"/>
      <c r="M26" s="246"/>
      <c r="N26" s="247" t="str">
        <f>IF(ISERROR(VLOOKUP(CONCATENATE($N$10,"_",M26),選手名簿!$A:$E,5,FALSE))=TRUE,"",VLOOKUP(CONCATENATE($N$10,"_",M26),選手名簿!$A:$E,5,FALSE))</f>
        <v/>
      </c>
      <c r="P26" s="430" t="s">
        <v>342</v>
      </c>
      <c r="Q26" s="792"/>
      <c r="R26" s="792"/>
      <c r="S26" s="793"/>
      <c r="T26" s="244" t="s">
        <v>243</v>
      </c>
      <c r="U26" s="245" t="str">
        <f>IF(ISERROR(VLOOKUP(CONCATENATE($U$10,"_",V26),選手名簿!$A:$E,5,FALSE))=TRUE,"",VLOOKUP(CONCATENATE($U$10,"_",V26),選手名簿!$A:$E,5,FALSE))</f>
        <v/>
      </c>
      <c r="V26" s="246"/>
      <c r="W26" s="246"/>
      <c r="X26" s="246"/>
      <c r="Y26" s="234"/>
      <c r="Z26" s="246"/>
      <c r="AA26" s="246"/>
      <c r="AB26" s="246"/>
      <c r="AC26" s="247" t="str">
        <f>IF(ISERROR(VLOOKUP(CONCATENATE($AC$10,"_",AB26),選手名簿!$A:$E,5,FALSE))=TRUE,"",VLOOKUP(CONCATENATE($AC$10,"_",AB26),選手名簿!$A:$E,5,FALSE))</f>
        <v/>
      </c>
    </row>
    <row r="27" spans="1:29" ht="20.25" customHeight="1" x14ac:dyDescent="0.15">
      <c r="A27" s="431" t="s">
        <v>345</v>
      </c>
      <c r="B27" s="794" t="str">
        <f>IF(ISERROR(VLOOKUP(B26,審判員!$A:$C,2,FALSE))=TRUE,"",VLOOKUP(B26,審判員!$A:$C,2,FALSE))</f>
        <v/>
      </c>
      <c r="C27" s="795"/>
      <c r="D27" s="432" t="str">
        <f>IF(ISERROR(VLOOKUP(B26,審判員!$A:$C,3,FALSE))=TRUE,"",VLOOKUP(B26,審判員!$A:$C,3,FALSE))</f>
        <v/>
      </c>
      <c r="E27" s="244" t="s">
        <v>243</v>
      </c>
      <c r="F27" s="245" t="str">
        <f>IF(ISERROR(VLOOKUP(CONCATENATE($F$10,"_",G27),選手名簿!$A:$E,5,FALSE))=TRUE,"",VLOOKUP(CONCATENATE($F$10,"_",G27),選手名簿!$A:$E,5,FALSE))</f>
        <v/>
      </c>
      <c r="G27" s="246"/>
      <c r="H27" s="246"/>
      <c r="I27" s="246"/>
      <c r="J27" s="234"/>
      <c r="K27" s="246"/>
      <c r="L27" s="246"/>
      <c r="M27" s="246"/>
      <c r="N27" s="247" t="str">
        <f>IF(ISERROR(VLOOKUP(CONCATENATE($N$10,"_",M27),選手名簿!$A:$E,5,FALSE))=TRUE,"",VLOOKUP(CONCATENATE($N$10,"_",M27),選手名簿!$A:$E,5,FALSE))</f>
        <v/>
      </c>
      <c r="P27" s="431" t="s">
        <v>345</v>
      </c>
      <c r="Q27" s="794" t="str">
        <f>IF(ISERROR(VLOOKUP(Q26,審判員!$A:$C,2,FALSE))=TRUE,"",VLOOKUP(Q26,審判員!$A:$C,2,FALSE))</f>
        <v/>
      </c>
      <c r="R27" s="795"/>
      <c r="S27" s="431" t="str">
        <f>IF(ISERROR(VLOOKUP(Q26,審判員!$A:$C,3,FALSE))=TRUE,"",VLOOKUP(Q26,審判員!$A:$C,3,FALSE))</f>
        <v/>
      </c>
      <c r="T27" s="244" t="s">
        <v>243</v>
      </c>
      <c r="U27" s="245" t="str">
        <f>IF(ISERROR(VLOOKUP(CONCATENATE($U$10,"_",V27),選手名簿!$A:$E,5,FALSE))=TRUE,"",VLOOKUP(CONCATENATE($U$10,"_",V27),選手名簿!$A:$E,5,FALSE))</f>
        <v/>
      </c>
      <c r="V27" s="246"/>
      <c r="W27" s="246"/>
      <c r="X27" s="246"/>
      <c r="Y27" s="234"/>
      <c r="Z27" s="246"/>
      <c r="AA27" s="246"/>
      <c r="AB27" s="246"/>
      <c r="AC27" s="247" t="str">
        <f>IF(ISERROR(VLOOKUP(CONCATENATE($AC$10,"_",AB27),選手名簿!$A:$E,5,FALSE))=TRUE,"",VLOOKUP(CONCATENATE($AC$10,"_",AB27),選手名簿!$A:$E,5,FALSE))</f>
        <v/>
      </c>
    </row>
    <row r="28" spans="1:29" ht="20.25" customHeight="1" x14ac:dyDescent="0.15">
      <c r="A28" s="430" t="s">
        <v>342</v>
      </c>
      <c r="B28" s="792"/>
      <c r="C28" s="792"/>
      <c r="D28" s="792"/>
      <c r="E28" s="244" t="s">
        <v>243</v>
      </c>
      <c r="F28" s="245" t="str">
        <f>IF(ISERROR(VLOOKUP(CONCATENATE($F$10,"_",G28),選手名簿!$A:$E,5,FALSE))=TRUE,"",VLOOKUP(CONCATENATE($F$10,"_",G28),選手名簿!$A:$E,5,FALSE))</f>
        <v/>
      </c>
      <c r="G28" s="246"/>
      <c r="H28" s="246"/>
      <c r="I28" s="246"/>
      <c r="J28" s="234"/>
      <c r="K28" s="246"/>
      <c r="L28" s="246"/>
      <c r="M28" s="246"/>
      <c r="N28" s="247" t="str">
        <f>IF(ISERROR(VLOOKUP(CONCATENATE($N$10,"_",M28),選手名簿!$A:$E,5,FALSE))=TRUE,"",VLOOKUP(CONCATENATE($N$10,"_",M28),選手名簿!$A:$E,5,FALSE))</f>
        <v/>
      </c>
      <c r="P28" s="430" t="s">
        <v>342</v>
      </c>
      <c r="Q28" s="792"/>
      <c r="R28" s="792"/>
      <c r="S28" s="793"/>
      <c r="T28" s="244" t="s">
        <v>243</v>
      </c>
      <c r="U28" s="245" t="str">
        <f>IF(ISERROR(VLOOKUP(CONCATENATE($U$10,"_",V28),選手名簿!$A:$E,5,FALSE))=TRUE,"",VLOOKUP(CONCATENATE($U$10,"_",V28),選手名簿!$A:$E,5,FALSE))</f>
        <v/>
      </c>
      <c r="V28" s="246"/>
      <c r="W28" s="246"/>
      <c r="X28" s="246"/>
      <c r="Y28" s="234"/>
      <c r="Z28" s="246"/>
      <c r="AA28" s="246"/>
      <c r="AB28" s="246"/>
      <c r="AC28" s="247" t="str">
        <f>IF(ISERROR(VLOOKUP(CONCATENATE($AC$10,"_",AB28),選手名簿!$A:$E,5,FALSE))=TRUE,"",VLOOKUP(CONCATENATE($AC$10,"_",AB28),選手名簿!$A:$E,5,FALSE))</f>
        <v/>
      </c>
    </row>
    <row r="29" spans="1:29" ht="20.25" customHeight="1" x14ac:dyDescent="0.15">
      <c r="A29" s="431" t="s">
        <v>346</v>
      </c>
      <c r="B29" s="794" t="str">
        <f>IF(ISERROR(VLOOKUP(B28,審判員!$A:$C,2,FALSE))=TRUE,"",VLOOKUP(B28,審判員!$A:$C,2,FALSE))</f>
        <v/>
      </c>
      <c r="C29" s="795"/>
      <c r="D29" s="432" t="str">
        <f>IF(ISERROR(VLOOKUP(B28,審判員!$A:$C,3,FALSE))=TRUE,"",VLOOKUP(B28,審判員!$A:$C,3,FALSE))</f>
        <v/>
      </c>
      <c r="E29" s="244" t="s">
        <v>243</v>
      </c>
      <c r="F29" s="245" t="str">
        <f>IF(ISERROR(VLOOKUP(CONCATENATE($F$10,"_",G29),選手名簿!$A:$E,5,FALSE))=TRUE,"",VLOOKUP(CONCATENATE($F$10,"_",G29),選手名簿!$A:$E,5,FALSE))</f>
        <v/>
      </c>
      <c r="G29" s="246"/>
      <c r="H29" s="246"/>
      <c r="I29" s="246"/>
      <c r="J29" s="234"/>
      <c r="K29" s="246"/>
      <c r="L29" s="246"/>
      <c r="M29" s="246"/>
      <c r="N29" s="247" t="str">
        <f>IF(ISERROR(VLOOKUP(CONCATENATE($N$10,"_",M29),選手名簿!$A:$E,5,FALSE))=TRUE,"",VLOOKUP(CONCATENATE($N$10,"_",M29),選手名簿!$A:$E,5,FALSE))</f>
        <v/>
      </c>
      <c r="P29" s="431" t="s">
        <v>346</v>
      </c>
      <c r="Q29" s="794" t="str">
        <f>IF(ISERROR(VLOOKUP(Q28,審判員!$A:$C,2,FALSE))=TRUE,"",VLOOKUP(Q28,審判員!$A:$C,2,FALSE))</f>
        <v/>
      </c>
      <c r="R29" s="795"/>
      <c r="S29" s="431" t="str">
        <f>IF(ISERROR(VLOOKUP(Q28,審判員!$A:$C,3,FALSE))=TRUE,"",VLOOKUP(Q28,審判員!$A:$C,3,FALSE))</f>
        <v/>
      </c>
      <c r="T29" s="244" t="s">
        <v>243</v>
      </c>
      <c r="U29" s="245" t="str">
        <f>IF(ISERROR(VLOOKUP(CONCATENATE($U$10,"_",V29),選手名簿!$A:$E,5,FALSE))=TRUE,"",VLOOKUP(CONCATENATE($U$10,"_",V29),選手名簿!$A:$E,5,FALSE))</f>
        <v/>
      </c>
      <c r="V29" s="246"/>
      <c r="W29" s="246"/>
      <c r="X29" s="246"/>
      <c r="Y29" s="234"/>
      <c r="Z29" s="246"/>
      <c r="AA29" s="246"/>
      <c r="AB29" s="246"/>
      <c r="AC29" s="247" t="str">
        <f>IF(ISERROR(VLOOKUP(CONCATENATE($AC$10,"_",AB29),選手名簿!$A:$E,5,FALSE))=TRUE,"",VLOOKUP(CONCATENATE($AC$10,"_",AB29),選手名簿!$A:$E,5,FALSE))</f>
        <v/>
      </c>
    </row>
    <row r="30" spans="1:29" ht="20.25" customHeight="1" x14ac:dyDescent="0.15">
      <c r="A30" s="241" t="s">
        <v>342</v>
      </c>
      <c r="B30" s="789"/>
      <c r="C30" s="789"/>
      <c r="D30" s="789"/>
      <c r="E30" s="244" t="s">
        <v>243</v>
      </c>
      <c r="F30" s="245" t="str">
        <f>IF(ISERROR(VLOOKUP(CONCATENATE($F$10,"_",G30),選手名簿!$A:$E,5,FALSE))=TRUE,"",VLOOKUP(CONCATENATE($F$10,"_",G30),選手名簿!$A:$E,5,FALSE))</f>
        <v/>
      </c>
      <c r="G30" s="246"/>
      <c r="H30" s="246"/>
      <c r="I30" s="246"/>
      <c r="J30" s="234"/>
      <c r="K30" s="246"/>
      <c r="L30" s="246"/>
      <c r="M30" s="246"/>
      <c r="N30" s="247" t="str">
        <f>IF(ISERROR(VLOOKUP(CONCATENATE($N$10,"_",M30),選手名簿!$A:$E,5,FALSE))=TRUE,"",VLOOKUP(CONCATENATE($N$10,"_",M30),選手名簿!$A:$E,5,FALSE))</f>
        <v/>
      </c>
      <c r="P30" s="241" t="s">
        <v>342</v>
      </c>
      <c r="Q30" s="786"/>
      <c r="R30" s="786"/>
      <c r="S30" s="786"/>
      <c r="T30" s="244" t="s">
        <v>243</v>
      </c>
      <c r="U30" s="245" t="str">
        <f>IF(ISERROR(VLOOKUP(CONCATENATE($U$10,"_",V30),選手名簿!$A:$E,5,FALSE))=TRUE,"",VLOOKUP(CONCATENATE($U$10,"_",V30),選手名簿!$A:$E,5,FALSE))</f>
        <v/>
      </c>
      <c r="V30" s="246"/>
      <c r="W30" s="246"/>
      <c r="X30" s="246"/>
      <c r="Y30" s="234"/>
      <c r="Z30" s="246"/>
      <c r="AA30" s="246"/>
      <c r="AB30" s="246"/>
      <c r="AC30" s="247" t="str">
        <f>IF(ISERROR(VLOOKUP(CONCATENATE($AC$10,"_",AB30),選手名簿!$A:$E,5,FALSE))=TRUE,"",VLOOKUP(CONCATENATE($AC$10,"_",AB30),選手名簿!$A:$E,5,FALSE))</f>
        <v/>
      </c>
    </row>
    <row r="31" spans="1:29" ht="20.25" customHeight="1" x14ac:dyDescent="0.15">
      <c r="A31" s="242" t="s">
        <v>347</v>
      </c>
      <c r="B31" s="790" t="str">
        <f>IF(ISERROR(VLOOKUP(B30,審判員!$A:$C,2,FALSE))=TRUE,"",VLOOKUP(B30,審判員!$A:$C,2,FALSE))</f>
        <v/>
      </c>
      <c r="C31" s="791"/>
      <c r="D31" s="243" t="str">
        <f>IF(ISERROR(VLOOKUP(B30,審判員!$A:$C,3,FALSE))=TRUE,"",VLOOKUP(B30,審判員!$A:$C,3,FALSE))</f>
        <v/>
      </c>
      <c r="E31" s="248" t="s">
        <v>243</v>
      </c>
      <c r="F31" s="249" t="str">
        <f>IF(ISERROR(VLOOKUP(CONCATENATE($F$10,"_",G31),選手名簿!$A:$E,5,FALSE))=TRUE,"",VLOOKUP(CONCATENATE($F$10,"_",G31),選手名簿!$A:$E,5,FALSE))</f>
        <v/>
      </c>
      <c r="G31" s="250"/>
      <c r="H31" s="250"/>
      <c r="I31" s="250"/>
      <c r="J31" s="239"/>
      <c r="K31" s="250"/>
      <c r="L31" s="250"/>
      <c r="M31" s="250"/>
      <c r="N31" s="251" t="str">
        <f>IF(ISERROR(VLOOKUP(CONCATENATE($N$10,"_",M31),選手名簿!$A:$E,5,FALSE))=TRUE,"",VLOOKUP(CONCATENATE($N$10,"_",M31),選手名簿!$A:$E,5,FALSE))</f>
        <v/>
      </c>
      <c r="P31" s="242" t="s">
        <v>347</v>
      </c>
      <c r="Q31" s="790" t="str">
        <f>IF(ISERROR(VLOOKUP(Q30,審判員!$A:$C,2,FALSE))=TRUE,"",VLOOKUP(Q30,審判員!$A:$C,2,FALSE))</f>
        <v/>
      </c>
      <c r="R31" s="791"/>
      <c r="S31" s="242" t="str">
        <f>IF(ISERROR(VLOOKUP(Q30,審判員!$A:$C,3,FALSE))=TRUE,"",VLOOKUP(Q30,審判員!$A:$C,3,FALSE))</f>
        <v/>
      </c>
      <c r="T31" s="248" t="s">
        <v>243</v>
      </c>
      <c r="U31" s="249" t="str">
        <f>IF(ISERROR(VLOOKUP(CONCATENATE($U$10,"_",V31),選手名簿!$A:$E,5,FALSE))=TRUE,"",VLOOKUP(CONCATENATE($U$10,"_",V31),選手名簿!$A:$E,5,FALSE))</f>
        <v/>
      </c>
      <c r="V31" s="250"/>
      <c r="W31" s="250"/>
      <c r="X31" s="250"/>
      <c r="Y31" s="239"/>
      <c r="Z31" s="250"/>
      <c r="AA31" s="250"/>
      <c r="AB31" s="250"/>
      <c r="AC31" s="251" t="str">
        <f>IF(ISERROR(VLOOKUP(CONCATENATE($AC$10,"_",AB31),選手名簿!$A:$E,5,FALSE))=TRUE,"",VLOOKUP(CONCATENATE($AC$10,"_",AB31),選手名簿!$A:$E,5,FALSE))</f>
        <v/>
      </c>
    </row>
    <row r="32" spans="1:29" ht="9.9499999999999993" customHeight="1" x14ac:dyDescent="0.15">
      <c r="E32" s="252"/>
      <c r="T32" s="252"/>
    </row>
    <row r="33" spans="1:29" ht="9.9499999999999993" customHeight="1" x14ac:dyDescent="0.15">
      <c r="E33" s="252"/>
      <c r="T33" s="252"/>
    </row>
    <row r="34" spans="1:29" ht="9.9499999999999993" customHeight="1" x14ac:dyDescent="0.15"/>
    <row r="35" spans="1:29" ht="9.9499999999999993" customHeight="1" x14ac:dyDescent="0.15"/>
    <row r="36" spans="1:29" ht="9.9499999999999993" customHeight="1" x14ac:dyDescent="0.15"/>
    <row r="37" spans="1:29" ht="9.9499999999999993" customHeight="1" x14ac:dyDescent="0.15"/>
    <row r="38" spans="1:29" ht="9.9499999999999993" customHeight="1" x14ac:dyDescent="0.15">
      <c r="E38" s="252"/>
      <c r="T38" s="252"/>
    </row>
    <row r="39" spans="1:29" ht="27.4" customHeight="1" x14ac:dyDescent="0.15">
      <c r="A39" s="223" t="s">
        <v>334</v>
      </c>
      <c r="B39" s="768"/>
      <c r="C39" s="769"/>
      <c r="D39" s="770"/>
      <c r="E39" s="771">
        <f>予選リーグ!B23</f>
        <v>0.50694444444444442</v>
      </c>
      <c r="F39" s="774" t="str">
        <f>F6</f>
        <v>ＳＯＬ　ＦＵＴＥＢＯＬ　ＣＬＵＢＥ　Ｍａｇｉａ</v>
      </c>
      <c r="G39" s="777" t="str">
        <f>IF(I39="","",SUM(I39:I40))</f>
        <v/>
      </c>
      <c r="H39" s="780" t="s">
        <v>123</v>
      </c>
      <c r="I39" s="224"/>
      <c r="J39" s="224" t="s">
        <v>335</v>
      </c>
      <c r="K39" s="224"/>
      <c r="L39" s="780" t="s">
        <v>336</v>
      </c>
      <c r="M39" s="777" t="str">
        <f>IF(K39="","",SUM(K39:K40))</f>
        <v/>
      </c>
      <c r="N39" s="783" t="str">
        <f>F7</f>
        <v>明治北ＳＳＣ</v>
      </c>
      <c r="P39" s="223" t="s">
        <v>334</v>
      </c>
      <c r="Q39" s="768"/>
      <c r="R39" s="769"/>
      <c r="S39" s="770"/>
      <c r="T39" s="771">
        <f>予選リーグ!B27</f>
        <v>0.54166666666666663</v>
      </c>
      <c r="U39" s="774" t="str">
        <f>U6</f>
        <v>明治サッカースポーツ少年団</v>
      </c>
      <c r="V39" s="777" t="str">
        <f>IF(X39="","",SUM(X39:X40))</f>
        <v/>
      </c>
      <c r="W39" s="780" t="s">
        <v>123</v>
      </c>
      <c r="X39" s="224"/>
      <c r="Y39" s="224" t="s">
        <v>335</v>
      </c>
      <c r="Z39" s="224"/>
      <c r="AA39" s="780" t="s">
        <v>336</v>
      </c>
      <c r="AB39" s="777" t="str">
        <f>IF(Z39="","",SUM(Z39:Z40))</f>
        <v/>
      </c>
      <c r="AC39" s="783" t="str">
        <f>U7</f>
        <v>カティオーラフットボールクラブＵ－１２</v>
      </c>
    </row>
    <row r="40" spans="1:29" ht="27.4" customHeight="1" x14ac:dyDescent="0.15">
      <c r="A40" s="225" t="s">
        <v>337</v>
      </c>
      <c r="B40" s="786" t="s">
        <v>313</v>
      </c>
      <c r="C40" s="786"/>
      <c r="D40" s="768"/>
      <c r="E40" s="772"/>
      <c r="F40" s="775"/>
      <c r="G40" s="778"/>
      <c r="H40" s="781"/>
      <c r="J40" s="214" t="s">
        <v>338</v>
      </c>
      <c r="L40" s="781"/>
      <c r="M40" s="778"/>
      <c r="N40" s="784"/>
      <c r="P40" s="225" t="s">
        <v>337</v>
      </c>
      <c r="Q40" s="786" t="s">
        <v>313</v>
      </c>
      <c r="R40" s="786"/>
      <c r="S40" s="768"/>
      <c r="T40" s="772"/>
      <c r="U40" s="775"/>
      <c r="V40" s="778"/>
      <c r="W40" s="781"/>
      <c r="Y40" s="214" t="s">
        <v>338</v>
      </c>
      <c r="AA40" s="781"/>
      <c r="AB40" s="778"/>
      <c r="AC40" s="784"/>
    </row>
    <row r="41" spans="1:29" ht="27.4" customHeight="1" x14ac:dyDescent="0.15">
      <c r="A41" s="225" t="s">
        <v>339</v>
      </c>
      <c r="B41" s="786"/>
      <c r="C41" s="786"/>
      <c r="D41" s="768"/>
      <c r="E41" s="773"/>
      <c r="F41" s="776"/>
      <c r="G41" s="779"/>
      <c r="H41" s="782"/>
      <c r="I41" s="226"/>
      <c r="J41" s="226" t="s">
        <v>340</v>
      </c>
      <c r="K41" s="226"/>
      <c r="L41" s="782"/>
      <c r="M41" s="779"/>
      <c r="N41" s="785"/>
      <c r="P41" s="225" t="s">
        <v>339</v>
      </c>
      <c r="Q41" s="786"/>
      <c r="R41" s="786"/>
      <c r="S41" s="768"/>
      <c r="T41" s="773"/>
      <c r="U41" s="776"/>
      <c r="V41" s="779"/>
      <c r="W41" s="782"/>
      <c r="X41" s="226"/>
      <c r="Y41" s="226" t="s">
        <v>340</v>
      </c>
      <c r="Z41" s="226"/>
      <c r="AA41" s="782"/>
      <c r="AB41" s="779"/>
      <c r="AC41" s="785"/>
    </row>
    <row r="42" spans="1:29" ht="20.25" customHeight="1" x14ac:dyDescent="0.15">
      <c r="A42" s="787" t="s">
        <v>341</v>
      </c>
      <c r="B42" s="787"/>
      <c r="C42" s="787"/>
      <c r="D42" s="788"/>
      <c r="E42" s="227"/>
      <c r="F42" s="228" t="s">
        <v>242</v>
      </c>
      <c r="G42" s="228" t="s">
        <v>342</v>
      </c>
      <c r="H42" s="228" t="s">
        <v>317</v>
      </c>
      <c r="I42" s="228"/>
      <c r="J42" s="229"/>
      <c r="K42" s="228"/>
      <c r="L42" s="228" t="s">
        <v>317</v>
      </c>
      <c r="M42" s="228" t="s">
        <v>342</v>
      </c>
      <c r="N42" s="230" t="s">
        <v>242</v>
      </c>
      <c r="P42" s="787" t="s">
        <v>341</v>
      </c>
      <c r="Q42" s="787"/>
      <c r="R42" s="787"/>
      <c r="S42" s="788"/>
      <c r="T42" s="227"/>
      <c r="U42" s="228" t="s">
        <v>242</v>
      </c>
      <c r="V42" s="228" t="s">
        <v>342</v>
      </c>
      <c r="W42" s="228" t="s">
        <v>317</v>
      </c>
      <c r="X42" s="228"/>
      <c r="Y42" s="229"/>
      <c r="Z42" s="228"/>
      <c r="AA42" s="228" t="s">
        <v>317</v>
      </c>
      <c r="AB42" s="228" t="s">
        <v>342</v>
      </c>
      <c r="AC42" s="230" t="s">
        <v>242</v>
      </c>
    </row>
    <row r="43" spans="1:29" ht="20.25" hidden="1" customHeight="1" x14ac:dyDescent="0.15">
      <c r="E43" s="231" t="s">
        <v>343</v>
      </c>
      <c r="F43" s="232" t="str">
        <f>IF(ISERROR(VLOOKUP(CONCATENATE($F$39,"_",G43),選手名簿!$A:$E,5,FALSE))=TRUE,"",VLOOKUP(CONCATENATE($F$39,"_",G43),選手名簿!$A:$E,5,FALSE))</f>
        <v/>
      </c>
      <c r="G43" s="233"/>
      <c r="H43" s="233"/>
      <c r="I43" s="233"/>
      <c r="J43" s="234"/>
      <c r="K43" s="233"/>
      <c r="L43" s="233"/>
      <c r="M43" s="233"/>
      <c r="N43" s="235" t="str">
        <f>IF(ISERROR(VLOOKUP(CONCATENATE($N$39,"_",M43),選手名簿!$A:$E,5,FALSE))=TRUE,"",VLOOKUP(CONCATENATE($N$39,"_",M43),選手名簿!$A:$E,5,FALSE))</f>
        <v/>
      </c>
      <c r="T43" s="231" t="s">
        <v>343</v>
      </c>
      <c r="U43" s="232" t="str">
        <f>IF(ISERROR(VLOOKUP(CONCATENATE($U$39,"_",V43),選手名簿!$A:$E,5,FALSE))=TRUE,"",VLOOKUP(CONCATENATE($U$39,"_",V43),選手名簿!$A:$E,5,FALSE))</f>
        <v/>
      </c>
      <c r="V43" s="233"/>
      <c r="W43" s="233"/>
      <c r="X43" s="233"/>
      <c r="Y43" s="234"/>
      <c r="Z43" s="233"/>
      <c r="AA43" s="233"/>
      <c r="AB43" s="233"/>
      <c r="AC43" s="235" t="str">
        <f>IF(ISERROR(VLOOKUP(CONCATENATE($AC$39,"_",AB43),選手名簿!$A:$E,5,FALSE))=TRUE,"",VLOOKUP(CONCATENATE($AC$39,"_",AB43),選手名簿!$A:$E,5,FALSE))</f>
        <v/>
      </c>
    </row>
    <row r="44" spans="1:29" ht="20.25" hidden="1" customHeight="1" x14ac:dyDescent="0.15">
      <c r="E44" s="231" t="s">
        <v>343</v>
      </c>
      <c r="F44" s="232" t="str">
        <f>IF(ISERROR(VLOOKUP(CONCATENATE($F$39,"_",G44),選手名簿!$A:$E,5,FALSE))=TRUE,"",VLOOKUP(CONCATENATE($F$39,"_",G44),選手名簿!$A:$E,5,FALSE))</f>
        <v/>
      </c>
      <c r="G44" s="233"/>
      <c r="H44" s="233"/>
      <c r="I44" s="233"/>
      <c r="J44" s="234"/>
      <c r="K44" s="233"/>
      <c r="L44" s="233"/>
      <c r="M44" s="233"/>
      <c r="N44" s="235" t="str">
        <f>IF(ISERROR(VLOOKUP(CONCATENATE($N$39,"_",M44),選手名簿!$A:$E,5,FALSE))=TRUE,"",VLOOKUP(CONCATENATE($N$39,"_",M44),選手名簿!$A:$E,5,FALSE))</f>
        <v/>
      </c>
      <c r="T44" s="231" t="s">
        <v>343</v>
      </c>
      <c r="U44" s="232" t="str">
        <f>IF(ISERROR(VLOOKUP(CONCATENATE($U$39,"_",V44),選手名簿!$A:$E,5,FALSE))=TRUE,"",VLOOKUP(CONCATENATE($U$39,"_",V44),選手名簿!$A:$E,5,FALSE))</f>
        <v/>
      </c>
      <c r="V44" s="233"/>
      <c r="W44" s="233"/>
      <c r="X44" s="233"/>
      <c r="Y44" s="234"/>
      <c r="Z44" s="233"/>
      <c r="AA44" s="233"/>
      <c r="AB44" s="233"/>
      <c r="AC44" s="235" t="str">
        <f>IF(ISERROR(VLOOKUP(CONCATENATE($AC$39,"_",AB44),選手名簿!$A:$E,5,FALSE))=TRUE,"",VLOOKUP(CONCATENATE($AC$39,"_",AB44),選手名簿!$A:$E,5,FALSE))</f>
        <v/>
      </c>
    </row>
    <row r="45" spans="1:29" ht="20.25" hidden="1" customHeight="1" x14ac:dyDescent="0.15">
      <c r="E45" s="231" t="s">
        <v>343</v>
      </c>
      <c r="F45" s="232" t="str">
        <f>IF(ISERROR(VLOOKUP(CONCATENATE($F$39,"_",G45),選手名簿!$A:$E,5,FALSE))=TRUE,"",VLOOKUP(CONCATENATE($F$39,"_",G45),選手名簿!$A:$E,5,FALSE))</f>
        <v/>
      </c>
      <c r="G45" s="233"/>
      <c r="H45" s="233"/>
      <c r="I45" s="233"/>
      <c r="J45" s="234"/>
      <c r="K45" s="233"/>
      <c r="L45" s="233"/>
      <c r="M45" s="233"/>
      <c r="N45" s="235" t="str">
        <f>IF(ISERROR(VLOOKUP(CONCATENATE($N$39,"_",M45),選手名簿!$A:$E,5,FALSE))=TRUE,"",VLOOKUP(CONCATENATE($N$39,"_",M45),選手名簿!$A:$E,5,FALSE))</f>
        <v/>
      </c>
      <c r="T45" s="231" t="s">
        <v>343</v>
      </c>
      <c r="U45" s="232" t="str">
        <f>IF(ISERROR(VLOOKUP(CONCATENATE($U$39,"_",V45),選手名簿!$A:$E,5,FALSE))=TRUE,"",VLOOKUP(CONCATENATE($U$39,"_",V45),選手名簿!$A:$E,5,FALSE))</f>
        <v/>
      </c>
      <c r="V45" s="233"/>
      <c r="W45" s="233"/>
      <c r="X45" s="233"/>
      <c r="Y45" s="234"/>
      <c r="Z45" s="233"/>
      <c r="AA45" s="233"/>
      <c r="AB45" s="233"/>
      <c r="AC45" s="235" t="str">
        <f>IF(ISERROR(VLOOKUP(CONCATENATE($AC$39,"_",AB45),選手名簿!$A:$E,5,FALSE))=TRUE,"",VLOOKUP(CONCATENATE($AC$39,"_",AB45),選手名簿!$A:$E,5,FALSE))</f>
        <v/>
      </c>
    </row>
    <row r="46" spans="1:29" ht="20.25" hidden="1" customHeight="1" x14ac:dyDescent="0.15">
      <c r="E46" s="231" t="s">
        <v>343</v>
      </c>
      <c r="F46" s="232" t="str">
        <f>IF(ISERROR(VLOOKUP(CONCATENATE($F$39,"_",G46),選手名簿!$A:$E,5,FALSE))=TRUE,"",VLOOKUP(CONCATENATE($F$39,"_",G46),選手名簿!$A:$E,5,FALSE))</f>
        <v/>
      </c>
      <c r="G46" s="233"/>
      <c r="H46" s="233"/>
      <c r="I46" s="233"/>
      <c r="J46" s="234"/>
      <c r="K46" s="233"/>
      <c r="L46" s="233"/>
      <c r="M46" s="233"/>
      <c r="N46" s="235" t="str">
        <f>IF(ISERROR(VLOOKUP(CONCATENATE($N$39,"_",M46),選手名簿!$A:$E,5,FALSE))=TRUE,"",VLOOKUP(CONCATENATE($N$39,"_",M46),選手名簿!$A:$E,5,FALSE))</f>
        <v/>
      </c>
      <c r="T46" s="231" t="s">
        <v>343</v>
      </c>
      <c r="U46" s="232" t="str">
        <f>IF(ISERROR(VLOOKUP(CONCATENATE($U$39,"_",V46),選手名簿!$A:$E,5,FALSE))=TRUE,"",VLOOKUP(CONCATENATE($U$39,"_",V46),選手名簿!$A:$E,5,FALSE))</f>
        <v/>
      </c>
      <c r="V46" s="233"/>
      <c r="W46" s="233"/>
      <c r="X46" s="233"/>
      <c r="Y46" s="234"/>
      <c r="Z46" s="233"/>
      <c r="AA46" s="233"/>
      <c r="AB46" s="233"/>
      <c r="AC46" s="235" t="str">
        <f>IF(ISERROR(VLOOKUP(CONCATENATE($AC$39,"_",AB46),選手名簿!$A:$E,5,FALSE))=TRUE,"",VLOOKUP(CONCATENATE($AC$39,"_",AB46),選手名簿!$A:$E,5,FALSE))</f>
        <v/>
      </c>
    </row>
    <row r="47" spans="1:29" ht="20.25" hidden="1" customHeight="1" x14ac:dyDescent="0.15">
      <c r="E47" s="231" t="s">
        <v>343</v>
      </c>
      <c r="F47" s="232" t="str">
        <f>IF(ISERROR(VLOOKUP(CONCATENATE($F$39,"_",G47),選手名簿!$A:$E,5,FALSE))=TRUE,"",VLOOKUP(CONCATENATE($F$39,"_",G47),選手名簿!$A:$E,5,FALSE))</f>
        <v/>
      </c>
      <c r="G47" s="233"/>
      <c r="H47" s="233"/>
      <c r="I47" s="233"/>
      <c r="J47" s="234"/>
      <c r="K47" s="233"/>
      <c r="L47" s="233"/>
      <c r="M47" s="233"/>
      <c r="N47" s="235" t="str">
        <f>IF(ISERROR(VLOOKUP(CONCATENATE($N$39,"_",M47),選手名簿!$A:$E,5,FALSE))=TRUE,"",VLOOKUP(CONCATENATE($N$39,"_",M47),選手名簿!$A:$E,5,FALSE))</f>
        <v/>
      </c>
      <c r="T47" s="231" t="s">
        <v>343</v>
      </c>
      <c r="U47" s="232" t="str">
        <f>IF(ISERROR(VLOOKUP(CONCATENATE($U$39,"_",V47),選手名簿!$A:$E,5,FALSE))=TRUE,"",VLOOKUP(CONCATENATE($U$39,"_",V47),選手名簿!$A:$E,5,FALSE))</f>
        <v/>
      </c>
      <c r="V47" s="233"/>
      <c r="W47" s="233"/>
      <c r="X47" s="233"/>
      <c r="Y47" s="234"/>
      <c r="Z47" s="233"/>
      <c r="AA47" s="233"/>
      <c r="AB47" s="233"/>
      <c r="AC47" s="235" t="str">
        <f>IF(ISERROR(VLOOKUP(CONCATENATE($AC$39,"_",AB47),選手名簿!$A:$E,5,FALSE))=TRUE,"",VLOOKUP(CONCATENATE($AC$39,"_",AB47),選手名簿!$A:$E,5,FALSE))</f>
        <v/>
      </c>
    </row>
    <row r="48" spans="1:29" ht="20.25" hidden="1" customHeight="1" x14ac:dyDescent="0.15">
      <c r="E48" s="231" t="s">
        <v>343</v>
      </c>
      <c r="F48" s="232" t="str">
        <f>IF(ISERROR(VLOOKUP(CONCATENATE($F$39,"_",G48),選手名簿!$A:$E,5,FALSE))=TRUE,"",VLOOKUP(CONCATENATE($F$39,"_",G48),選手名簿!$A:$E,5,FALSE))</f>
        <v/>
      </c>
      <c r="G48" s="233"/>
      <c r="H48" s="233"/>
      <c r="I48" s="233"/>
      <c r="J48" s="234"/>
      <c r="K48" s="233"/>
      <c r="L48" s="233"/>
      <c r="M48" s="233"/>
      <c r="N48" s="235" t="str">
        <f>IF(ISERROR(VLOOKUP(CONCATENATE($N$39,"_",M48),選手名簿!$A:$E,5,FALSE))=TRUE,"",VLOOKUP(CONCATENATE($N$39,"_",M48),選手名簿!$A:$E,5,FALSE))</f>
        <v/>
      </c>
      <c r="T48" s="231" t="s">
        <v>343</v>
      </c>
      <c r="U48" s="232" t="str">
        <f>IF(ISERROR(VLOOKUP(CONCATENATE($U$39,"_",V48),選手名簿!$A:$E,5,FALSE))=TRUE,"",VLOOKUP(CONCATENATE($U$39,"_",V48),選手名簿!$A:$E,5,FALSE))</f>
        <v/>
      </c>
      <c r="V48" s="233"/>
      <c r="W48" s="233"/>
      <c r="X48" s="233"/>
      <c r="Y48" s="234"/>
      <c r="Z48" s="233"/>
      <c r="AA48" s="233"/>
      <c r="AB48" s="233"/>
      <c r="AC48" s="235" t="str">
        <f>IF(ISERROR(VLOOKUP(CONCATENATE($AC$39,"_",AB48),選手名簿!$A:$E,5,FALSE))=TRUE,"",VLOOKUP(CONCATENATE($AC$39,"_",AB48),選手名簿!$A:$E,5,FALSE))</f>
        <v/>
      </c>
    </row>
    <row r="49" spans="1:29" ht="20.25" hidden="1" customHeight="1" x14ac:dyDescent="0.15">
      <c r="E49" s="231" t="s">
        <v>343</v>
      </c>
      <c r="F49" s="232" t="str">
        <f>IF(ISERROR(VLOOKUP(CONCATENATE($F$39,"_",G49),選手名簿!$A:$E,5,FALSE))=TRUE,"",VLOOKUP(CONCATENATE($F$39,"_",G49),選手名簿!$A:$E,5,FALSE))</f>
        <v/>
      </c>
      <c r="G49" s="233"/>
      <c r="H49" s="233"/>
      <c r="I49" s="233"/>
      <c r="J49" s="234"/>
      <c r="K49" s="233"/>
      <c r="L49" s="233"/>
      <c r="M49" s="233"/>
      <c r="N49" s="235" t="str">
        <f>IF(ISERROR(VLOOKUP(CONCATENATE($N$39,"_",M49),選手名簿!$A:$E,5,FALSE))=TRUE,"",VLOOKUP(CONCATENATE($N$39,"_",M49),選手名簿!$A:$E,5,FALSE))</f>
        <v/>
      </c>
      <c r="T49" s="231" t="s">
        <v>343</v>
      </c>
      <c r="U49" s="232" t="str">
        <f>IF(ISERROR(VLOOKUP(CONCATENATE($U$39,"_",V49),選手名簿!$A:$E,5,FALSE))=TRUE,"",VLOOKUP(CONCATENATE($U$39,"_",V49),選手名簿!$A:$E,5,FALSE))</f>
        <v/>
      </c>
      <c r="V49" s="233"/>
      <c r="W49" s="233"/>
      <c r="X49" s="233"/>
      <c r="Y49" s="234"/>
      <c r="Z49" s="233"/>
      <c r="AA49" s="233"/>
      <c r="AB49" s="233"/>
      <c r="AC49" s="235" t="str">
        <f>IF(ISERROR(VLOOKUP(CONCATENATE($AC$39,"_",AB49),選手名簿!$A:$E,5,FALSE))=TRUE,"",VLOOKUP(CONCATENATE($AC$39,"_",AB49),選手名簿!$A:$E,5,FALSE))</f>
        <v/>
      </c>
    </row>
    <row r="50" spans="1:29" ht="20.25" hidden="1" customHeight="1" x14ac:dyDescent="0.15">
      <c r="E50" s="231" t="s">
        <v>343</v>
      </c>
      <c r="F50" s="232" t="str">
        <f>IF(ISERROR(VLOOKUP(CONCATENATE($F$39,"_",G50),選手名簿!$A:$E,5,FALSE))=TRUE,"",VLOOKUP(CONCATENATE($F$39,"_",G50),選手名簿!$A:$E,5,FALSE))</f>
        <v/>
      </c>
      <c r="G50" s="233"/>
      <c r="H50" s="233"/>
      <c r="I50" s="233"/>
      <c r="J50" s="234"/>
      <c r="K50" s="233"/>
      <c r="L50" s="233"/>
      <c r="M50" s="233"/>
      <c r="N50" s="235" t="str">
        <f>IF(ISERROR(VLOOKUP(CONCATENATE($N$39,"_",M50),選手名簿!$A:$E,5,FALSE))=TRUE,"",VLOOKUP(CONCATENATE($N$39,"_",M50),選手名簿!$A:$E,5,FALSE))</f>
        <v/>
      </c>
      <c r="T50" s="231" t="s">
        <v>343</v>
      </c>
      <c r="U50" s="232" t="str">
        <f>IF(ISERROR(VLOOKUP(CONCATENATE($U$39,"_",V50),選手名簿!$A:$E,5,FALSE))=TRUE,"",VLOOKUP(CONCATENATE($U$39,"_",V50),選手名簿!$A:$E,5,FALSE))</f>
        <v/>
      </c>
      <c r="V50" s="233"/>
      <c r="W50" s="233"/>
      <c r="X50" s="233"/>
      <c r="Y50" s="234"/>
      <c r="Z50" s="233"/>
      <c r="AA50" s="233"/>
      <c r="AB50" s="233"/>
      <c r="AC50" s="235" t="str">
        <f>IF(ISERROR(VLOOKUP(CONCATENATE($AC$39,"_",AB50),選手名簿!$A:$E,5,FALSE))=TRUE,"",VLOOKUP(CONCATENATE($AC$39,"_",AB50),選手名簿!$A:$E,5,FALSE))</f>
        <v/>
      </c>
    </row>
    <row r="51" spans="1:29" ht="20.25" hidden="1" customHeight="1" x14ac:dyDescent="0.15">
      <c r="E51" s="231" t="s">
        <v>343</v>
      </c>
      <c r="F51" s="232" t="str">
        <f>IF(ISERROR(VLOOKUP(CONCATENATE($F$39,"_",G51),選手名簿!$A:$E,5,FALSE))=TRUE,"",VLOOKUP(CONCATENATE($F$39,"_",G51),選手名簿!$A:$E,5,FALSE))</f>
        <v/>
      </c>
      <c r="G51" s="233"/>
      <c r="H51" s="233"/>
      <c r="I51" s="233"/>
      <c r="J51" s="234"/>
      <c r="K51" s="233"/>
      <c r="L51" s="233"/>
      <c r="M51" s="233"/>
      <c r="N51" s="235" t="str">
        <f>IF(ISERROR(VLOOKUP(CONCATENATE($N$39,"_",M51),選手名簿!$A:$E,5,FALSE))=TRUE,"",VLOOKUP(CONCATENATE($N$39,"_",M51),選手名簿!$A:$E,5,FALSE))</f>
        <v/>
      </c>
      <c r="T51" s="231" t="s">
        <v>343</v>
      </c>
      <c r="U51" s="232" t="str">
        <f>IF(ISERROR(VLOOKUP(CONCATENATE($U$39,"_",V51),選手名簿!$A:$E,5,FALSE))=TRUE,"",VLOOKUP(CONCATENATE($U$39,"_",V51),選手名簿!$A:$E,5,FALSE))</f>
        <v/>
      </c>
      <c r="V51" s="233"/>
      <c r="W51" s="233"/>
      <c r="X51" s="233"/>
      <c r="Y51" s="234"/>
      <c r="Z51" s="233"/>
      <c r="AA51" s="233"/>
      <c r="AB51" s="233"/>
      <c r="AC51" s="235" t="str">
        <f>IF(ISERROR(VLOOKUP(CONCATENATE($AC$39,"_",AB51),選手名簿!$A:$E,5,FALSE))=TRUE,"",VLOOKUP(CONCATENATE($AC$39,"_",AB51),選手名簿!$A:$E,5,FALSE))</f>
        <v/>
      </c>
    </row>
    <row r="52" spans="1:29" ht="20.25" hidden="1" customHeight="1" x14ac:dyDescent="0.15">
      <c r="E52" s="236" t="s">
        <v>343</v>
      </c>
      <c r="F52" s="237" t="str">
        <f>IF(ISERROR(VLOOKUP(CONCATENATE($F$39,"_",G52),選手名簿!$A:$E,5,FALSE))=TRUE,"",VLOOKUP(CONCATENATE($F$39,"_",G52),選手名簿!$A:$E,5,FALSE))</f>
        <v/>
      </c>
      <c r="G52" s="238"/>
      <c r="H52" s="238"/>
      <c r="I52" s="238"/>
      <c r="J52" s="239"/>
      <c r="K52" s="238"/>
      <c r="L52" s="238"/>
      <c r="M52" s="238"/>
      <c r="N52" s="240" t="str">
        <f>IF(ISERROR(VLOOKUP(CONCATENATE($N$39,"_",M52),選手名簿!$A:$E,5,FALSE))=TRUE,"",VLOOKUP(CONCATENATE($N$39,"_",M52),選手名簿!$A:$E,5,FALSE))</f>
        <v/>
      </c>
      <c r="T52" s="236" t="s">
        <v>343</v>
      </c>
      <c r="U52" s="237" t="str">
        <f>IF(ISERROR(VLOOKUP(CONCATENATE($U$39,"_",V52),選手名簿!$A:$E,5,FALSE))=TRUE,"",VLOOKUP(CONCATENATE($U$39,"_",V52),選手名簿!$A:$E,5,FALSE))</f>
        <v/>
      </c>
      <c r="V52" s="238"/>
      <c r="W52" s="238"/>
      <c r="X52" s="238"/>
      <c r="Y52" s="239"/>
      <c r="Z52" s="238"/>
      <c r="AA52" s="238"/>
      <c r="AB52" s="238"/>
      <c r="AC52" s="240" t="str">
        <f>IF(ISERROR(VLOOKUP(CONCATENATE($AC$39,"_",AB52),選手名簿!$A:$E,5,FALSE))=TRUE,"",VLOOKUP(CONCATENATE($AC$39,"_",AB52),選手名簿!$A:$E,5,FALSE))</f>
        <v/>
      </c>
    </row>
    <row r="53" spans="1:29" ht="20.25" customHeight="1" x14ac:dyDescent="0.15">
      <c r="A53" s="241" t="s">
        <v>342</v>
      </c>
      <c r="B53" s="786"/>
      <c r="C53" s="786"/>
      <c r="D53" s="786"/>
      <c r="E53" s="231" t="s">
        <v>243</v>
      </c>
      <c r="F53" s="232" t="str">
        <f>IF(ISERROR(VLOOKUP(CONCATENATE($F$39,"_",G53),選手名簿!$A:$E,5,FALSE))=TRUE,"",VLOOKUP(CONCATENATE($F$39,"_",G53),選手名簿!$A:$E,5,FALSE))</f>
        <v/>
      </c>
      <c r="G53" s="233"/>
      <c r="H53" s="233"/>
      <c r="I53" s="233"/>
      <c r="J53" s="234"/>
      <c r="K53" s="233"/>
      <c r="L53" s="233"/>
      <c r="M53" s="233"/>
      <c r="N53" s="235" t="str">
        <f>IF(ISERROR(VLOOKUP(CONCATENATE($N$39,"_",M53),選手名簿!$A:$E,5,FALSE))=TRUE,"",VLOOKUP(CONCATENATE($N$39,"_",M53),選手名簿!$A:$E,5,FALSE))</f>
        <v/>
      </c>
      <c r="P53" s="241" t="s">
        <v>342</v>
      </c>
      <c r="Q53" s="789"/>
      <c r="R53" s="789"/>
      <c r="S53" s="789"/>
      <c r="T53" s="231" t="s">
        <v>243</v>
      </c>
      <c r="U53" s="232" t="str">
        <f>IF(ISERROR(VLOOKUP(CONCATENATE($U$39,"_",V53),選手名簿!$A:$E,5,FALSE))=TRUE,"",VLOOKUP(CONCATENATE($U$39,"_",V53),選手名簿!$A:$E,5,FALSE))</f>
        <v/>
      </c>
      <c r="V53" s="233"/>
      <c r="W53" s="233"/>
      <c r="X53" s="233"/>
      <c r="Y53" s="234"/>
      <c r="Z53" s="233"/>
      <c r="AA53" s="233"/>
      <c r="AB53" s="233"/>
      <c r="AC53" s="235" t="str">
        <f>IF(ISERROR(VLOOKUP(CONCATENATE($AC$39,"_",AB53),選手名簿!$A:$E,5,FALSE))=TRUE,"",VLOOKUP(CONCATENATE($AC$39,"_",AB53),選手名簿!$A:$E,5,FALSE))</f>
        <v/>
      </c>
    </row>
    <row r="54" spans="1:29" ht="20.25" customHeight="1" x14ac:dyDescent="0.15">
      <c r="A54" s="242" t="s">
        <v>344</v>
      </c>
      <c r="B54" s="790" t="str">
        <f>IF(ISERROR(VLOOKUP(B53,審判員!$A:$C,2,FALSE))=TRUE,"",VLOOKUP(B53,審判員!$A:$C,2,FALSE))</f>
        <v/>
      </c>
      <c r="C54" s="791"/>
      <c r="D54" s="242" t="str">
        <f>IF(ISERROR(VLOOKUP(B53,審判員!$A:$C,3,FALSE))=TRUE,"",VLOOKUP(B53,審判員!$A:$C,3,FALSE))</f>
        <v/>
      </c>
      <c r="E54" s="244" t="s">
        <v>243</v>
      </c>
      <c r="F54" s="245" t="str">
        <f>IF(ISERROR(VLOOKUP(CONCATENATE($F$39,"_",G54),選手名簿!$A:$E,5,FALSE))=TRUE,"",VLOOKUP(CONCATENATE($F$39,"_",G54),選手名簿!$A:$E,5,FALSE))</f>
        <v/>
      </c>
      <c r="G54" s="246"/>
      <c r="H54" s="246"/>
      <c r="I54" s="246"/>
      <c r="J54" s="234"/>
      <c r="K54" s="246"/>
      <c r="L54" s="246"/>
      <c r="M54" s="246"/>
      <c r="N54" s="247" t="str">
        <f>IF(ISERROR(VLOOKUP(CONCATENATE($N$39,"_",M54),選手名簿!$A:$E,5,FALSE))=TRUE,"",VLOOKUP(CONCATENATE($N$39,"_",M54),選手名簿!$A:$E,5,FALSE))</f>
        <v/>
      </c>
      <c r="P54" s="242" t="s">
        <v>344</v>
      </c>
      <c r="Q54" s="790" t="str">
        <f>IF(ISERROR(VLOOKUP(Q53,審判員!$A:$C,2,FALSE))=TRUE,"",VLOOKUP(Q53,審判員!$A:$C,2,FALSE))</f>
        <v/>
      </c>
      <c r="R54" s="791"/>
      <c r="S54" s="242" t="str">
        <f>IF(ISERROR(VLOOKUP(Q53,審判員!$A:$C,3,FALSE))=TRUE,"",VLOOKUP(Q53,審判員!$A:$C,3,FALSE))</f>
        <v/>
      </c>
      <c r="T54" s="244" t="s">
        <v>243</v>
      </c>
      <c r="U54" s="245" t="str">
        <f>IF(ISERROR(VLOOKUP(CONCATENATE($U$39,"_",V54),選手名簿!$A:$E,5,FALSE))=TRUE,"",VLOOKUP(CONCATENATE($U$39,"_",V54),選手名簿!$A:$E,5,FALSE))</f>
        <v/>
      </c>
      <c r="V54" s="246"/>
      <c r="W54" s="246"/>
      <c r="X54" s="246"/>
      <c r="Y54" s="234"/>
      <c r="Z54" s="246"/>
      <c r="AA54" s="246"/>
      <c r="AB54" s="246"/>
      <c r="AC54" s="247" t="str">
        <f>IF(ISERROR(VLOOKUP(CONCATENATE($AC$39,"_",AB54),選手名簿!$A:$E,5,FALSE))=TRUE,"",VLOOKUP(CONCATENATE($AC$39,"_",AB54),選手名簿!$A:$E,5,FALSE))</f>
        <v/>
      </c>
    </row>
    <row r="55" spans="1:29" ht="20.25" customHeight="1" x14ac:dyDescent="0.15">
      <c r="A55" s="430" t="s">
        <v>342</v>
      </c>
      <c r="B55" s="792"/>
      <c r="C55" s="792"/>
      <c r="D55" s="793"/>
      <c r="E55" s="244" t="s">
        <v>243</v>
      </c>
      <c r="F55" s="245" t="str">
        <f>IF(ISERROR(VLOOKUP(CONCATENATE($F$39,"_",G55),選手名簿!$A:$E,5,FALSE))=TRUE,"",VLOOKUP(CONCATENATE($F$39,"_",G55),選手名簿!$A:$E,5,FALSE))</f>
        <v/>
      </c>
      <c r="G55" s="246"/>
      <c r="H55" s="246"/>
      <c r="I55" s="246"/>
      <c r="J55" s="234"/>
      <c r="K55" s="246"/>
      <c r="L55" s="246"/>
      <c r="M55" s="246"/>
      <c r="N55" s="247" t="str">
        <f>IF(ISERROR(VLOOKUP(CONCATENATE($N$39,"_",M55),選手名簿!$A:$E,5,FALSE))=TRUE,"",VLOOKUP(CONCATENATE($N$39,"_",M55),選手名簿!$A:$E,5,FALSE))</f>
        <v/>
      </c>
      <c r="P55" s="430" t="s">
        <v>342</v>
      </c>
      <c r="Q55" s="792"/>
      <c r="R55" s="792"/>
      <c r="S55" s="793"/>
      <c r="T55" s="244" t="s">
        <v>243</v>
      </c>
      <c r="U55" s="245" t="str">
        <f>IF(ISERROR(VLOOKUP(CONCATENATE($U$39,"_",V55),選手名簿!$A:$E,5,FALSE))=TRUE,"",VLOOKUP(CONCATENATE($U$39,"_",V55),選手名簿!$A:$E,5,FALSE))</f>
        <v/>
      </c>
      <c r="V55" s="246"/>
      <c r="W55" s="246"/>
      <c r="X55" s="246"/>
      <c r="Y55" s="234"/>
      <c r="Z55" s="246"/>
      <c r="AA55" s="246"/>
      <c r="AB55" s="246"/>
      <c r="AC55" s="247" t="str">
        <f>IF(ISERROR(VLOOKUP(CONCATENATE($AC$39,"_",AB55),選手名簿!$A:$E,5,FALSE))=TRUE,"",VLOOKUP(CONCATENATE($AC$39,"_",AB55),選手名簿!$A:$E,5,FALSE))</f>
        <v/>
      </c>
    </row>
    <row r="56" spans="1:29" ht="20.25" customHeight="1" x14ac:dyDescent="0.15">
      <c r="A56" s="431" t="s">
        <v>345</v>
      </c>
      <c r="B56" s="794" t="str">
        <f>IF(ISERROR(VLOOKUP(B55,審判員!$A:$C,2,FALSE))=TRUE,"",VLOOKUP(B55,審判員!$A:$C,2,FALSE))</f>
        <v/>
      </c>
      <c r="C56" s="795"/>
      <c r="D56" s="431" t="str">
        <f>IF(ISERROR(VLOOKUP(B55,審判員!$A:$C,3,FALSE))=TRUE,"",VLOOKUP(B55,審判員!$A:$C,3,FALSE))</f>
        <v/>
      </c>
      <c r="E56" s="244" t="s">
        <v>243</v>
      </c>
      <c r="F56" s="245" t="str">
        <f>IF(ISERROR(VLOOKUP(CONCATENATE($F$39,"_",G56),選手名簿!$A:$E,5,FALSE))=TRUE,"",VLOOKUP(CONCATENATE($F$39,"_",G56),選手名簿!$A:$E,5,FALSE))</f>
        <v/>
      </c>
      <c r="G56" s="246"/>
      <c r="H56" s="246"/>
      <c r="I56" s="246"/>
      <c r="J56" s="234"/>
      <c r="K56" s="246"/>
      <c r="L56" s="246"/>
      <c r="M56" s="246"/>
      <c r="N56" s="247" t="str">
        <f>IF(ISERROR(VLOOKUP(CONCATENATE($N$39,"_",M56),選手名簿!$A:$E,5,FALSE))=TRUE,"",VLOOKUP(CONCATENATE($N$39,"_",M56),選手名簿!$A:$E,5,FALSE))</f>
        <v/>
      </c>
      <c r="P56" s="430" t="s">
        <v>345</v>
      </c>
      <c r="Q56" s="796" t="str">
        <f>IF(ISERROR(VLOOKUP(Q55,審判員!$A:$C,2,FALSE))=TRUE,"",VLOOKUP(Q55,審判員!$A:$C,2,FALSE))</f>
        <v/>
      </c>
      <c r="R56" s="797"/>
      <c r="S56" s="430" t="str">
        <f>IF(ISERROR(VLOOKUP(Q55,審判員!$A:$C,3,FALSE))=TRUE,"",VLOOKUP(Q55,審判員!$A:$C,3,FALSE))</f>
        <v/>
      </c>
      <c r="T56" s="244" t="s">
        <v>243</v>
      </c>
      <c r="U56" s="245" t="str">
        <f>IF(ISERROR(VLOOKUP(CONCATENATE($U$39,"_",V56),選手名簿!$A:$E,5,FALSE))=TRUE,"",VLOOKUP(CONCATENATE($U$39,"_",V56),選手名簿!$A:$E,5,FALSE))</f>
        <v/>
      </c>
      <c r="V56" s="246"/>
      <c r="W56" s="246"/>
      <c r="X56" s="246"/>
      <c r="Y56" s="234"/>
      <c r="Z56" s="246"/>
      <c r="AA56" s="246"/>
      <c r="AB56" s="246"/>
      <c r="AC56" s="247" t="str">
        <f>IF(ISERROR(VLOOKUP(CONCATENATE($AC$39,"_",AB56),選手名簿!$A:$E,5,FALSE))=TRUE,"",VLOOKUP(CONCATENATE($AC$39,"_",AB56),選手名簿!$A:$E,5,FALSE))</f>
        <v/>
      </c>
    </row>
    <row r="57" spans="1:29" ht="20.25" customHeight="1" x14ac:dyDescent="0.15">
      <c r="A57" s="430" t="s">
        <v>342</v>
      </c>
      <c r="B57" s="792"/>
      <c r="C57" s="792"/>
      <c r="D57" s="793"/>
      <c r="E57" s="244" t="s">
        <v>243</v>
      </c>
      <c r="F57" s="245" t="str">
        <f>IF(ISERROR(VLOOKUP(CONCATENATE($F$39,"_",G57),選手名簿!$A:$E,5,FALSE))=TRUE,"",VLOOKUP(CONCATENATE($F$39,"_",G57),選手名簿!$A:$E,5,FALSE))</f>
        <v/>
      </c>
      <c r="G57" s="246"/>
      <c r="H57" s="246"/>
      <c r="I57" s="246"/>
      <c r="J57" s="234"/>
      <c r="K57" s="246"/>
      <c r="L57" s="246"/>
      <c r="M57" s="246"/>
      <c r="N57" s="247" t="str">
        <f>IF(ISERROR(VLOOKUP(CONCATENATE($N$39,"_",M57),選手名簿!$A:$E,5,FALSE))=TRUE,"",VLOOKUP(CONCATENATE($N$39,"_",M57),選手名簿!$A:$E,5,FALSE))</f>
        <v/>
      </c>
      <c r="P57" s="430" t="s">
        <v>342</v>
      </c>
      <c r="Q57" s="792"/>
      <c r="R57" s="792"/>
      <c r="S57" s="793"/>
      <c r="T57" s="244" t="s">
        <v>243</v>
      </c>
      <c r="U57" s="245" t="str">
        <f>IF(ISERROR(VLOOKUP(CONCATENATE($U$39,"_",V57),選手名簿!$A:$E,5,FALSE))=TRUE,"",VLOOKUP(CONCATENATE($U$39,"_",V57),選手名簿!$A:$E,5,FALSE))</f>
        <v/>
      </c>
      <c r="V57" s="246"/>
      <c r="W57" s="246"/>
      <c r="X57" s="246"/>
      <c r="Y57" s="234"/>
      <c r="Z57" s="246"/>
      <c r="AA57" s="246"/>
      <c r="AB57" s="246"/>
      <c r="AC57" s="247" t="str">
        <f>IF(ISERROR(VLOOKUP(CONCATENATE($AC$39,"_",AB57),選手名簿!$A:$E,5,FALSE))=TRUE,"",VLOOKUP(CONCATENATE($AC$39,"_",AB57),選手名簿!$A:$E,5,FALSE))</f>
        <v/>
      </c>
    </row>
    <row r="58" spans="1:29" ht="20.25" customHeight="1" x14ac:dyDescent="0.15">
      <c r="A58" s="431" t="s">
        <v>346</v>
      </c>
      <c r="B58" s="794" t="str">
        <f>IF(ISERROR(VLOOKUP(B57,審判員!$A:$C,2,FALSE))=TRUE,"",VLOOKUP(B57,審判員!$A:$C,2,FALSE))</f>
        <v/>
      </c>
      <c r="C58" s="795"/>
      <c r="D58" s="431" t="str">
        <f>IF(ISERROR(VLOOKUP(B57,審判員!$A:$C,3,FALSE))=TRUE,"",VLOOKUP(B57,審判員!$A:$C,3,FALSE))</f>
        <v/>
      </c>
      <c r="E58" s="244" t="s">
        <v>243</v>
      </c>
      <c r="F58" s="245" t="str">
        <f>IF(ISERROR(VLOOKUP(CONCATENATE($F$39,"_",G58),選手名簿!$A:$E,5,FALSE))=TRUE,"",VLOOKUP(CONCATENATE($F$39,"_",G58),選手名簿!$A:$E,5,FALSE))</f>
        <v/>
      </c>
      <c r="G58" s="246"/>
      <c r="H58" s="246"/>
      <c r="I58" s="246"/>
      <c r="J58" s="234"/>
      <c r="K58" s="246"/>
      <c r="L58" s="246"/>
      <c r="M58" s="246"/>
      <c r="N58" s="247" t="str">
        <f>IF(ISERROR(VLOOKUP(CONCATENATE($N$39,"_",M58),選手名簿!$A:$E,5,FALSE))=TRUE,"",VLOOKUP(CONCATENATE($N$39,"_",M58),選手名簿!$A:$E,5,FALSE))</f>
        <v/>
      </c>
      <c r="P58" s="430" t="s">
        <v>346</v>
      </c>
      <c r="Q58" s="796" t="str">
        <f>IF(ISERROR(VLOOKUP(Q57,審判員!$A:$C,2,FALSE))=TRUE,"",VLOOKUP(Q57,審判員!$A:$C,2,FALSE))</f>
        <v/>
      </c>
      <c r="R58" s="797"/>
      <c r="S58" s="430" t="str">
        <f>IF(ISERROR(VLOOKUP(Q57,審判員!$A:$C,3,FALSE))=TRUE,"",VLOOKUP(Q57,審判員!$A:$C,3,FALSE))</f>
        <v/>
      </c>
      <c r="T58" s="244" t="s">
        <v>243</v>
      </c>
      <c r="U58" s="245" t="str">
        <f>IF(ISERROR(VLOOKUP(CONCATENATE($U$39,"_",V58),選手名簿!$A:$E,5,FALSE))=TRUE,"",VLOOKUP(CONCATENATE($U$39,"_",V58),選手名簿!$A:$E,5,FALSE))</f>
        <v/>
      </c>
      <c r="V58" s="246"/>
      <c r="W58" s="246"/>
      <c r="X58" s="246"/>
      <c r="Y58" s="234"/>
      <c r="Z58" s="246"/>
      <c r="AA58" s="246"/>
      <c r="AB58" s="246"/>
      <c r="AC58" s="247" t="str">
        <f>IF(ISERROR(VLOOKUP(CONCATENATE($AC$39,"_",AB58),選手名簿!$A:$E,5,FALSE))=TRUE,"",VLOOKUP(CONCATENATE($AC$39,"_",AB58),選手名簿!$A:$E,5,FALSE))</f>
        <v/>
      </c>
    </row>
    <row r="59" spans="1:29" ht="20.25" customHeight="1" x14ac:dyDescent="0.15">
      <c r="A59" s="241" t="s">
        <v>342</v>
      </c>
      <c r="B59" s="789"/>
      <c r="C59" s="789"/>
      <c r="D59" s="789"/>
      <c r="E59" s="244" t="s">
        <v>243</v>
      </c>
      <c r="F59" s="245" t="str">
        <f>IF(ISERROR(VLOOKUP(CONCATENATE($F$39,"_",G59),選手名簿!$A:$E,5,FALSE))=TRUE,"",VLOOKUP(CONCATENATE($F$39,"_",G59),選手名簿!$A:$E,5,FALSE))</f>
        <v/>
      </c>
      <c r="G59" s="246"/>
      <c r="H59" s="246"/>
      <c r="I59" s="246"/>
      <c r="J59" s="234"/>
      <c r="K59" s="246"/>
      <c r="L59" s="246"/>
      <c r="M59" s="246"/>
      <c r="N59" s="247" t="str">
        <f>IF(ISERROR(VLOOKUP(CONCATENATE($N$39,"_",M59),選手名簿!$A:$E,5,FALSE))=TRUE,"",VLOOKUP(CONCATENATE($N$39,"_",M59),選手名簿!$A:$E,5,FALSE))</f>
        <v/>
      </c>
      <c r="P59" s="241" t="s">
        <v>342</v>
      </c>
      <c r="Q59" s="789"/>
      <c r="R59" s="789"/>
      <c r="S59" s="789"/>
      <c r="T59" s="244" t="s">
        <v>243</v>
      </c>
      <c r="U59" s="245" t="str">
        <f>IF(ISERROR(VLOOKUP(CONCATENATE($U$39,"_",V59),選手名簿!$A:$E,5,FALSE))=TRUE,"",VLOOKUP(CONCATENATE($U$39,"_",V59),選手名簿!$A:$E,5,FALSE))</f>
        <v/>
      </c>
      <c r="V59" s="246"/>
      <c r="W59" s="246"/>
      <c r="X59" s="246"/>
      <c r="Y59" s="234"/>
      <c r="Z59" s="246"/>
      <c r="AA59" s="246"/>
      <c r="AB59" s="246"/>
      <c r="AC59" s="247" t="str">
        <f>IF(ISERROR(VLOOKUP(CONCATENATE($AC$39,"_",AB59),選手名簿!$A:$E,5,FALSE))=TRUE,"",VLOOKUP(CONCATENATE($AC$39,"_",AB59),選手名簿!$A:$E,5,FALSE))</f>
        <v/>
      </c>
    </row>
    <row r="60" spans="1:29" ht="20.25" customHeight="1" x14ac:dyDescent="0.15">
      <c r="A60" s="242" t="s">
        <v>347</v>
      </c>
      <c r="B60" s="790" t="str">
        <f>IF(ISERROR(VLOOKUP(B59,審判員!$A:$C,2,FALSE))=TRUE,"",VLOOKUP(B59,審判員!$A:$C,2,FALSE))</f>
        <v/>
      </c>
      <c r="C60" s="791"/>
      <c r="D60" s="242" t="str">
        <f>IF(ISERROR(VLOOKUP(B59,審判員!$A:$C,3,FALSE))=TRUE,"",VLOOKUP(B59,審判員!$A:$C,3,FALSE))</f>
        <v/>
      </c>
      <c r="E60" s="248" t="s">
        <v>243</v>
      </c>
      <c r="F60" s="249" t="str">
        <f>IF(ISERROR(VLOOKUP(CONCATENATE($F$39,"_",G60),選手名簿!$A:$E,5,FALSE))=TRUE,"",VLOOKUP(CONCATENATE($F$39,"_",G60),選手名簿!$A:$E,5,FALSE))</f>
        <v/>
      </c>
      <c r="G60" s="250"/>
      <c r="H60" s="250"/>
      <c r="I60" s="250"/>
      <c r="J60" s="239"/>
      <c r="K60" s="250"/>
      <c r="L60" s="250"/>
      <c r="M60" s="250"/>
      <c r="N60" s="251" t="str">
        <f>IF(ISERROR(VLOOKUP(CONCATENATE($N$39,"_",M60),選手名簿!$A:$E,5,FALSE))=TRUE,"",VLOOKUP(CONCATENATE($N$39,"_",M60),選手名簿!$A:$E,5,FALSE))</f>
        <v/>
      </c>
      <c r="P60" s="242" t="s">
        <v>347</v>
      </c>
      <c r="Q60" s="790" t="str">
        <f>IF(ISERROR(VLOOKUP(Q59,審判員!$A:$C,2,FALSE))=TRUE,"",VLOOKUP(Q59,審判員!$A:$C,2,FALSE))</f>
        <v/>
      </c>
      <c r="R60" s="791"/>
      <c r="S60" s="242" t="str">
        <f>IF(ISERROR(VLOOKUP(Q59,審判員!$A:$C,3,FALSE))=TRUE,"",VLOOKUP(Q59,審判員!$A:$C,3,FALSE))</f>
        <v/>
      </c>
      <c r="T60" s="248" t="s">
        <v>243</v>
      </c>
      <c r="U60" s="249" t="str">
        <f>IF(ISERROR(VLOOKUP(CONCATENATE($U$39,"_",V60),選手名簿!$A:$E,5,FALSE))=TRUE,"",VLOOKUP(CONCATENATE($U$39,"_",V60),選手名簿!$A:$E,5,FALSE))</f>
        <v/>
      </c>
      <c r="V60" s="250"/>
      <c r="W60" s="250"/>
      <c r="X60" s="250"/>
      <c r="Y60" s="239"/>
      <c r="Z60" s="250"/>
      <c r="AA60" s="250"/>
      <c r="AB60" s="250"/>
      <c r="AC60" s="251" t="str">
        <f>IF(ISERROR(VLOOKUP(CONCATENATE($AC$39,"_",AB60),選手名簿!$A:$E,5,FALSE))=TRUE,"",VLOOKUP(CONCATENATE($AC$39,"_",AB60),選手名簿!$A:$E,5,FALSE))</f>
        <v/>
      </c>
    </row>
    <row r="61" spans="1:29" ht="9.9499999999999993" customHeight="1" x14ac:dyDescent="0.15">
      <c r="E61" s="252"/>
      <c r="T61" s="252"/>
    </row>
    <row r="62" spans="1:29" ht="9.9499999999999993" customHeight="1" x14ac:dyDescent="0.15">
      <c r="E62" s="252"/>
      <c r="T62" s="252"/>
    </row>
    <row r="63" spans="1:29" ht="9.9499999999999993" customHeight="1" x14ac:dyDescent="0.15"/>
    <row r="64" spans="1:29" ht="9.9499999999999993" customHeight="1" x14ac:dyDescent="0.15"/>
    <row r="65" spans="1:29" ht="9.9499999999999993" customHeight="1" x14ac:dyDescent="0.15"/>
    <row r="66" spans="1:29" ht="9.9499999999999993" customHeight="1" x14ac:dyDescent="0.15"/>
    <row r="67" spans="1:29" ht="9.9499999999999993" customHeight="1" x14ac:dyDescent="0.15">
      <c r="E67" s="252"/>
      <c r="T67" s="252"/>
    </row>
    <row r="68" spans="1:29" ht="27.4" customHeight="1" x14ac:dyDescent="0.15">
      <c r="A68" s="223" t="s">
        <v>334</v>
      </c>
      <c r="B68" s="768"/>
      <c r="C68" s="769"/>
      <c r="D68" s="770"/>
      <c r="E68" s="771">
        <f>予選リーグ!B29</f>
        <v>0.57638888888888895</v>
      </c>
      <c r="F68" s="774" t="str">
        <f>F7</f>
        <v>明治北ＳＳＣ</v>
      </c>
      <c r="G68" s="777" t="str">
        <f>IF(I68="","",SUM(I68:I69))</f>
        <v/>
      </c>
      <c r="H68" s="780" t="s">
        <v>123</v>
      </c>
      <c r="I68" s="224"/>
      <c r="J68" s="224" t="s">
        <v>335</v>
      </c>
      <c r="K68" s="224"/>
      <c r="L68" s="780" t="s">
        <v>336</v>
      </c>
      <c r="M68" s="777" t="str">
        <f>IF(K68="","",SUM(K68:K69))</f>
        <v/>
      </c>
      <c r="N68" s="783" t="str">
        <f>F5</f>
        <v>ＮＦＣ・ＯＩＴＡ　Ｕ１２</v>
      </c>
      <c r="P68" s="223" t="s">
        <v>334</v>
      </c>
      <c r="Q68" s="768"/>
      <c r="R68" s="769"/>
      <c r="S68" s="770"/>
      <c r="T68" s="771">
        <f>予選リーグ!B31</f>
        <v>0.61111111111111105</v>
      </c>
      <c r="U68" s="774" t="str">
        <f>U7</f>
        <v>カティオーラフットボールクラブＵ－１２</v>
      </c>
      <c r="V68" s="777" t="str">
        <f>IF(X68="","",SUM(X68:X69))</f>
        <v/>
      </c>
      <c r="W68" s="780" t="s">
        <v>123</v>
      </c>
      <c r="X68" s="224"/>
      <c r="Y68" s="224" t="s">
        <v>335</v>
      </c>
      <c r="Z68" s="224"/>
      <c r="AA68" s="780" t="s">
        <v>336</v>
      </c>
      <c r="AB68" s="777" t="str">
        <f>IF(Z68="","",SUM(Z68:Z69))</f>
        <v/>
      </c>
      <c r="AC68" s="783" t="str">
        <f>U5</f>
        <v>大分トリニータＵ－１２</v>
      </c>
    </row>
    <row r="69" spans="1:29" ht="27.4" customHeight="1" x14ac:dyDescent="0.15">
      <c r="A69" s="225" t="s">
        <v>337</v>
      </c>
      <c r="B69" s="786" t="s">
        <v>313</v>
      </c>
      <c r="C69" s="786"/>
      <c r="D69" s="768"/>
      <c r="E69" s="772"/>
      <c r="F69" s="775"/>
      <c r="G69" s="778"/>
      <c r="H69" s="781"/>
      <c r="J69" s="214" t="s">
        <v>338</v>
      </c>
      <c r="L69" s="781"/>
      <c r="M69" s="778"/>
      <c r="N69" s="784"/>
      <c r="P69" s="225" t="s">
        <v>337</v>
      </c>
      <c r="Q69" s="786" t="s">
        <v>313</v>
      </c>
      <c r="R69" s="786"/>
      <c r="S69" s="768"/>
      <c r="T69" s="772"/>
      <c r="U69" s="775"/>
      <c r="V69" s="778"/>
      <c r="W69" s="781"/>
      <c r="Y69" s="214" t="s">
        <v>338</v>
      </c>
      <c r="AA69" s="781"/>
      <c r="AB69" s="778"/>
      <c r="AC69" s="784"/>
    </row>
    <row r="70" spans="1:29" ht="27.4" customHeight="1" x14ac:dyDescent="0.15">
      <c r="A70" s="225" t="s">
        <v>339</v>
      </c>
      <c r="B70" s="786"/>
      <c r="C70" s="786"/>
      <c r="D70" s="768"/>
      <c r="E70" s="773"/>
      <c r="F70" s="776"/>
      <c r="G70" s="779"/>
      <c r="H70" s="782"/>
      <c r="I70" s="226"/>
      <c r="J70" s="226" t="s">
        <v>340</v>
      </c>
      <c r="K70" s="226"/>
      <c r="L70" s="782"/>
      <c r="M70" s="779"/>
      <c r="N70" s="785"/>
      <c r="P70" s="225" t="s">
        <v>339</v>
      </c>
      <c r="Q70" s="786"/>
      <c r="R70" s="786"/>
      <c r="S70" s="768"/>
      <c r="T70" s="773"/>
      <c r="U70" s="776"/>
      <c r="V70" s="779"/>
      <c r="W70" s="782"/>
      <c r="X70" s="226"/>
      <c r="Y70" s="226" t="s">
        <v>340</v>
      </c>
      <c r="Z70" s="226"/>
      <c r="AA70" s="782"/>
      <c r="AB70" s="779"/>
      <c r="AC70" s="785"/>
    </row>
    <row r="71" spans="1:29" ht="20.25" customHeight="1" x14ac:dyDescent="0.15">
      <c r="A71" s="787" t="s">
        <v>341</v>
      </c>
      <c r="B71" s="787"/>
      <c r="C71" s="787"/>
      <c r="D71" s="788"/>
      <c r="E71" s="227"/>
      <c r="F71" s="228" t="s">
        <v>242</v>
      </c>
      <c r="G71" s="228" t="s">
        <v>342</v>
      </c>
      <c r="H71" s="228" t="s">
        <v>317</v>
      </c>
      <c r="I71" s="228"/>
      <c r="J71" s="229"/>
      <c r="K71" s="228"/>
      <c r="L71" s="228" t="s">
        <v>317</v>
      </c>
      <c r="M71" s="228" t="s">
        <v>342</v>
      </c>
      <c r="N71" s="230" t="s">
        <v>242</v>
      </c>
      <c r="P71" s="787" t="s">
        <v>341</v>
      </c>
      <c r="Q71" s="787"/>
      <c r="R71" s="787"/>
      <c r="S71" s="788"/>
      <c r="T71" s="227"/>
      <c r="U71" s="228" t="s">
        <v>242</v>
      </c>
      <c r="V71" s="228" t="s">
        <v>342</v>
      </c>
      <c r="W71" s="228" t="s">
        <v>317</v>
      </c>
      <c r="X71" s="228"/>
      <c r="Y71" s="229"/>
      <c r="Z71" s="228"/>
      <c r="AA71" s="228" t="s">
        <v>317</v>
      </c>
      <c r="AB71" s="228" t="s">
        <v>342</v>
      </c>
      <c r="AC71" s="230" t="s">
        <v>242</v>
      </c>
    </row>
    <row r="72" spans="1:29" ht="20.25" hidden="1" customHeight="1" x14ac:dyDescent="0.15">
      <c r="E72" s="231" t="s">
        <v>343</v>
      </c>
      <c r="F72" s="232" t="str">
        <f>IF(ISERROR(VLOOKUP(CONCATENATE($F$68,"_",G72),選手名簿!$A:$E,5,FALSE))=TRUE,"",VLOOKUP(CONCATENATE($F$68,"_",G72),選手名簿!$A:$E,5,FALSE))</f>
        <v/>
      </c>
      <c r="G72" s="233"/>
      <c r="H72" s="233"/>
      <c r="I72" s="233"/>
      <c r="J72" s="234"/>
      <c r="K72" s="233"/>
      <c r="L72" s="233"/>
      <c r="M72" s="233"/>
      <c r="N72" s="235" t="str">
        <f>IF(ISERROR(VLOOKUP(CONCATENATE($N$68,"_",M72),選手名簿!$A:$E,5,FALSE))=TRUE,"",VLOOKUP(CONCATENATE($N$68,"_",M72),選手名簿!$A:$E,5,FALSE))</f>
        <v/>
      </c>
      <c r="T72" s="231" t="s">
        <v>343</v>
      </c>
      <c r="U72" s="232" t="str">
        <f>IF(ISERROR(VLOOKUP(CONCATENATE($U$68,"_",V72),選手名簿!$A:$E,5,FALSE))=TRUE,"",VLOOKUP(CONCATENATE($U$68,"_",V72),選手名簿!$A:$E,5,FALSE))</f>
        <v/>
      </c>
      <c r="V72" s="233"/>
      <c r="W72" s="233"/>
      <c r="X72" s="233"/>
      <c r="Y72" s="234"/>
      <c r="Z72" s="233"/>
      <c r="AA72" s="233"/>
      <c r="AB72" s="233"/>
      <c r="AC72" s="235" t="str">
        <f>IF(ISERROR(VLOOKUP(CONCATENATE($AC$68,"_",AB72),選手名簿!$A:$E,5,FALSE))=TRUE,"",VLOOKUP(CONCATENATE($AC$68,"_",AB72),選手名簿!$A:$E,5,FALSE))</f>
        <v/>
      </c>
    </row>
    <row r="73" spans="1:29" ht="20.25" hidden="1" customHeight="1" x14ac:dyDescent="0.15">
      <c r="E73" s="231" t="s">
        <v>343</v>
      </c>
      <c r="F73" s="232" t="str">
        <f>IF(ISERROR(VLOOKUP(CONCATENATE($F$68,"_",G73),選手名簿!$A:$E,5,FALSE))=TRUE,"",VLOOKUP(CONCATENATE($F$68,"_",G73),選手名簿!$A:$E,5,FALSE))</f>
        <v/>
      </c>
      <c r="G73" s="233"/>
      <c r="H73" s="233"/>
      <c r="I73" s="233"/>
      <c r="J73" s="234"/>
      <c r="K73" s="233"/>
      <c r="L73" s="233"/>
      <c r="M73" s="233"/>
      <c r="N73" s="235" t="str">
        <f>IF(ISERROR(VLOOKUP(CONCATENATE($N$68,"_",M73),選手名簿!$A:$E,5,FALSE))=TRUE,"",VLOOKUP(CONCATENATE($N$68,"_",M73),選手名簿!$A:$E,5,FALSE))</f>
        <v/>
      </c>
      <c r="T73" s="231" t="s">
        <v>343</v>
      </c>
      <c r="U73" s="232" t="str">
        <f>IF(ISERROR(VLOOKUP(CONCATENATE($U$68,"_",V73),選手名簿!$A:$E,5,FALSE))=TRUE,"",VLOOKUP(CONCATENATE($U$68,"_",V73),選手名簿!$A:$E,5,FALSE))</f>
        <v/>
      </c>
      <c r="V73" s="233"/>
      <c r="W73" s="233"/>
      <c r="X73" s="233"/>
      <c r="Y73" s="234"/>
      <c r="Z73" s="233"/>
      <c r="AA73" s="233"/>
      <c r="AB73" s="233"/>
      <c r="AC73" s="235" t="str">
        <f>IF(ISERROR(VLOOKUP(CONCATENATE($AC$68,"_",AB73),選手名簿!$A:$E,5,FALSE))=TRUE,"",VLOOKUP(CONCATENATE($AC$68,"_",AB73),選手名簿!$A:$E,5,FALSE))</f>
        <v/>
      </c>
    </row>
    <row r="74" spans="1:29" ht="20.25" hidden="1" customHeight="1" x14ac:dyDescent="0.15">
      <c r="E74" s="231" t="s">
        <v>343</v>
      </c>
      <c r="F74" s="232" t="str">
        <f>IF(ISERROR(VLOOKUP(CONCATENATE($F$68,"_",G74),選手名簿!$A:$E,5,FALSE))=TRUE,"",VLOOKUP(CONCATENATE($F$68,"_",G74),選手名簿!$A:$E,5,FALSE))</f>
        <v/>
      </c>
      <c r="G74" s="233"/>
      <c r="H74" s="233"/>
      <c r="I74" s="233"/>
      <c r="J74" s="234"/>
      <c r="K74" s="233"/>
      <c r="L74" s="233"/>
      <c r="M74" s="233"/>
      <c r="N74" s="235" t="str">
        <f>IF(ISERROR(VLOOKUP(CONCATENATE($N$68,"_",M74),選手名簿!$A:$E,5,FALSE))=TRUE,"",VLOOKUP(CONCATENATE($N$68,"_",M74),選手名簿!$A:$E,5,FALSE))</f>
        <v/>
      </c>
      <c r="T74" s="231" t="s">
        <v>343</v>
      </c>
      <c r="U74" s="232" t="str">
        <f>IF(ISERROR(VLOOKUP(CONCATENATE($U$68,"_",V74),選手名簿!$A:$E,5,FALSE))=TRUE,"",VLOOKUP(CONCATENATE($U$68,"_",V74),選手名簿!$A:$E,5,FALSE))</f>
        <v/>
      </c>
      <c r="V74" s="233"/>
      <c r="W74" s="233"/>
      <c r="X74" s="233"/>
      <c r="Y74" s="234"/>
      <c r="Z74" s="233"/>
      <c r="AA74" s="233"/>
      <c r="AB74" s="233"/>
      <c r="AC74" s="235" t="str">
        <f>IF(ISERROR(VLOOKUP(CONCATENATE($AC$68,"_",AB74),選手名簿!$A:$E,5,FALSE))=TRUE,"",VLOOKUP(CONCATENATE($AC$68,"_",AB74),選手名簿!$A:$E,5,FALSE))</f>
        <v/>
      </c>
    </row>
    <row r="75" spans="1:29" ht="20.25" hidden="1" customHeight="1" x14ac:dyDescent="0.15">
      <c r="E75" s="231" t="s">
        <v>343</v>
      </c>
      <c r="F75" s="232" t="str">
        <f>IF(ISERROR(VLOOKUP(CONCATENATE($F$68,"_",G75),選手名簿!$A:$E,5,FALSE))=TRUE,"",VLOOKUP(CONCATENATE($F$68,"_",G75),選手名簿!$A:$E,5,FALSE))</f>
        <v/>
      </c>
      <c r="G75" s="233"/>
      <c r="H75" s="233"/>
      <c r="I75" s="233"/>
      <c r="J75" s="234"/>
      <c r="K75" s="233"/>
      <c r="L75" s="233"/>
      <c r="M75" s="233"/>
      <c r="N75" s="235" t="str">
        <f>IF(ISERROR(VLOOKUP(CONCATENATE($N$68,"_",M75),選手名簿!$A:$E,5,FALSE))=TRUE,"",VLOOKUP(CONCATENATE($N$68,"_",M75),選手名簿!$A:$E,5,FALSE))</f>
        <v/>
      </c>
      <c r="T75" s="231" t="s">
        <v>343</v>
      </c>
      <c r="U75" s="232" t="str">
        <f>IF(ISERROR(VLOOKUP(CONCATENATE($U$68,"_",V75),選手名簿!$A:$E,5,FALSE))=TRUE,"",VLOOKUP(CONCATENATE($U$68,"_",V75),選手名簿!$A:$E,5,FALSE))</f>
        <v/>
      </c>
      <c r="V75" s="233"/>
      <c r="W75" s="233"/>
      <c r="X75" s="233"/>
      <c r="Y75" s="234"/>
      <c r="Z75" s="233"/>
      <c r="AA75" s="233"/>
      <c r="AB75" s="233"/>
      <c r="AC75" s="235" t="str">
        <f>IF(ISERROR(VLOOKUP(CONCATENATE($AC$68,"_",AB75),選手名簿!$A:$E,5,FALSE))=TRUE,"",VLOOKUP(CONCATENATE($AC$68,"_",AB75),選手名簿!$A:$E,5,FALSE))</f>
        <v/>
      </c>
    </row>
    <row r="76" spans="1:29" ht="20.25" hidden="1" customHeight="1" x14ac:dyDescent="0.15">
      <c r="E76" s="231" t="s">
        <v>343</v>
      </c>
      <c r="F76" s="232" t="str">
        <f>IF(ISERROR(VLOOKUP(CONCATENATE($F$68,"_",G76),選手名簿!$A:$E,5,FALSE))=TRUE,"",VLOOKUP(CONCATENATE($F$68,"_",G76),選手名簿!$A:$E,5,FALSE))</f>
        <v/>
      </c>
      <c r="G76" s="233"/>
      <c r="H76" s="233"/>
      <c r="I76" s="233"/>
      <c r="J76" s="234"/>
      <c r="K76" s="233"/>
      <c r="L76" s="233"/>
      <c r="M76" s="233"/>
      <c r="N76" s="235" t="str">
        <f>IF(ISERROR(VLOOKUP(CONCATENATE($N$68,"_",M76),選手名簿!$A:$E,5,FALSE))=TRUE,"",VLOOKUP(CONCATENATE($N$68,"_",M76),選手名簿!$A:$E,5,FALSE))</f>
        <v/>
      </c>
      <c r="T76" s="231" t="s">
        <v>343</v>
      </c>
      <c r="U76" s="232" t="str">
        <f>IF(ISERROR(VLOOKUP(CONCATENATE($U$68,"_",V76),選手名簿!$A:$E,5,FALSE))=TRUE,"",VLOOKUP(CONCATENATE($U$68,"_",V76),選手名簿!$A:$E,5,FALSE))</f>
        <v/>
      </c>
      <c r="V76" s="233"/>
      <c r="W76" s="233"/>
      <c r="X76" s="233"/>
      <c r="Y76" s="234"/>
      <c r="Z76" s="233"/>
      <c r="AA76" s="233"/>
      <c r="AB76" s="233"/>
      <c r="AC76" s="235" t="str">
        <f>IF(ISERROR(VLOOKUP(CONCATENATE($AC$68,"_",AB76),選手名簿!$A:$E,5,FALSE))=TRUE,"",VLOOKUP(CONCATENATE($AC$68,"_",AB76),選手名簿!$A:$E,5,FALSE))</f>
        <v/>
      </c>
    </row>
    <row r="77" spans="1:29" ht="20.25" hidden="1" customHeight="1" x14ac:dyDescent="0.15">
      <c r="E77" s="231" t="s">
        <v>343</v>
      </c>
      <c r="F77" s="232" t="str">
        <f>IF(ISERROR(VLOOKUP(CONCATENATE($F$68,"_",G77),選手名簿!$A:$E,5,FALSE))=TRUE,"",VLOOKUP(CONCATENATE($F$68,"_",G77),選手名簿!$A:$E,5,FALSE))</f>
        <v/>
      </c>
      <c r="G77" s="233"/>
      <c r="H77" s="233"/>
      <c r="I77" s="233"/>
      <c r="J77" s="234"/>
      <c r="K77" s="233"/>
      <c r="L77" s="233"/>
      <c r="M77" s="233"/>
      <c r="N77" s="235" t="str">
        <f>IF(ISERROR(VLOOKUP(CONCATENATE($N$68,"_",M77),選手名簿!$A:$E,5,FALSE))=TRUE,"",VLOOKUP(CONCATENATE($N$68,"_",M77),選手名簿!$A:$E,5,FALSE))</f>
        <v/>
      </c>
      <c r="T77" s="231" t="s">
        <v>343</v>
      </c>
      <c r="U77" s="232" t="str">
        <f>IF(ISERROR(VLOOKUP(CONCATENATE($U$68,"_",V77),選手名簿!$A:$E,5,FALSE))=TRUE,"",VLOOKUP(CONCATENATE($U$68,"_",V77),選手名簿!$A:$E,5,FALSE))</f>
        <v/>
      </c>
      <c r="V77" s="233"/>
      <c r="W77" s="233"/>
      <c r="X77" s="233"/>
      <c r="Y77" s="234"/>
      <c r="Z77" s="233"/>
      <c r="AA77" s="233"/>
      <c r="AB77" s="233"/>
      <c r="AC77" s="235" t="str">
        <f>IF(ISERROR(VLOOKUP(CONCATENATE($AC$68,"_",AB77),選手名簿!$A:$E,5,FALSE))=TRUE,"",VLOOKUP(CONCATENATE($AC$68,"_",AB77),選手名簿!$A:$E,5,FALSE))</f>
        <v/>
      </c>
    </row>
    <row r="78" spans="1:29" ht="20.25" hidden="1" customHeight="1" x14ac:dyDescent="0.15">
      <c r="E78" s="231" t="s">
        <v>343</v>
      </c>
      <c r="F78" s="232" t="str">
        <f>IF(ISERROR(VLOOKUP(CONCATENATE($F$68,"_",G78),選手名簿!$A:$E,5,FALSE))=TRUE,"",VLOOKUP(CONCATENATE($F$68,"_",G78),選手名簿!$A:$E,5,FALSE))</f>
        <v/>
      </c>
      <c r="G78" s="233"/>
      <c r="H78" s="233"/>
      <c r="I78" s="233"/>
      <c r="J78" s="234"/>
      <c r="K78" s="233"/>
      <c r="L78" s="233"/>
      <c r="M78" s="233"/>
      <c r="N78" s="235" t="str">
        <f>IF(ISERROR(VLOOKUP(CONCATENATE($N$68,"_",M78),選手名簿!$A:$E,5,FALSE))=TRUE,"",VLOOKUP(CONCATENATE($N$68,"_",M78),選手名簿!$A:$E,5,FALSE))</f>
        <v/>
      </c>
      <c r="T78" s="231" t="s">
        <v>343</v>
      </c>
      <c r="U78" s="232" t="str">
        <f>IF(ISERROR(VLOOKUP(CONCATENATE($U$68,"_",V78),選手名簿!$A:$E,5,FALSE))=TRUE,"",VLOOKUP(CONCATENATE($U$68,"_",V78),選手名簿!$A:$E,5,FALSE))</f>
        <v/>
      </c>
      <c r="V78" s="233"/>
      <c r="W78" s="233"/>
      <c r="X78" s="233"/>
      <c r="Y78" s="234"/>
      <c r="Z78" s="233"/>
      <c r="AA78" s="233"/>
      <c r="AB78" s="233"/>
      <c r="AC78" s="235" t="str">
        <f>IF(ISERROR(VLOOKUP(CONCATENATE($AC$68,"_",AB78),選手名簿!$A:$E,5,FALSE))=TRUE,"",VLOOKUP(CONCATENATE($AC$68,"_",AB78),選手名簿!$A:$E,5,FALSE))</f>
        <v/>
      </c>
    </row>
    <row r="79" spans="1:29" ht="20.25" hidden="1" customHeight="1" x14ac:dyDescent="0.15">
      <c r="E79" s="231" t="s">
        <v>343</v>
      </c>
      <c r="F79" s="232" t="str">
        <f>IF(ISERROR(VLOOKUP(CONCATENATE($F$68,"_",G79),選手名簿!$A:$E,5,FALSE))=TRUE,"",VLOOKUP(CONCATENATE($F$68,"_",G79),選手名簿!$A:$E,5,FALSE))</f>
        <v/>
      </c>
      <c r="G79" s="233"/>
      <c r="H79" s="233"/>
      <c r="I79" s="233"/>
      <c r="J79" s="234"/>
      <c r="K79" s="233"/>
      <c r="L79" s="233"/>
      <c r="M79" s="233"/>
      <c r="N79" s="235" t="str">
        <f>IF(ISERROR(VLOOKUP(CONCATENATE($N$68,"_",M79),選手名簿!$A:$E,5,FALSE))=TRUE,"",VLOOKUP(CONCATENATE($N$68,"_",M79),選手名簿!$A:$E,5,FALSE))</f>
        <v/>
      </c>
      <c r="T79" s="231" t="s">
        <v>343</v>
      </c>
      <c r="U79" s="232" t="str">
        <f>IF(ISERROR(VLOOKUP(CONCATENATE($U$68,"_",V79),選手名簿!$A:$E,5,FALSE))=TRUE,"",VLOOKUP(CONCATENATE($U$68,"_",V79),選手名簿!$A:$E,5,FALSE))</f>
        <v/>
      </c>
      <c r="V79" s="233"/>
      <c r="W79" s="233"/>
      <c r="X79" s="233"/>
      <c r="Y79" s="234"/>
      <c r="Z79" s="233"/>
      <c r="AA79" s="233"/>
      <c r="AB79" s="233"/>
      <c r="AC79" s="235" t="str">
        <f>IF(ISERROR(VLOOKUP(CONCATENATE($AC$68,"_",AB79),選手名簿!$A:$E,5,FALSE))=TRUE,"",VLOOKUP(CONCATENATE($AC$68,"_",AB79),選手名簿!$A:$E,5,FALSE))</f>
        <v/>
      </c>
    </row>
    <row r="80" spans="1:29" ht="20.25" hidden="1" customHeight="1" x14ac:dyDescent="0.15">
      <c r="E80" s="231" t="s">
        <v>343</v>
      </c>
      <c r="F80" s="232" t="str">
        <f>IF(ISERROR(VLOOKUP(CONCATENATE($F$68,"_",G80),選手名簿!$A:$E,5,FALSE))=TRUE,"",VLOOKUP(CONCATENATE($F$68,"_",G80),選手名簿!$A:$E,5,FALSE))</f>
        <v/>
      </c>
      <c r="G80" s="233"/>
      <c r="H80" s="233"/>
      <c r="I80" s="233"/>
      <c r="J80" s="234"/>
      <c r="K80" s="233"/>
      <c r="L80" s="233"/>
      <c r="M80" s="233"/>
      <c r="N80" s="235" t="str">
        <f>IF(ISERROR(VLOOKUP(CONCATENATE($N$68,"_",M80),選手名簿!$A:$E,5,FALSE))=TRUE,"",VLOOKUP(CONCATENATE($N$68,"_",M80),選手名簿!$A:$E,5,FALSE))</f>
        <v/>
      </c>
      <c r="T80" s="231" t="s">
        <v>343</v>
      </c>
      <c r="U80" s="232" t="str">
        <f>IF(ISERROR(VLOOKUP(CONCATENATE($U$68,"_",V80),選手名簿!$A:$E,5,FALSE))=TRUE,"",VLOOKUP(CONCATENATE($U$68,"_",V80),選手名簿!$A:$E,5,FALSE))</f>
        <v/>
      </c>
      <c r="V80" s="233"/>
      <c r="W80" s="233"/>
      <c r="X80" s="233"/>
      <c r="Y80" s="234"/>
      <c r="Z80" s="233"/>
      <c r="AA80" s="233"/>
      <c r="AB80" s="233"/>
      <c r="AC80" s="235" t="str">
        <f>IF(ISERROR(VLOOKUP(CONCATENATE($AC$68,"_",AB80),選手名簿!$A:$E,5,FALSE))=TRUE,"",VLOOKUP(CONCATENATE($AC$68,"_",AB80),選手名簿!$A:$E,5,FALSE))</f>
        <v/>
      </c>
    </row>
    <row r="81" spans="1:29" ht="20.25" hidden="1" customHeight="1" x14ac:dyDescent="0.15">
      <c r="E81" s="236" t="s">
        <v>343</v>
      </c>
      <c r="F81" s="237" t="str">
        <f>IF(ISERROR(VLOOKUP(CONCATENATE($F$68,"_",G81),選手名簿!$A:$E,5,FALSE))=TRUE,"",VLOOKUP(CONCATENATE($F$68,"_",G81),選手名簿!$A:$E,5,FALSE))</f>
        <v/>
      </c>
      <c r="G81" s="238"/>
      <c r="H81" s="238"/>
      <c r="I81" s="238"/>
      <c r="J81" s="239"/>
      <c r="K81" s="238"/>
      <c r="L81" s="238"/>
      <c r="M81" s="238"/>
      <c r="N81" s="240" t="str">
        <f>IF(ISERROR(VLOOKUP(CONCATENATE($N$68,"_",M81),選手名簿!$A:$E,5,FALSE))=TRUE,"",VLOOKUP(CONCATENATE($N$68,"_",M81),選手名簿!$A:$E,5,FALSE))</f>
        <v/>
      </c>
      <c r="T81" s="236" t="s">
        <v>343</v>
      </c>
      <c r="U81" s="237" t="str">
        <f>IF(ISERROR(VLOOKUP(CONCATENATE($U$68,"_",V81),選手名簿!$A:$E,5,FALSE))=TRUE,"",VLOOKUP(CONCATENATE($U$68,"_",V81),選手名簿!$A:$E,5,FALSE))</f>
        <v/>
      </c>
      <c r="V81" s="238"/>
      <c r="W81" s="238"/>
      <c r="X81" s="238"/>
      <c r="Y81" s="239"/>
      <c r="Z81" s="238"/>
      <c r="AA81" s="238"/>
      <c r="AB81" s="238"/>
      <c r="AC81" s="240" t="str">
        <f>IF(ISERROR(VLOOKUP(CONCATENATE($AC$68,"_",AB81),選手名簿!$A:$E,5,FALSE))=TRUE,"",VLOOKUP(CONCATENATE($AC$68,"_",AB81),選手名簿!$A:$E,5,FALSE))</f>
        <v/>
      </c>
    </row>
    <row r="82" spans="1:29" ht="20.25" customHeight="1" x14ac:dyDescent="0.15">
      <c r="A82" s="241" t="s">
        <v>342</v>
      </c>
      <c r="B82" s="789"/>
      <c r="C82" s="789"/>
      <c r="D82" s="789"/>
      <c r="E82" s="231" t="s">
        <v>243</v>
      </c>
      <c r="F82" s="232" t="str">
        <f>IF(ISERROR(VLOOKUP(CONCATENATE($F$68,"_",G82),選手名簿!$A:$E,5,FALSE))=TRUE,"",VLOOKUP(CONCATENATE($F$68,"_",G82),選手名簿!$A:$E,5,FALSE))</f>
        <v/>
      </c>
      <c r="G82" s="233"/>
      <c r="H82" s="233"/>
      <c r="I82" s="233"/>
      <c r="J82" s="234"/>
      <c r="K82" s="233"/>
      <c r="L82" s="233"/>
      <c r="M82" s="233"/>
      <c r="N82" s="235" t="str">
        <f>IF(ISERROR(VLOOKUP(CONCATENATE($N$68,"_",M82),選手名簿!$A:$E,5,FALSE))=TRUE,"",VLOOKUP(CONCATENATE($N$68,"_",M82),選手名簿!$A:$E,5,FALSE))</f>
        <v/>
      </c>
      <c r="P82" s="241" t="s">
        <v>342</v>
      </c>
      <c r="Q82" s="786"/>
      <c r="R82" s="786"/>
      <c r="S82" s="786"/>
      <c r="T82" s="231" t="s">
        <v>243</v>
      </c>
      <c r="U82" s="232" t="str">
        <f>IF(ISERROR(VLOOKUP(CONCATENATE($U$68,"_",V82),選手名簿!$A:$E,5,FALSE))=TRUE,"",VLOOKUP(CONCATENATE($U$68,"_",V82),選手名簿!$A:$E,5,FALSE))</f>
        <v/>
      </c>
      <c r="V82" s="233"/>
      <c r="W82" s="233"/>
      <c r="X82" s="233"/>
      <c r="Y82" s="234"/>
      <c r="Z82" s="233"/>
      <c r="AA82" s="233"/>
      <c r="AB82" s="233"/>
      <c r="AC82" s="235" t="str">
        <f>IF(ISERROR(VLOOKUP(CONCATENATE($AC$68,"_",AB82),選手名簿!$A:$E,5,FALSE))=TRUE,"",VLOOKUP(CONCATENATE($AC$68,"_",AB82),選手名簿!$A:$E,5,FALSE))</f>
        <v/>
      </c>
    </row>
    <row r="83" spans="1:29" ht="20.25" customHeight="1" x14ac:dyDescent="0.15">
      <c r="A83" s="242" t="s">
        <v>344</v>
      </c>
      <c r="B83" s="790" t="str">
        <f>IF(ISERROR(VLOOKUP(B82,審判員!$A:$C,2,FALSE))=TRUE,"",VLOOKUP(B82,審判員!$A:$C,2,FALSE))</f>
        <v/>
      </c>
      <c r="C83" s="791"/>
      <c r="D83" s="242" t="str">
        <f>IF(ISERROR(VLOOKUP(B82,審判員!$A:$C,3,FALSE))=TRUE,"",VLOOKUP(B82,審判員!$A:$C,3,FALSE))</f>
        <v/>
      </c>
      <c r="E83" s="244" t="s">
        <v>243</v>
      </c>
      <c r="F83" s="245" t="str">
        <f>IF(ISERROR(VLOOKUP(CONCATENATE($F$68,"_",G83),選手名簿!$A:$E,5,FALSE))=TRUE,"",VLOOKUP(CONCATENATE($F$68,"_",G83),選手名簿!$A:$E,5,FALSE))</f>
        <v/>
      </c>
      <c r="G83" s="246"/>
      <c r="H83" s="246"/>
      <c r="I83" s="246"/>
      <c r="J83" s="234"/>
      <c r="K83" s="246"/>
      <c r="L83" s="246"/>
      <c r="M83" s="246"/>
      <c r="N83" s="247" t="str">
        <f>IF(ISERROR(VLOOKUP(CONCATENATE($N$68,"_",M83),選手名簿!$A:$E,5,FALSE))=TRUE,"",VLOOKUP(CONCATENATE($N$68,"_",M83),選手名簿!$A:$E,5,FALSE))</f>
        <v/>
      </c>
      <c r="P83" s="242" t="s">
        <v>344</v>
      </c>
      <c r="Q83" s="790" t="str">
        <f>IF(ISERROR(VLOOKUP(Q82,審判員!$A:$C,2,FALSE))=TRUE,"",VLOOKUP(Q82,審判員!$A:$C,2,FALSE))</f>
        <v/>
      </c>
      <c r="R83" s="791"/>
      <c r="S83" s="242" t="str">
        <f>IF(ISERROR(VLOOKUP(Q82,審判員!$A:$C,3,FALSE))=TRUE,"",VLOOKUP(Q82,審判員!$A:$C,3,FALSE))</f>
        <v/>
      </c>
      <c r="T83" s="244" t="s">
        <v>243</v>
      </c>
      <c r="U83" s="245" t="str">
        <f>IF(ISERROR(VLOOKUP(CONCATENATE($U$68,"_",V83),選手名簿!$A:$E,5,FALSE))=TRUE,"",VLOOKUP(CONCATENATE($U$68,"_",V83),選手名簿!$A:$E,5,FALSE))</f>
        <v/>
      </c>
      <c r="V83" s="246"/>
      <c r="W83" s="246"/>
      <c r="X83" s="246"/>
      <c r="Y83" s="234"/>
      <c r="Z83" s="246"/>
      <c r="AA83" s="246"/>
      <c r="AB83" s="246"/>
      <c r="AC83" s="247" t="str">
        <f>IF(ISERROR(VLOOKUP(CONCATENATE($AC$68,"_",AB83),選手名簿!$A:$E,5,FALSE))=TRUE,"",VLOOKUP(CONCATENATE($AC$68,"_",AB83),選手名簿!$A:$E,5,FALSE))</f>
        <v/>
      </c>
    </row>
    <row r="84" spans="1:29" ht="20.25" customHeight="1" x14ac:dyDescent="0.15">
      <c r="A84" s="430" t="s">
        <v>342</v>
      </c>
      <c r="B84" s="792"/>
      <c r="C84" s="792"/>
      <c r="D84" s="793"/>
      <c r="E84" s="244" t="s">
        <v>243</v>
      </c>
      <c r="F84" s="245" t="str">
        <f>IF(ISERROR(VLOOKUP(CONCATENATE($F$68,"_",G84),選手名簿!$A:$E,5,FALSE))=TRUE,"",VLOOKUP(CONCATENATE($F$68,"_",G84),選手名簿!$A:$E,5,FALSE))</f>
        <v/>
      </c>
      <c r="G84" s="246"/>
      <c r="H84" s="246"/>
      <c r="I84" s="246"/>
      <c r="J84" s="234"/>
      <c r="K84" s="246"/>
      <c r="L84" s="246"/>
      <c r="M84" s="246"/>
      <c r="N84" s="247" t="str">
        <f>IF(ISERROR(VLOOKUP(CONCATENATE($N$68,"_",M84),選手名簿!$A:$E,5,FALSE))=TRUE,"",VLOOKUP(CONCATENATE($N$68,"_",M84),選手名簿!$A:$E,5,FALSE))</f>
        <v/>
      </c>
      <c r="P84" s="430" t="s">
        <v>342</v>
      </c>
      <c r="Q84" s="792"/>
      <c r="R84" s="792"/>
      <c r="S84" s="793"/>
      <c r="T84" s="244" t="s">
        <v>243</v>
      </c>
      <c r="U84" s="245" t="str">
        <f>IF(ISERROR(VLOOKUP(CONCATENATE($U$68,"_",V84),選手名簿!$A:$E,5,FALSE))=TRUE,"",VLOOKUP(CONCATENATE($U$68,"_",V84),選手名簿!$A:$E,5,FALSE))</f>
        <v/>
      </c>
      <c r="V84" s="246"/>
      <c r="W84" s="246"/>
      <c r="X84" s="246"/>
      <c r="Y84" s="234"/>
      <c r="Z84" s="246"/>
      <c r="AA84" s="246"/>
      <c r="AB84" s="246"/>
      <c r="AC84" s="247" t="str">
        <f>IF(ISERROR(VLOOKUP(CONCATENATE($AC$68,"_",AB84),選手名簿!$A:$E,5,FALSE))=TRUE,"",VLOOKUP(CONCATENATE($AC$68,"_",AB84),選手名簿!$A:$E,5,FALSE))</f>
        <v/>
      </c>
    </row>
    <row r="85" spans="1:29" ht="20.25" customHeight="1" x14ac:dyDescent="0.15">
      <c r="A85" s="430" t="s">
        <v>345</v>
      </c>
      <c r="B85" s="796" t="str">
        <f>IF(ISERROR(VLOOKUP(B84,審判員!$A:$C,2,FALSE))=TRUE,"",VLOOKUP(B84,審判員!$A:$C,2,FALSE))</f>
        <v/>
      </c>
      <c r="C85" s="797"/>
      <c r="D85" s="430" t="str">
        <f>IF(ISERROR(VLOOKUP(B84,審判員!$A:$C,3,FALSE))=TRUE,"",VLOOKUP(B84,審判員!$A:$C,3,FALSE))</f>
        <v/>
      </c>
      <c r="E85" s="244" t="s">
        <v>243</v>
      </c>
      <c r="F85" s="245" t="str">
        <f>IF(ISERROR(VLOOKUP(CONCATENATE($F$68,"_",G85),選手名簿!$A:$E,5,FALSE))=TRUE,"",VLOOKUP(CONCATENATE($F$68,"_",G85),選手名簿!$A:$E,5,FALSE))</f>
        <v/>
      </c>
      <c r="G85" s="246"/>
      <c r="H85" s="246"/>
      <c r="I85" s="246"/>
      <c r="J85" s="234"/>
      <c r="K85" s="246"/>
      <c r="L85" s="246"/>
      <c r="M85" s="246"/>
      <c r="N85" s="247" t="str">
        <f>IF(ISERROR(VLOOKUP(CONCATENATE($N$68,"_",M85),選手名簿!$A:$E,5,FALSE))=TRUE,"",VLOOKUP(CONCATENATE($N$68,"_",M85),選手名簿!$A:$E,5,FALSE))</f>
        <v/>
      </c>
      <c r="P85" s="430" t="s">
        <v>345</v>
      </c>
      <c r="Q85" s="796" t="str">
        <f>IF(ISERROR(VLOOKUP(Q84,審判員!$A:$C,2,FALSE))=TRUE,"",VLOOKUP(Q84,審判員!$A:$C,2,FALSE))</f>
        <v/>
      </c>
      <c r="R85" s="797"/>
      <c r="S85" s="430" t="str">
        <f>IF(ISERROR(VLOOKUP(Q84,審判員!$A:$C,3,FALSE))=TRUE,"",VLOOKUP(Q84,審判員!$A:$C,3,FALSE))</f>
        <v/>
      </c>
      <c r="T85" s="244" t="s">
        <v>243</v>
      </c>
      <c r="U85" s="245" t="str">
        <f>IF(ISERROR(VLOOKUP(CONCATENATE($U$68,"_",V85),選手名簿!$A:$E,5,FALSE))=TRUE,"",VLOOKUP(CONCATENATE($U$68,"_",V85),選手名簿!$A:$E,5,FALSE))</f>
        <v/>
      </c>
      <c r="V85" s="246"/>
      <c r="W85" s="246"/>
      <c r="X85" s="246"/>
      <c r="Y85" s="234"/>
      <c r="Z85" s="246"/>
      <c r="AA85" s="246"/>
      <c r="AB85" s="246"/>
      <c r="AC85" s="247" t="str">
        <f>IF(ISERROR(VLOOKUP(CONCATENATE($AC$68,"_",AB85),選手名簿!$A:$E,5,FALSE))=TRUE,"",VLOOKUP(CONCATENATE($AC$68,"_",AB85),選手名簿!$A:$E,5,FALSE))</f>
        <v/>
      </c>
    </row>
    <row r="86" spans="1:29" ht="20.25" customHeight="1" x14ac:dyDescent="0.15">
      <c r="A86" s="430" t="s">
        <v>342</v>
      </c>
      <c r="B86" s="792"/>
      <c r="C86" s="792"/>
      <c r="D86" s="793"/>
      <c r="E86" s="244" t="s">
        <v>243</v>
      </c>
      <c r="F86" s="245" t="str">
        <f>IF(ISERROR(VLOOKUP(CONCATENATE($F$68,"_",G86),選手名簿!$A:$E,5,FALSE))=TRUE,"",VLOOKUP(CONCATENATE($F$68,"_",G86),選手名簿!$A:$E,5,FALSE))</f>
        <v/>
      </c>
      <c r="G86" s="246"/>
      <c r="H86" s="246"/>
      <c r="I86" s="246"/>
      <c r="J86" s="234"/>
      <c r="K86" s="246"/>
      <c r="L86" s="246"/>
      <c r="M86" s="246"/>
      <c r="N86" s="247" t="str">
        <f>IF(ISERROR(VLOOKUP(CONCATENATE($N$68,"_",M86),選手名簿!$A:$E,5,FALSE))=TRUE,"",VLOOKUP(CONCATENATE($N$68,"_",M86),選手名簿!$A:$E,5,FALSE))</f>
        <v/>
      </c>
      <c r="P86" s="430" t="s">
        <v>342</v>
      </c>
      <c r="Q86" s="792"/>
      <c r="R86" s="792"/>
      <c r="S86" s="793"/>
      <c r="T86" s="244" t="s">
        <v>243</v>
      </c>
      <c r="U86" s="245" t="str">
        <f>IF(ISERROR(VLOOKUP(CONCATENATE($U$68,"_",V86),選手名簿!$A:$E,5,FALSE))=TRUE,"",VLOOKUP(CONCATENATE($U$68,"_",V86),選手名簿!$A:$E,5,FALSE))</f>
        <v/>
      </c>
      <c r="V86" s="246"/>
      <c r="W86" s="246"/>
      <c r="X86" s="246"/>
      <c r="Y86" s="234"/>
      <c r="Z86" s="246"/>
      <c r="AA86" s="246"/>
      <c r="AB86" s="246"/>
      <c r="AC86" s="247" t="str">
        <f>IF(ISERROR(VLOOKUP(CONCATENATE($AC$68,"_",AB86),選手名簿!$A:$E,5,FALSE))=TRUE,"",VLOOKUP(CONCATENATE($AC$68,"_",AB86),選手名簿!$A:$E,5,FALSE))</f>
        <v/>
      </c>
    </row>
    <row r="87" spans="1:29" ht="20.25" customHeight="1" x14ac:dyDescent="0.15">
      <c r="A87" s="430" t="s">
        <v>346</v>
      </c>
      <c r="B87" s="796" t="str">
        <f>IF(ISERROR(VLOOKUP(B86,審判員!$A:$C,2,FALSE))=TRUE,"",VLOOKUP(B86,審判員!$A:$C,2,FALSE))</f>
        <v/>
      </c>
      <c r="C87" s="797"/>
      <c r="D87" s="430" t="str">
        <f>IF(ISERROR(VLOOKUP(B86,審判員!$A:$C,3,FALSE))=TRUE,"",VLOOKUP(B86,審判員!$A:$C,3,FALSE))</f>
        <v/>
      </c>
      <c r="E87" s="244" t="s">
        <v>243</v>
      </c>
      <c r="F87" s="245" t="str">
        <f>IF(ISERROR(VLOOKUP(CONCATENATE($F$68,"_",G87),選手名簿!$A:$E,5,FALSE))=TRUE,"",VLOOKUP(CONCATENATE($F$68,"_",G87),選手名簿!$A:$E,5,FALSE))</f>
        <v/>
      </c>
      <c r="G87" s="246"/>
      <c r="H87" s="246"/>
      <c r="I87" s="246"/>
      <c r="J87" s="234"/>
      <c r="K87" s="246"/>
      <c r="L87" s="246"/>
      <c r="M87" s="246"/>
      <c r="N87" s="247" t="str">
        <f>IF(ISERROR(VLOOKUP(CONCATENATE($N$68,"_",M87),選手名簿!$A:$E,5,FALSE))=TRUE,"",VLOOKUP(CONCATENATE($N$68,"_",M87),選手名簿!$A:$E,5,FALSE))</f>
        <v/>
      </c>
      <c r="P87" s="430" t="s">
        <v>346</v>
      </c>
      <c r="Q87" s="796" t="str">
        <f>IF(ISERROR(VLOOKUP(Q86,審判員!$A:$C,2,FALSE))=TRUE,"",VLOOKUP(Q86,審判員!$A:$C,2,FALSE))</f>
        <v/>
      </c>
      <c r="R87" s="797"/>
      <c r="S87" s="430" t="str">
        <f>IF(ISERROR(VLOOKUP(Q86,審判員!$A:$C,3,FALSE))=TRUE,"",VLOOKUP(Q86,審判員!$A:$C,3,FALSE))</f>
        <v/>
      </c>
      <c r="T87" s="244" t="s">
        <v>243</v>
      </c>
      <c r="U87" s="245" t="str">
        <f>IF(ISERROR(VLOOKUP(CONCATENATE($U$68,"_",V87),選手名簿!$A:$E,5,FALSE))=TRUE,"",VLOOKUP(CONCATENATE($U$68,"_",V87),選手名簿!$A:$E,5,FALSE))</f>
        <v/>
      </c>
      <c r="V87" s="246"/>
      <c r="W87" s="246"/>
      <c r="X87" s="246"/>
      <c r="Y87" s="234"/>
      <c r="Z87" s="246"/>
      <c r="AA87" s="246"/>
      <c r="AB87" s="246"/>
      <c r="AC87" s="247" t="str">
        <f>IF(ISERROR(VLOOKUP(CONCATENATE($AC$68,"_",AB87),選手名簿!$A:$E,5,FALSE))=TRUE,"",VLOOKUP(CONCATENATE($AC$68,"_",AB87),選手名簿!$A:$E,5,FALSE))</f>
        <v/>
      </c>
    </row>
    <row r="88" spans="1:29" ht="20.25" customHeight="1" x14ac:dyDescent="0.15">
      <c r="A88" s="241" t="s">
        <v>342</v>
      </c>
      <c r="B88" s="786"/>
      <c r="C88" s="786"/>
      <c r="D88" s="786"/>
      <c r="E88" s="244" t="s">
        <v>243</v>
      </c>
      <c r="F88" s="245" t="str">
        <f>IF(ISERROR(VLOOKUP(CONCATENATE($F$68,"_",G88),選手名簿!$A:$E,5,FALSE))=TRUE,"",VLOOKUP(CONCATENATE($F$68,"_",G88),選手名簿!$A:$E,5,FALSE))</f>
        <v/>
      </c>
      <c r="G88" s="246"/>
      <c r="H88" s="246"/>
      <c r="I88" s="246"/>
      <c r="J88" s="234"/>
      <c r="K88" s="246"/>
      <c r="L88" s="246"/>
      <c r="M88" s="246"/>
      <c r="N88" s="247" t="str">
        <f>IF(ISERROR(VLOOKUP(CONCATENATE($N$68,"_",M88),選手名簿!$A:$E,5,FALSE))=TRUE,"",VLOOKUP(CONCATENATE($N$68,"_",M88),選手名簿!$A:$E,5,FALSE))</f>
        <v/>
      </c>
      <c r="P88" s="241" t="s">
        <v>342</v>
      </c>
      <c r="Q88" s="789"/>
      <c r="R88" s="789"/>
      <c r="S88" s="789"/>
      <c r="T88" s="244" t="s">
        <v>243</v>
      </c>
      <c r="U88" s="245" t="str">
        <f>IF(ISERROR(VLOOKUP(CONCATENATE($U$68,"_",V88),選手名簿!$A:$E,5,FALSE))=TRUE,"",VLOOKUP(CONCATENATE($U$68,"_",V88),選手名簿!$A:$E,5,FALSE))</f>
        <v/>
      </c>
      <c r="V88" s="246"/>
      <c r="W88" s="246"/>
      <c r="X88" s="246"/>
      <c r="Y88" s="234"/>
      <c r="Z88" s="246"/>
      <c r="AA88" s="246"/>
      <c r="AB88" s="246"/>
      <c r="AC88" s="247" t="str">
        <f>IF(ISERROR(VLOOKUP(CONCATENATE($AC$68,"_",AB88),選手名簿!$A:$E,5,FALSE))=TRUE,"",VLOOKUP(CONCATENATE($AC$68,"_",AB88),選手名簿!$A:$E,5,FALSE))</f>
        <v/>
      </c>
    </row>
    <row r="89" spans="1:29" ht="20.25" customHeight="1" x14ac:dyDescent="0.15">
      <c r="A89" s="242" t="s">
        <v>347</v>
      </c>
      <c r="B89" s="790" t="str">
        <f>IF(ISERROR(VLOOKUP(B88,審判員!$A:$C,2,FALSE))=TRUE,"",VLOOKUP(B88,審判員!$A:$C,2,FALSE))</f>
        <v/>
      </c>
      <c r="C89" s="791"/>
      <c r="D89" s="242" t="str">
        <f>IF(ISERROR(VLOOKUP(B88,審判員!$A:$C,3,FALSE))=TRUE,"",VLOOKUP(B88,審判員!$A:$C,3,FALSE))</f>
        <v/>
      </c>
      <c r="E89" s="248" t="s">
        <v>243</v>
      </c>
      <c r="F89" s="249" t="str">
        <f>IF(ISERROR(VLOOKUP(CONCATENATE($F$68,"_",G89),選手名簿!$A:$E,5,FALSE))=TRUE,"",VLOOKUP(CONCATENATE($F$68,"_",G89),選手名簿!$A:$E,5,FALSE))</f>
        <v/>
      </c>
      <c r="G89" s="250"/>
      <c r="H89" s="250"/>
      <c r="I89" s="250"/>
      <c r="J89" s="239"/>
      <c r="K89" s="250"/>
      <c r="L89" s="250"/>
      <c r="M89" s="250"/>
      <c r="N89" s="251" t="str">
        <f>IF(ISERROR(VLOOKUP(CONCATENATE($N$68,"_",M89),選手名簿!$A:$E,5,FALSE))=TRUE,"",VLOOKUP(CONCATENATE($N$68,"_",M89),選手名簿!$A:$E,5,FALSE))</f>
        <v/>
      </c>
      <c r="P89" s="242" t="s">
        <v>347</v>
      </c>
      <c r="Q89" s="790" t="str">
        <f>IF(ISERROR(VLOOKUP(Q88,審判員!$A:$C,2,FALSE))=TRUE,"",VLOOKUP(Q88,審判員!$A:$C,2,FALSE))</f>
        <v/>
      </c>
      <c r="R89" s="791"/>
      <c r="S89" s="242" t="str">
        <f>IF(ISERROR(VLOOKUP(Q88,審判員!$A:$C,3,FALSE))=TRUE,"",VLOOKUP(Q88,審判員!$A:$C,3,FALSE))</f>
        <v/>
      </c>
      <c r="T89" s="248" t="s">
        <v>243</v>
      </c>
      <c r="U89" s="249" t="str">
        <f>IF(ISERROR(VLOOKUP(CONCATENATE($U$68,"_",V89),選手名簿!$A:$E,5,FALSE))=TRUE,"",VLOOKUP(CONCATENATE($U$68,"_",V89),選手名簿!$A:$E,5,FALSE))</f>
        <v/>
      </c>
      <c r="V89" s="250"/>
      <c r="W89" s="250"/>
      <c r="X89" s="250"/>
      <c r="Y89" s="239"/>
      <c r="Z89" s="250"/>
      <c r="AA89" s="250"/>
      <c r="AB89" s="250"/>
      <c r="AC89" s="251" t="str">
        <f>IF(ISERROR(VLOOKUP(CONCATENATE($AC$68,"_",AB89),選手名簿!$A:$E,5,FALSE))=TRUE,"",VLOOKUP(CONCATENATE($AC$68,"_",AB89),選手名簿!$A:$E,5,FALSE))</f>
        <v/>
      </c>
    </row>
  </sheetData>
  <mergeCells count="130">
    <mergeCell ref="B86:D86"/>
    <mergeCell ref="Q86:S86"/>
    <mergeCell ref="B87:C87"/>
    <mergeCell ref="Q87:R87"/>
    <mergeCell ref="B88:D88"/>
    <mergeCell ref="Q88:S88"/>
    <mergeCell ref="B89:C89"/>
    <mergeCell ref="Q89:R89"/>
    <mergeCell ref="A71:D71"/>
    <mergeCell ref="P71:S71"/>
    <mergeCell ref="B82:D82"/>
    <mergeCell ref="Q82:S82"/>
    <mergeCell ref="B83:C83"/>
    <mergeCell ref="Q83:R83"/>
    <mergeCell ref="B84:D84"/>
    <mergeCell ref="Q84:S84"/>
    <mergeCell ref="B85:C85"/>
    <mergeCell ref="Q85:R85"/>
    <mergeCell ref="T68:T70"/>
    <mergeCell ref="U68:U70"/>
    <mergeCell ref="V68:V70"/>
    <mergeCell ref="W68:W70"/>
    <mergeCell ref="AA68:AA70"/>
    <mergeCell ref="AB68:AB70"/>
    <mergeCell ref="AC68:AC70"/>
    <mergeCell ref="B69:D69"/>
    <mergeCell ref="Q69:S69"/>
    <mergeCell ref="B70:D70"/>
    <mergeCell ref="Q70:S70"/>
    <mergeCell ref="B57:D57"/>
    <mergeCell ref="Q57:S57"/>
    <mergeCell ref="B58:C58"/>
    <mergeCell ref="Q58:R58"/>
    <mergeCell ref="B59:D59"/>
    <mergeCell ref="Q59:S59"/>
    <mergeCell ref="B60:C60"/>
    <mergeCell ref="Q60:R60"/>
    <mergeCell ref="B68:D68"/>
    <mergeCell ref="E68:E70"/>
    <mergeCell ref="F68:F70"/>
    <mergeCell ref="G68:G70"/>
    <mergeCell ref="H68:H70"/>
    <mergeCell ref="L68:L70"/>
    <mergeCell ref="M68:M70"/>
    <mergeCell ref="N68:N70"/>
    <mergeCell ref="Q68:S68"/>
    <mergeCell ref="A42:D42"/>
    <mergeCell ref="P42:S42"/>
    <mergeCell ref="B53:D53"/>
    <mergeCell ref="Q53:S53"/>
    <mergeCell ref="B54:C54"/>
    <mergeCell ref="Q54:R54"/>
    <mergeCell ref="B55:D55"/>
    <mergeCell ref="Q55:S55"/>
    <mergeCell ref="B56:C56"/>
    <mergeCell ref="Q56:R56"/>
    <mergeCell ref="T39:T41"/>
    <mergeCell ref="U39:U41"/>
    <mergeCell ref="V39:V41"/>
    <mergeCell ref="W39:W41"/>
    <mergeCell ref="AA39:AA41"/>
    <mergeCell ref="AB39:AB41"/>
    <mergeCell ref="AC39:AC41"/>
    <mergeCell ref="B40:D40"/>
    <mergeCell ref="Q40:S40"/>
    <mergeCell ref="B41:D41"/>
    <mergeCell ref="Q41:S41"/>
    <mergeCell ref="B28:D28"/>
    <mergeCell ref="Q28:S28"/>
    <mergeCell ref="B29:C29"/>
    <mergeCell ref="Q29:R29"/>
    <mergeCell ref="B30:D30"/>
    <mergeCell ref="Q30:S30"/>
    <mergeCell ref="B31:C31"/>
    <mergeCell ref="Q31:R31"/>
    <mergeCell ref="B39:D39"/>
    <mergeCell ref="E39:E41"/>
    <mergeCell ref="F39:F41"/>
    <mergeCell ref="G39:G41"/>
    <mergeCell ref="H39:H41"/>
    <mergeCell ref="L39:L41"/>
    <mergeCell ref="M39:M41"/>
    <mergeCell ref="N39:N41"/>
    <mergeCell ref="Q39:S39"/>
    <mergeCell ref="A13:D13"/>
    <mergeCell ref="P13:S13"/>
    <mergeCell ref="B24:D24"/>
    <mergeCell ref="Q24:S24"/>
    <mergeCell ref="B25:C25"/>
    <mergeCell ref="Q25:R25"/>
    <mergeCell ref="B26:D26"/>
    <mergeCell ref="Q26:S26"/>
    <mergeCell ref="B27:C27"/>
    <mergeCell ref="Q27:R27"/>
    <mergeCell ref="F7:L7"/>
    <mergeCell ref="M7:N7"/>
    <mergeCell ref="U7:AA7"/>
    <mergeCell ref="AB7:AC7"/>
    <mergeCell ref="B10:D10"/>
    <mergeCell ref="E10:E12"/>
    <mergeCell ref="F10:F12"/>
    <mergeCell ref="G10:G12"/>
    <mergeCell ref="H10:H12"/>
    <mergeCell ref="L10:L12"/>
    <mergeCell ref="M10:M12"/>
    <mergeCell ref="N10:N12"/>
    <mergeCell ref="Q10:S10"/>
    <mergeCell ref="T10:T12"/>
    <mergeCell ref="U10:U12"/>
    <mergeCell ref="V10:V12"/>
    <mergeCell ref="W10:W12"/>
    <mergeCell ref="AA10:AA12"/>
    <mergeCell ref="AB10:AB12"/>
    <mergeCell ref="AC10:AC12"/>
    <mergeCell ref="B11:D11"/>
    <mergeCell ref="Q11:S11"/>
    <mergeCell ref="B12:D12"/>
    <mergeCell ref="Q12:S12"/>
    <mergeCell ref="A1:J1"/>
    <mergeCell ref="K1:N1"/>
    <mergeCell ref="P1:Y1"/>
    <mergeCell ref="Z1:AC1"/>
    <mergeCell ref="F5:L5"/>
    <mergeCell ref="M5:N5"/>
    <mergeCell ref="U5:AA5"/>
    <mergeCell ref="AB5:AC5"/>
    <mergeCell ref="F6:L6"/>
    <mergeCell ref="M6:N6"/>
    <mergeCell ref="U6:AA6"/>
    <mergeCell ref="AB6:AC6"/>
  </mergeCells>
  <phoneticPr fontId="77"/>
  <pageMargins left="0" right="0" top="0" bottom="0" header="0.51181102362204722" footer="0.51181102362204722"/>
  <pageSetup paperSize="9" orientation="landscape"/>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0000000}">
          <x14:formula1>
            <xm:f>項目!$G$1:$G$33</xm:f>
          </x14:formula1>
          <xm:sqref>Q10:S12 B68:D70 Q68:S70 Q39:S41 B39:D41 B10:D12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3">
    <pageSetUpPr fitToPage="1"/>
  </sheetPr>
  <dimension ref="A1:AF89"/>
  <sheetViews>
    <sheetView zoomScale="70" workbookViewId="0">
      <selection activeCell="A2" sqref="A2"/>
    </sheetView>
  </sheetViews>
  <sheetFormatPr defaultColWidth="9" defaultRowHeight="20.25" customHeight="1" x14ac:dyDescent="0.15"/>
  <cols>
    <col min="1" max="1" width="12.125" style="214" customWidth="1"/>
    <col min="2" max="2" width="11.875" style="214" bestFit="1" customWidth="1"/>
    <col min="3" max="3" width="3.125" style="214" customWidth="1"/>
    <col min="4" max="4" width="6.75" style="214" bestFit="1" customWidth="1"/>
    <col min="5" max="5" width="10.125" style="214" bestFit="1" customWidth="1"/>
    <col min="6" max="6" width="20.625" style="214" customWidth="1"/>
    <col min="7" max="7" width="7.625" style="214" customWidth="1"/>
    <col min="8" max="9" width="4.875" style="214" customWidth="1"/>
    <col min="10" max="10" width="5.25" style="214" customWidth="1"/>
    <col min="11" max="12" width="4.875" style="214" customWidth="1"/>
    <col min="13" max="13" width="7.625" style="214" customWidth="1"/>
    <col min="14" max="14" width="20.625" style="214" customWidth="1"/>
    <col min="15" max="15" width="5" style="214" bestFit="1" customWidth="1"/>
    <col min="16" max="16" width="12.125" style="214" customWidth="1"/>
    <col min="17" max="17" width="11.875" style="214" bestFit="1" customWidth="1"/>
    <col min="18" max="18" width="3.125" style="214" customWidth="1"/>
    <col min="19" max="19" width="6.75" style="214" bestFit="1" customWidth="1"/>
    <col min="20" max="20" width="10.125" style="214" bestFit="1" customWidth="1"/>
    <col min="21" max="21" width="20.625" style="214" customWidth="1"/>
    <col min="22" max="22" width="7.625" style="214" customWidth="1"/>
    <col min="23" max="24" width="4.875" style="214" customWidth="1"/>
    <col min="25" max="25" width="5.25" style="214" customWidth="1"/>
    <col min="26" max="27" width="4.875" style="214" customWidth="1"/>
    <col min="28" max="28" width="7.625" style="214" customWidth="1"/>
    <col min="29" max="29" width="20.625" style="214" customWidth="1"/>
    <col min="30" max="16384" width="9" style="214"/>
  </cols>
  <sheetData>
    <row r="1" spans="1:29" s="215" customFormat="1" ht="20.25" customHeight="1" x14ac:dyDescent="0.15">
      <c r="A1" s="761" t="str">
        <f>大会要項!$B$3</f>
        <v>第15回 全日本不動産協会杯争奪U-12サッカー大会【ラビットカップ】大分県大会</v>
      </c>
      <c r="B1" s="761"/>
      <c r="C1" s="761"/>
      <c r="D1" s="761"/>
      <c r="E1" s="761"/>
      <c r="F1" s="761"/>
      <c r="G1" s="761"/>
      <c r="H1" s="761"/>
      <c r="I1" s="761"/>
      <c r="J1" s="761"/>
      <c r="K1" s="761" t="s">
        <v>333</v>
      </c>
      <c r="L1" s="761"/>
      <c r="M1" s="761"/>
      <c r="N1" s="761"/>
      <c r="O1" s="216"/>
      <c r="P1" s="761" t="str">
        <f>大会要項!$B$3</f>
        <v>第15回 全日本不動産協会杯争奪U-12サッカー大会【ラビットカップ】大分県大会</v>
      </c>
      <c r="Q1" s="761"/>
      <c r="R1" s="761"/>
      <c r="S1" s="761"/>
      <c r="T1" s="761"/>
      <c r="U1" s="761"/>
      <c r="V1" s="761"/>
      <c r="W1" s="761"/>
      <c r="X1" s="761"/>
      <c r="Y1" s="761"/>
      <c r="Z1" s="761" t="s">
        <v>333</v>
      </c>
      <c r="AA1" s="761"/>
      <c r="AB1" s="761"/>
      <c r="AC1" s="761"/>
    </row>
    <row r="2" spans="1:29" ht="20.25" customHeight="1" x14ac:dyDescent="0.15">
      <c r="P2" s="217"/>
      <c r="Q2" s="217"/>
      <c r="R2" s="217"/>
      <c r="S2" s="217"/>
      <c r="T2" s="217"/>
      <c r="U2" s="217"/>
      <c r="V2" s="217"/>
      <c r="W2" s="217"/>
      <c r="X2" s="217"/>
      <c r="Y2" s="217"/>
      <c r="Z2" s="217"/>
      <c r="AA2" s="217"/>
      <c r="AB2" s="217"/>
      <c r="AC2" s="217"/>
    </row>
    <row r="3" spans="1:29" ht="20.25" customHeight="1" x14ac:dyDescent="0.15">
      <c r="A3" s="214" t="s">
        <v>36</v>
      </c>
      <c r="B3" s="218" t="str">
        <f>予選リーグ!C14</f>
        <v>クラサス サッカー・ラグビー場　サブA</v>
      </c>
      <c r="C3" s="218"/>
      <c r="D3" s="218"/>
      <c r="E3" s="218"/>
      <c r="G3" s="218" t="str">
        <f>予選リーグ!F15</f>
        <v>「B」コート</v>
      </c>
      <c r="H3" s="218"/>
      <c r="I3" s="218"/>
      <c r="J3" s="218"/>
      <c r="K3" s="218"/>
      <c r="L3" s="218"/>
      <c r="P3" s="214" t="s">
        <v>36</v>
      </c>
      <c r="Q3" s="218" t="str">
        <f>予選リーグ!C14</f>
        <v>クラサス サッカー・ラグビー場　サブA</v>
      </c>
      <c r="R3" s="218"/>
      <c r="S3" s="218"/>
      <c r="T3" s="218"/>
      <c r="V3" s="253" t="str">
        <f>予選リーグ!F15</f>
        <v>「B」コート</v>
      </c>
      <c r="W3" s="219"/>
      <c r="X3" s="219"/>
      <c r="Y3" s="219"/>
      <c r="Z3" s="219"/>
      <c r="AA3" s="219"/>
      <c r="AB3" s="219"/>
      <c r="AC3" s="219"/>
    </row>
    <row r="4" spans="1:29" ht="20.25" customHeight="1" x14ac:dyDescent="0.15">
      <c r="P4" s="217"/>
      <c r="Q4" s="217"/>
      <c r="R4" s="217"/>
      <c r="S4" s="217"/>
      <c r="T4" s="217"/>
      <c r="U4" s="217"/>
      <c r="V4" s="217"/>
      <c r="W4" s="217"/>
      <c r="X4" s="217"/>
      <c r="Y4" s="217"/>
      <c r="Z4" s="217"/>
      <c r="AA4" s="217"/>
      <c r="AB4" s="217"/>
      <c r="AC4" s="217"/>
    </row>
    <row r="5" spans="1:29" ht="20.25" customHeight="1" x14ac:dyDescent="0.15">
      <c r="E5" s="220" t="s">
        <v>252</v>
      </c>
      <c r="F5" s="762" t="str">
        <f>VLOOKUP(E5,組合せ抽選用!$Q:$U,5,FALSE)</f>
        <v>ドリームキッズフットボールクラブＦ</v>
      </c>
      <c r="G5" s="762"/>
      <c r="H5" s="762"/>
      <c r="I5" s="762"/>
      <c r="J5" s="762"/>
      <c r="K5" s="762"/>
      <c r="L5" s="762"/>
      <c r="M5" s="762" t="str">
        <f>VLOOKUP(E5,組合せ抽選用!$Q:$V,6,FALSE)</f>
        <v>大分</v>
      </c>
      <c r="N5" s="763"/>
      <c r="R5" s="217"/>
      <c r="S5" s="217"/>
      <c r="T5" s="220" t="s">
        <v>261</v>
      </c>
      <c r="U5" s="762" t="str">
        <f>VLOOKUP(T5,組合せ抽選用!$Q:$U,5,FALSE)</f>
        <v>豊府サッカースポーツ少年団</v>
      </c>
      <c r="V5" s="762"/>
      <c r="W5" s="762"/>
      <c r="X5" s="762"/>
      <c r="Y5" s="762"/>
      <c r="Z5" s="762"/>
      <c r="AA5" s="762"/>
      <c r="AB5" s="762" t="str">
        <f>VLOOKUP(T5,組合せ抽選用!$Q:$V,6,FALSE)</f>
        <v>大分</v>
      </c>
      <c r="AC5" s="763"/>
    </row>
    <row r="6" spans="1:29" ht="20.25" customHeight="1" x14ac:dyDescent="0.15">
      <c r="E6" s="221" t="s">
        <v>253</v>
      </c>
      <c r="F6" s="764" t="str">
        <f>VLOOKUP(E6,組合せ抽選用!$Q:$U,5,FALSE)</f>
        <v>ドリームキッズフットボールクラブ</v>
      </c>
      <c r="G6" s="764"/>
      <c r="H6" s="764"/>
      <c r="I6" s="764"/>
      <c r="J6" s="764"/>
      <c r="K6" s="764"/>
      <c r="L6" s="764"/>
      <c r="M6" s="764" t="str">
        <f>VLOOKUP(E6,組合せ抽選用!$Q:$V,6,FALSE)</f>
        <v>大分</v>
      </c>
      <c r="N6" s="765"/>
      <c r="P6" s="217"/>
      <c r="Q6" s="217"/>
      <c r="R6" s="217"/>
      <c r="S6" s="217"/>
      <c r="T6" s="221" t="s">
        <v>262</v>
      </c>
      <c r="U6" s="764" t="str">
        <f>VLOOKUP(T6,組合せ抽選用!$Q:$U,5,FALSE)</f>
        <v>リノスフットボールクラブ　Ｕ－１２</v>
      </c>
      <c r="V6" s="764"/>
      <c r="W6" s="764"/>
      <c r="X6" s="764"/>
      <c r="Y6" s="764"/>
      <c r="Z6" s="764"/>
      <c r="AA6" s="764"/>
      <c r="AB6" s="764" t="str">
        <f>VLOOKUP(T6,組合せ抽選用!$Q:$V,6,FALSE)</f>
        <v>大分</v>
      </c>
      <c r="AC6" s="765"/>
    </row>
    <row r="7" spans="1:29" ht="20.25" customHeight="1" x14ac:dyDescent="0.15">
      <c r="E7" s="222" t="s">
        <v>256</v>
      </c>
      <c r="F7" s="766" t="str">
        <f>VLOOKUP(E7,組合せ抽選用!$Q:$U,5,FALSE)</f>
        <v>西の台ＪＦＣ</v>
      </c>
      <c r="G7" s="766"/>
      <c r="H7" s="766"/>
      <c r="I7" s="766"/>
      <c r="J7" s="766"/>
      <c r="K7" s="766"/>
      <c r="L7" s="766"/>
      <c r="M7" s="766" t="str">
        <f>VLOOKUP(E7,組合せ抽選用!$Q:$V,6,FALSE)</f>
        <v>大分</v>
      </c>
      <c r="N7" s="767"/>
      <c r="P7" s="217"/>
      <c r="Q7" s="217"/>
      <c r="R7" s="217"/>
      <c r="S7" s="217"/>
      <c r="T7" s="222" t="s">
        <v>267</v>
      </c>
      <c r="U7" s="766" t="str">
        <f>VLOOKUP(T7,組合せ抽選用!$Q:$U,5,FALSE)</f>
        <v>Ｓｈｙｎｔ　ＦＣ</v>
      </c>
      <c r="V7" s="766"/>
      <c r="W7" s="766"/>
      <c r="X7" s="766"/>
      <c r="Y7" s="766"/>
      <c r="Z7" s="766"/>
      <c r="AA7" s="766"/>
      <c r="AB7" s="766" t="str">
        <f>VLOOKUP(T7,組合せ抽選用!$Q:$V,6,FALSE)</f>
        <v>中津</v>
      </c>
      <c r="AC7" s="767"/>
    </row>
    <row r="8" spans="1:29" ht="20.25" customHeight="1" x14ac:dyDescent="0.15">
      <c r="P8" s="217"/>
      <c r="Q8" s="217"/>
      <c r="R8" s="217"/>
      <c r="S8" s="217"/>
      <c r="T8" s="217"/>
      <c r="U8" s="217"/>
      <c r="V8" s="217"/>
      <c r="W8" s="217"/>
      <c r="X8" s="217"/>
      <c r="Y8" s="217"/>
      <c r="Z8" s="217"/>
      <c r="AA8" s="217"/>
      <c r="AB8" s="217"/>
      <c r="AC8" s="217"/>
    </row>
    <row r="10" spans="1:29" ht="27.4" customHeight="1" x14ac:dyDescent="0.15">
      <c r="A10" s="223" t="s">
        <v>334</v>
      </c>
      <c r="B10" s="768"/>
      <c r="C10" s="769"/>
      <c r="D10" s="770"/>
      <c r="E10" s="771">
        <f>予選リーグ!B19</f>
        <v>0.4375</v>
      </c>
      <c r="F10" s="774" t="str">
        <f>F5</f>
        <v>ドリームキッズフットボールクラブＦ</v>
      </c>
      <c r="G10" s="777" t="str">
        <f>IF(I10="","",SUM(I10:I11))</f>
        <v/>
      </c>
      <c r="H10" s="780" t="s">
        <v>123</v>
      </c>
      <c r="I10" s="224"/>
      <c r="J10" s="224" t="s">
        <v>335</v>
      </c>
      <c r="K10" s="224"/>
      <c r="L10" s="780" t="s">
        <v>336</v>
      </c>
      <c r="M10" s="777" t="str">
        <f>IF(K10="","",SUM(K10:K11))</f>
        <v/>
      </c>
      <c r="N10" s="783" t="str">
        <f>F6</f>
        <v>ドリームキッズフットボールクラブ</v>
      </c>
      <c r="P10" s="223" t="s">
        <v>334</v>
      </c>
      <c r="Q10" s="768"/>
      <c r="R10" s="769"/>
      <c r="S10" s="770"/>
      <c r="T10" s="771">
        <f>予選リーグ!B21</f>
        <v>0.47222222222222227</v>
      </c>
      <c r="U10" s="774" t="str">
        <f>U5</f>
        <v>豊府サッカースポーツ少年団</v>
      </c>
      <c r="V10" s="777" t="str">
        <f>IF(X10="","",SUM(X10:X11))</f>
        <v/>
      </c>
      <c r="W10" s="780" t="s">
        <v>123</v>
      </c>
      <c r="X10" s="224"/>
      <c r="Y10" s="224" t="s">
        <v>335</v>
      </c>
      <c r="Z10" s="224"/>
      <c r="AA10" s="780" t="s">
        <v>336</v>
      </c>
      <c r="AB10" s="777" t="str">
        <f>IF(Z10="","",SUM(Z10:Z11))</f>
        <v/>
      </c>
      <c r="AC10" s="783" t="str">
        <f>U6</f>
        <v>リノスフットボールクラブ　Ｕ－１２</v>
      </c>
    </row>
    <row r="11" spans="1:29" ht="27.4" customHeight="1" x14ac:dyDescent="0.15">
      <c r="A11" s="225" t="s">
        <v>337</v>
      </c>
      <c r="B11" s="786" t="s">
        <v>313</v>
      </c>
      <c r="C11" s="786"/>
      <c r="D11" s="768"/>
      <c r="E11" s="772"/>
      <c r="F11" s="775"/>
      <c r="G11" s="778"/>
      <c r="H11" s="781"/>
      <c r="J11" s="214" t="s">
        <v>338</v>
      </c>
      <c r="L11" s="781"/>
      <c r="M11" s="778"/>
      <c r="N11" s="784"/>
      <c r="P11" s="225" t="s">
        <v>337</v>
      </c>
      <c r="Q11" s="786" t="s">
        <v>313</v>
      </c>
      <c r="R11" s="786"/>
      <c r="S11" s="768"/>
      <c r="T11" s="772"/>
      <c r="U11" s="775"/>
      <c r="V11" s="778"/>
      <c r="W11" s="781"/>
      <c r="Y11" s="214" t="s">
        <v>338</v>
      </c>
      <c r="AA11" s="781"/>
      <c r="AB11" s="778"/>
      <c r="AC11" s="784"/>
    </row>
    <row r="12" spans="1:29" ht="27.4" customHeight="1" x14ac:dyDescent="0.15">
      <c r="A12" s="225" t="s">
        <v>339</v>
      </c>
      <c r="B12" s="786"/>
      <c r="C12" s="786"/>
      <c r="D12" s="768"/>
      <c r="E12" s="773"/>
      <c r="F12" s="776"/>
      <c r="G12" s="779"/>
      <c r="H12" s="782"/>
      <c r="I12" s="226"/>
      <c r="J12" s="226" t="s">
        <v>340</v>
      </c>
      <c r="K12" s="226"/>
      <c r="L12" s="782"/>
      <c r="M12" s="779"/>
      <c r="N12" s="785"/>
      <c r="P12" s="225" t="s">
        <v>339</v>
      </c>
      <c r="Q12" s="786"/>
      <c r="R12" s="786"/>
      <c r="S12" s="768"/>
      <c r="T12" s="773"/>
      <c r="U12" s="776"/>
      <c r="V12" s="779"/>
      <c r="W12" s="782"/>
      <c r="X12" s="226"/>
      <c r="Y12" s="226" t="s">
        <v>340</v>
      </c>
      <c r="Z12" s="226"/>
      <c r="AA12" s="782"/>
      <c r="AB12" s="779"/>
      <c r="AC12" s="785"/>
    </row>
    <row r="13" spans="1:29" ht="20.25" customHeight="1" x14ac:dyDescent="0.15">
      <c r="A13" s="787" t="s">
        <v>341</v>
      </c>
      <c r="B13" s="787"/>
      <c r="C13" s="787"/>
      <c r="D13" s="787"/>
      <c r="E13" s="227"/>
      <c r="F13" s="228" t="s">
        <v>242</v>
      </c>
      <c r="G13" s="228" t="s">
        <v>342</v>
      </c>
      <c r="H13" s="228" t="s">
        <v>317</v>
      </c>
      <c r="I13" s="228"/>
      <c r="J13" s="229"/>
      <c r="K13" s="228"/>
      <c r="L13" s="228" t="s">
        <v>317</v>
      </c>
      <c r="M13" s="228" t="s">
        <v>342</v>
      </c>
      <c r="N13" s="230" t="s">
        <v>242</v>
      </c>
      <c r="P13" s="787" t="s">
        <v>341</v>
      </c>
      <c r="Q13" s="787"/>
      <c r="R13" s="787"/>
      <c r="S13" s="788"/>
      <c r="T13" s="227"/>
      <c r="U13" s="228" t="s">
        <v>242</v>
      </c>
      <c r="V13" s="228" t="s">
        <v>342</v>
      </c>
      <c r="W13" s="228" t="s">
        <v>317</v>
      </c>
      <c r="X13" s="228"/>
      <c r="Y13" s="229"/>
      <c r="Z13" s="228"/>
      <c r="AA13" s="228" t="s">
        <v>317</v>
      </c>
      <c r="AB13" s="228" t="s">
        <v>342</v>
      </c>
      <c r="AC13" s="230" t="s">
        <v>242</v>
      </c>
    </row>
    <row r="14" spans="1:29" ht="20.25" hidden="1" customHeight="1" x14ac:dyDescent="0.15">
      <c r="E14" s="231" t="s">
        <v>343</v>
      </c>
      <c r="F14" s="232" t="str">
        <f>IF(ISERROR(VLOOKUP(CONCATENATE($F$10,"_",G14),選手名簿!$A:$E,5,FALSE))=TRUE,"",VLOOKUP(CONCATENATE($F$10,"_",G14),選手名簿!$A:$E,5,FALSE))</f>
        <v/>
      </c>
      <c r="G14" s="233"/>
      <c r="H14" s="233"/>
      <c r="I14" s="233"/>
      <c r="J14" s="234"/>
      <c r="K14" s="233"/>
      <c r="L14" s="233"/>
      <c r="M14" s="233"/>
      <c r="N14" s="235" t="str">
        <f>IF(ISERROR(VLOOKUP(CONCATENATE($N$10,"_",M14),選手名簿!$A:$E,5,FALSE))=TRUE,"",VLOOKUP(CONCATENATE($N$10,"_",M14),選手名簿!$A:$E,5,FALSE))</f>
        <v/>
      </c>
      <c r="T14" s="231" t="s">
        <v>343</v>
      </c>
      <c r="U14" s="232" t="str">
        <f>IF(ISERROR(VLOOKUP(CONCATENATE($U$10,"_",V14),選手名簿!$A:$E,5,FALSE))=TRUE,"",VLOOKUP(CONCATENATE($U$10,"_",V14),選手名簿!$A:$E,5,FALSE))</f>
        <v/>
      </c>
      <c r="V14" s="233"/>
      <c r="W14" s="233"/>
      <c r="X14" s="233"/>
      <c r="Y14" s="234"/>
      <c r="Z14" s="233"/>
      <c r="AA14" s="233"/>
      <c r="AB14" s="233"/>
      <c r="AC14" s="235" t="str">
        <f>IF(ISERROR(VLOOKUP(CONCATENATE($AC$10,"_",AB14),選手名簿!$A:$E,5,FALSE))=TRUE,"",VLOOKUP(CONCATENATE($AC$10,"_",AB14),選手名簿!$A:$E,5,FALSE))</f>
        <v/>
      </c>
    </row>
    <row r="15" spans="1:29" ht="20.25" hidden="1" customHeight="1" x14ac:dyDescent="0.15">
      <c r="E15" s="231" t="s">
        <v>343</v>
      </c>
      <c r="F15" s="232" t="str">
        <f>IF(ISERROR(VLOOKUP(CONCATENATE($F$10,"_",G15),選手名簿!$A:$E,5,FALSE))=TRUE,"",VLOOKUP(CONCATENATE($F$10,"_",G15),選手名簿!$A:$E,5,FALSE))</f>
        <v/>
      </c>
      <c r="G15" s="233"/>
      <c r="H15" s="233"/>
      <c r="I15" s="233"/>
      <c r="J15" s="234"/>
      <c r="K15" s="233"/>
      <c r="L15" s="233"/>
      <c r="M15" s="233"/>
      <c r="N15" s="235" t="str">
        <f>IF(ISERROR(VLOOKUP(CONCATENATE($N$10,"_",M15),選手名簿!$A:$E,5,FALSE))=TRUE,"",VLOOKUP(CONCATENATE($N$10,"_",M15),選手名簿!$A:$E,5,FALSE))</f>
        <v/>
      </c>
      <c r="T15" s="231" t="s">
        <v>343</v>
      </c>
      <c r="U15" s="232" t="str">
        <f>IF(ISERROR(VLOOKUP(CONCATENATE($U$10,"_",V15),選手名簿!$A:$E,5,FALSE))=TRUE,"",VLOOKUP(CONCATENATE($U$10,"_",V15),選手名簿!$A:$E,5,FALSE))</f>
        <v/>
      </c>
      <c r="V15" s="233"/>
      <c r="W15" s="233"/>
      <c r="X15" s="233"/>
      <c r="Y15" s="234"/>
      <c r="Z15" s="233"/>
      <c r="AA15" s="233"/>
      <c r="AB15" s="233"/>
      <c r="AC15" s="235" t="str">
        <f>IF(ISERROR(VLOOKUP(CONCATENATE($AC$10,"_",AB15),選手名簿!$A:$E,5,FALSE))=TRUE,"",VLOOKUP(CONCATENATE($AC$10,"_",AB15),選手名簿!$A:$E,5,FALSE))</f>
        <v/>
      </c>
    </row>
    <row r="16" spans="1:29" ht="20.25" hidden="1" customHeight="1" x14ac:dyDescent="0.15">
      <c r="E16" s="231" t="s">
        <v>343</v>
      </c>
      <c r="F16" s="232" t="str">
        <f>IF(ISERROR(VLOOKUP(CONCATENATE($F$10,"_",G16),選手名簿!$A:$E,5,FALSE))=TRUE,"",VLOOKUP(CONCATENATE($F$10,"_",G16),選手名簿!$A:$E,5,FALSE))</f>
        <v/>
      </c>
      <c r="G16" s="233"/>
      <c r="H16" s="233"/>
      <c r="I16" s="233"/>
      <c r="J16" s="234"/>
      <c r="K16" s="233"/>
      <c r="L16" s="233"/>
      <c r="M16" s="233"/>
      <c r="N16" s="235" t="str">
        <f>IF(ISERROR(VLOOKUP(CONCATENATE($N$10,"_",M16),選手名簿!$A:$E,5,FALSE))=TRUE,"",VLOOKUP(CONCATENATE($N$10,"_",M16),選手名簿!$A:$E,5,FALSE))</f>
        <v/>
      </c>
      <c r="T16" s="231" t="s">
        <v>343</v>
      </c>
      <c r="U16" s="232" t="str">
        <f>IF(ISERROR(VLOOKUP(CONCATENATE($U$10,"_",V16),選手名簿!$A:$E,5,FALSE))=TRUE,"",VLOOKUP(CONCATENATE($U$10,"_",V16),選手名簿!$A:$E,5,FALSE))</f>
        <v/>
      </c>
      <c r="V16" s="233"/>
      <c r="W16" s="233"/>
      <c r="X16" s="233"/>
      <c r="Y16" s="234"/>
      <c r="Z16" s="233"/>
      <c r="AA16" s="233"/>
      <c r="AB16" s="233"/>
      <c r="AC16" s="235" t="str">
        <f>IF(ISERROR(VLOOKUP(CONCATENATE($AC$10,"_",AB16),選手名簿!$A:$E,5,FALSE))=TRUE,"",VLOOKUP(CONCATENATE($AC$10,"_",AB16),選手名簿!$A:$E,5,FALSE))</f>
        <v/>
      </c>
    </row>
    <row r="17" spans="1:32" ht="20.25" hidden="1" customHeight="1" x14ac:dyDescent="0.15">
      <c r="E17" s="231" t="s">
        <v>343</v>
      </c>
      <c r="F17" s="232" t="str">
        <f>IF(ISERROR(VLOOKUP(CONCATENATE($F$10,"_",G17),選手名簿!$A:$E,5,FALSE))=TRUE,"",VLOOKUP(CONCATENATE($F$10,"_",G17),選手名簿!$A:$E,5,FALSE))</f>
        <v/>
      </c>
      <c r="G17" s="233"/>
      <c r="H17" s="233"/>
      <c r="I17" s="233"/>
      <c r="J17" s="234"/>
      <c r="K17" s="233"/>
      <c r="L17" s="233"/>
      <c r="M17" s="233"/>
      <c r="N17" s="235" t="str">
        <f>IF(ISERROR(VLOOKUP(CONCATENATE($N$10,"_",M17),選手名簿!$A:$E,5,FALSE))=TRUE,"",VLOOKUP(CONCATENATE($N$10,"_",M17),選手名簿!$A:$E,5,FALSE))</f>
        <v/>
      </c>
      <c r="T17" s="231" t="s">
        <v>343</v>
      </c>
      <c r="U17" s="232" t="str">
        <f>IF(ISERROR(VLOOKUP(CONCATENATE($U$10,"_",V17),選手名簿!$A:$E,5,FALSE))=TRUE,"",VLOOKUP(CONCATENATE($U$10,"_",V17),選手名簿!$A:$E,5,FALSE))</f>
        <v/>
      </c>
      <c r="V17" s="233"/>
      <c r="W17" s="233"/>
      <c r="X17" s="233"/>
      <c r="Y17" s="234"/>
      <c r="Z17" s="233"/>
      <c r="AA17" s="233"/>
      <c r="AB17" s="233"/>
      <c r="AC17" s="235" t="str">
        <f>IF(ISERROR(VLOOKUP(CONCATENATE($AC$10,"_",AB17),選手名簿!$A:$E,5,FALSE))=TRUE,"",VLOOKUP(CONCATENATE($AC$10,"_",AB17),選手名簿!$A:$E,5,FALSE))</f>
        <v/>
      </c>
    </row>
    <row r="18" spans="1:32" ht="20.25" hidden="1" customHeight="1" x14ac:dyDescent="0.15">
      <c r="E18" s="231" t="s">
        <v>343</v>
      </c>
      <c r="F18" s="232" t="str">
        <f>IF(ISERROR(VLOOKUP(CONCATENATE($F$10,"_",G18),選手名簿!$A:$E,5,FALSE))=TRUE,"",VLOOKUP(CONCATENATE($F$10,"_",G18),選手名簿!$A:$E,5,FALSE))</f>
        <v/>
      </c>
      <c r="G18" s="233"/>
      <c r="H18" s="233"/>
      <c r="I18" s="233"/>
      <c r="J18" s="234"/>
      <c r="K18" s="233"/>
      <c r="L18" s="233"/>
      <c r="M18" s="233"/>
      <c r="N18" s="235" t="str">
        <f>IF(ISERROR(VLOOKUP(CONCATENATE($N$10,"_",M18),選手名簿!$A:$E,5,FALSE))=TRUE,"",VLOOKUP(CONCATENATE($N$10,"_",M18),選手名簿!$A:$E,5,FALSE))</f>
        <v/>
      </c>
      <c r="T18" s="231" t="s">
        <v>343</v>
      </c>
      <c r="U18" s="232" t="str">
        <f>IF(ISERROR(VLOOKUP(CONCATENATE($U$10,"_",V18),選手名簿!$A:$E,5,FALSE))=TRUE,"",VLOOKUP(CONCATENATE($U$10,"_",V18),選手名簿!$A:$E,5,FALSE))</f>
        <v/>
      </c>
      <c r="V18" s="233"/>
      <c r="W18" s="233"/>
      <c r="X18" s="233"/>
      <c r="Y18" s="234"/>
      <c r="Z18" s="233"/>
      <c r="AA18" s="233"/>
      <c r="AB18" s="233"/>
      <c r="AC18" s="235" t="str">
        <f>IF(ISERROR(VLOOKUP(CONCATENATE($AC$10,"_",AB18),選手名簿!$A:$E,5,FALSE))=TRUE,"",VLOOKUP(CONCATENATE($AC$10,"_",AB18),選手名簿!$A:$E,5,FALSE))</f>
        <v/>
      </c>
    </row>
    <row r="19" spans="1:32" ht="20.25" hidden="1" customHeight="1" x14ac:dyDescent="0.15">
      <c r="E19" s="231" t="s">
        <v>343</v>
      </c>
      <c r="F19" s="232" t="str">
        <f>IF(ISERROR(VLOOKUP(CONCATENATE($F$10,"_",G19),選手名簿!$A:$E,5,FALSE))=TRUE,"",VLOOKUP(CONCATENATE($F$10,"_",G19),選手名簿!$A:$E,5,FALSE))</f>
        <v/>
      </c>
      <c r="G19" s="233"/>
      <c r="H19" s="233"/>
      <c r="I19" s="233"/>
      <c r="J19" s="234"/>
      <c r="K19" s="233"/>
      <c r="L19" s="233"/>
      <c r="M19" s="233"/>
      <c r="N19" s="235" t="str">
        <f>IF(ISERROR(VLOOKUP(CONCATENATE($N$10,"_",M19),選手名簿!$A:$E,5,FALSE))=TRUE,"",VLOOKUP(CONCATENATE($N$10,"_",M19),選手名簿!$A:$E,5,FALSE))</f>
        <v/>
      </c>
      <c r="T19" s="231" t="s">
        <v>343</v>
      </c>
      <c r="U19" s="232" t="str">
        <f>IF(ISERROR(VLOOKUP(CONCATENATE($U$10,"_",V19),選手名簿!$A:$E,5,FALSE))=TRUE,"",VLOOKUP(CONCATENATE($U$10,"_",V19),選手名簿!$A:$E,5,FALSE))</f>
        <v/>
      </c>
      <c r="V19" s="233"/>
      <c r="W19" s="233"/>
      <c r="X19" s="233"/>
      <c r="Y19" s="234"/>
      <c r="Z19" s="233"/>
      <c r="AA19" s="233"/>
      <c r="AB19" s="233"/>
      <c r="AC19" s="235" t="str">
        <f>IF(ISERROR(VLOOKUP(CONCATENATE($AC$10,"_",AB19),選手名簿!$A:$E,5,FALSE))=TRUE,"",VLOOKUP(CONCATENATE($AC$10,"_",AB19),選手名簿!$A:$E,5,FALSE))</f>
        <v/>
      </c>
    </row>
    <row r="20" spans="1:32" ht="20.25" hidden="1" customHeight="1" x14ac:dyDescent="0.15">
      <c r="E20" s="231" t="s">
        <v>343</v>
      </c>
      <c r="F20" s="232" t="str">
        <f>IF(ISERROR(VLOOKUP(CONCATENATE($F$10,"_",G20),選手名簿!$A:$E,5,FALSE))=TRUE,"",VLOOKUP(CONCATENATE($F$10,"_",G20),選手名簿!$A:$E,5,FALSE))</f>
        <v/>
      </c>
      <c r="G20" s="233"/>
      <c r="H20" s="233"/>
      <c r="I20" s="233"/>
      <c r="J20" s="234"/>
      <c r="K20" s="233"/>
      <c r="L20" s="233"/>
      <c r="M20" s="233"/>
      <c r="N20" s="235" t="str">
        <f>IF(ISERROR(VLOOKUP(CONCATENATE($N$10,"_",M20),選手名簿!$A:$E,5,FALSE))=TRUE,"",VLOOKUP(CONCATENATE($N$10,"_",M20),選手名簿!$A:$E,5,FALSE))</f>
        <v/>
      </c>
      <c r="T20" s="231" t="s">
        <v>343</v>
      </c>
      <c r="U20" s="232" t="str">
        <f>IF(ISERROR(VLOOKUP(CONCATENATE($U$10,"_",V20),選手名簿!$A:$E,5,FALSE))=TRUE,"",VLOOKUP(CONCATENATE($U$10,"_",V20),選手名簿!$A:$E,5,FALSE))</f>
        <v/>
      </c>
      <c r="V20" s="233"/>
      <c r="W20" s="233"/>
      <c r="X20" s="233"/>
      <c r="Y20" s="234"/>
      <c r="Z20" s="233"/>
      <c r="AA20" s="233"/>
      <c r="AB20" s="233"/>
      <c r="AC20" s="235" t="str">
        <f>IF(ISERROR(VLOOKUP(CONCATENATE($AC$10,"_",AB20),選手名簿!$A:$E,5,FALSE))=TRUE,"",VLOOKUP(CONCATENATE($AC$10,"_",AB20),選手名簿!$A:$E,5,FALSE))</f>
        <v/>
      </c>
    </row>
    <row r="21" spans="1:32" ht="20.25" hidden="1" customHeight="1" x14ac:dyDescent="0.15">
      <c r="E21" s="231" t="s">
        <v>343</v>
      </c>
      <c r="F21" s="232" t="str">
        <f>IF(ISERROR(VLOOKUP(CONCATENATE($F$10,"_",G21),選手名簿!$A:$E,5,FALSE))=TRUE,"",VLOOKUP(CONCATENATE($F$10,"_",G21),選手名簿!$A:$E,5,FALSE))</f>
        <v/>
      </c>
      <c r="G21" s="233"/>
      <c r="H21" s="233"/>
      <c r="I21" s="233"/>
      <c r="J21" s="234"/>
      <c r="K21" s="233"/>
      <c r="L21" s="233"/>
      <c r="M21" s="233"/>
      <c r="N21" s="235" t="str">
        <f>IF(ISERROR(VLOOKUP(CONCATENATE($N$10,"_",M21),選手名簿!$A:$E,5,FALSE))=TRUE,"",VLOOKUP(CONCATENATE($N$10,"_",M21),選手名簿!$A:$E,5,FALSE))</f>
        <v/>
      </c>
      <c r="T21" s="231" t="s">
        <v>343</v>
      </c>
      <c r="U21" s="232" t="str">
        <f>IF(ISERROR(VLOOKUP(CONCATENATE($U$10,"_",V21),選手名簿!$A:$E,5,FALSE))=TRUE,"",VLOOKUP(CONCATENATE($U$10,"_",V21),選手名簿!$A:$E,5,FALSE))</f>
        <v/>
      </c>
      <c r="V21" s="233"/>
      <c r="W21" s="233"/>
      <c r="X21" s="233"/>
      <c r="Y21" s="234"/>
      <c r="Z21" s="233"/>
      <c r="AA21" s="233"/>
      <c r="AB21" s="233"/>
      <c r="AC21" s="235" t="str">
        <f>IF(ISERROR(VLOOKUP(CONCATENATE($AC$10,"_",AB21),選手名簿!$A:$E,5,FALSE))=TRUE,"",VLOOKUP(CONCATENATE($AC$10,"_",AB21),選手名簿!$A:$E,5,FALSE))</f>
        <v/>
      </c>
    </row>
    <row r="22" spans="1:32" ht="20.25" hidden="1" customHeight="1" x14ac:dyDescent="0.15">
      <c r="E22" s="231" t="s">
        <v>343</v>
      </c>
      <c r="F22" s="232" t="str">
        <f>IF(ISERROR(VLOOKUP(CONCATENATE($F$10,"_",G22),選手名簿!$A:$E,5,FALSE))=TRUE,"",VLOOKUP(CONCATENATE($F$10,"_",G22),選手名簿!$A:$E,5,FALSE))</f>
        <v/>
      </c>
      <c r="G22" s="233"/>
      <c r="H22" s="233"/>
      <c r="I22" s="233"/>
      <c r="J22" s="234"/>
      <c r="K22" s="233"/>
      <c r="L22" s="233"/>
      <c r="M22" s="233"/>
      <c r="N22" s="235" t="str">
        <f>IF(ISERROR(VLOOKUP(CONCATENATE($N$10,"_",M22),選手名簿!$A:$E,5,FALSE))=TRUE,"",VLOOKUP(CONCATENATE($N$10,"_",M22),選手名簿!$A:$E,5,FALSE))</f>
        <v/>
      </c>
      <c r="T22" s="231" t="s">
        <v>343</v>
      </c>
      <c r="U22" s="232" t="str">
        <f>IF(ISERROR(VLOOKUP(CONCATENATE($U$10,"_",V22),選手名簿!$A:$E,5,FALSE))=TRUE,"",VLOOKUP(CONCATENATE($U$10,"_",V22),選手名簿!$A:$E,5,FALSE))</f>
        <v/>
      </c>
      <c r="V22" s="233"/>
      <c r="W22" s="233"/>
      <c r="X22" s="233"/>
      <c r="Y22" s="234"/>
      <c r="Z22" s="233"/>
      <c r="AA22" s="233"/>
      <c r="AB22" s="233"/>
      <c r="AC22" s="235" t="str">
        <f>IF(ISERROR(VLOOKUP(CONCATENATE($AC$10,"_",AB22),選手名簿!$A:$E,5,FALSE))=TRUE,"",VLOOKUP(CONCATENATE($AC$10,"_",AB22),選手名簿!$A:$E,5,FALSE))</f>
        <v/>
      </c>
    </row>
    <row r="23" spans="1:32" ht="20.25" hidden="1" customHeight="1" x14ac:dyDescent="0.15">
      <c r="E23" s="236" t="s">
        <v>343</v>
      </c>
      <c r="F23" s="237" t="str">
        <f>IF(ISERROR(VLOOKUP(CONCATENATE($F$10,"_",G23),選手名簿!$A:$E,5,FALSE))=TRUE,"",VLOOKUP(CONCATENATE($F$10,"_",G23),選手名簿!$A:$E,5,FALSE))</f>
        <v/>
      </c>
      <c r="G23" s="238"/>
      <c r="H23" s="238"/>
      <c r="I23" s="238"/>
      <c r="J23" s="239"/>
      <c r="K23" s="238"/>
      <c r="L23" s="238"/>
      <c r="M23" s="238"/>
      <c r="N23" s="240" t="str">
        <f>IF(ISERROR(VLOOKUP(CONCATENATE($N$10,"_",M23),選手名簿!$A:$E,5,FALSE))=TRUE,"",VLOOKUP(CONCATENATE($N$10,"_",M23),選手名簿!$A:$E,5,FALSE))</f>
        <v/>
      </c>
      <c r="T23" s="236" t="s">
        <v>343</v>
      </c>
      <c r="U23" s="237" t="str">
        <f>IF(ISERROR(VLOOKUP(CONCATENATE($U$10,"_",V23),選手名簿!$A:$E,5,FALSE))=TRUE,"",VLOOKUP(CONCATENATE($U$10,"_",V23),選手名簿!$A:$E,5,FALSE))</f>
        <v/>
      </c>
      <c r="V23" s="238"/>
      <c r="W23" s="238"/>
      <c r="X23" s="238"/>
      <c r="Y23" s="239"/>
      <c r="Z23" s="238"/>
      <c r="AA23" s="238"/>
      <c r="AB23" s="238"/>
      <c r="AC23" s="240" t="str">
        <f>IF(ISERROR(VLOOKUP(CONCATENATE($AC$10,"_",AB23),選手名簿!$A:$E,5,FALSE))=TRUE,"",VLOOKUP(CONCATENATE($AC$10,"_",AB23),選手名簿!$A:$E,5,FALSE))</f>
        <v/>
      </c>
    </row>
    <row r="24" spans="1:32" ht="20.25" customHeight="1" x14ac:dyDescent="0.15">
      <c r="A24" s="241" t="s">
        <v>342</v>
      </c>
      <c r="B24" s="789"/>
      <c r="C24" s="789"/>
      <c r="D24" s="789"/>
      <c r="E24" s="231" t="s">
        <v>243</v>
      </c>
      <c r="F24" s="232" t="str">
        <f>IF(ISERROR(VLOOKUP(CONCATENATE($F$10,"_",G24),選手名簿!$A:$E,5,FALSE))=TRUE,"",VLOOKUP(CONCATENATE($F$10,"_",G24),選手名簿!$A:$E,5,FALSE))</f>
        <v/>
      </c>
      <c r="G24" s="233"/>
      <c r="H24" s="233"/>
      <c r="I24" s="233"/>
      <c r="J24" s="234"/>
      <c r="K24" s="233"/>
      <c r="L24" s="233"/>
      <c r="M24" s="233"/>
      <c r="N24" s="235" t="str">
        <f>IF(ISERROR(VLOOKUP(CONCATENATE($N$10,"_",M24),選手名簿!$A:$E,5,FALSE))=TRUE,"",VLOOKUP(CONCATENATE($N$10,"_",M24),選手名簿!$A:$E,5,FALSE))</f>
        <v/>
      </c>
      <c r="P24" s="241" t="s">
        <v>342</v>
      </c>
      <c r="Q24" s="789"/>
      <c r="R24" s="789"/>
      <c r="S24" s="789"/>
      <c r="T24" s="231" t="s">
        <v>243</v>
      </c>
      <c r="U24" s="232" t="str">
        <f>IF(ISERROR(VLOOKUP(CONCATENATE($U$10,"_",V24),選手名簿!$A:$E,5,FALSE))=TRUE,"",VLOOKUP(CONCATENATE($U$10,"_",V24),選手名簿!$A:$E,5,FALSE))</f>
        <v/>
      </c>
      <c r="V24" s="233"/>
      <c r="W24" s="233"/>
      <c r="X24" s="233"/>
      <c r="Y24" s="234"/>
      <c r="Z24" s="233"/>
      <c r="AA24" s="233"/>
      <c r="AB24" s="233"/>
      <c r="AC24" s="235" t="str">
        <f>IF(ISERROR(VLOOKUP(CONCATENATE($AC$10,"_",AB24),選手名簿!$A:$E,5,FALSE))=TRUE,"",VLOOKUP(CONCATENATE($AC$10,"_",AB24),選手名簿!$A:$E,5,FALSE))</f>
        <v/>
      </c>
    </row>
    <row r="25" spans="1:32" ht="20.25" customHeight="1" x14ac:dyDescent="0.15">
      <c r="A25" s="242" t="s">
        <v>344</v>
      </c>
      <c r="B25" s="790" t="str">
        <f>IF(ISERROR(VLOOKUP(B24,審判員!$A:$C,2,FALSE))=TRUE,"",VLOOKUP(B24,審判員!$A:$C,2,FALSE))</f>
        <v/>
      </c>
      <c r="C25" s="791"/>
      <c r="D25" s="243" t="str">
        <f>IF(ISERROR(VLOOKUP(B24,審判員!$A:$C,3,FALSE))=TRUE,"",VLOOKUP(B24,審判員!$A:$C,3,FALSE))</f>
        <v/>
      </c>
      <c r="E25" s="244" t="s">
        <v>243</v>
      </c>
      <c r="F25" s="245" t="str">
        <f>IF(ISERROR(VLOOKUP(CONCATENATE($F$10,"_",G25),選手名簿!$A:$E,5,FALSE))=TRUE,"",VLOOKUP(CONCATENATE($F$10,"_",G25),選手名簿!$A:$E,5,FALSE))</f>
        <v/>
      </c>
      <c r="G25" s="246"/>
      <c r="H25" s="246"/>
      <c r="I25" s="246"/>
      <c r="J25" s="234"/>
      <c r="K25" s="246"/>
      <c r="L25" s="246"/>
      <c r="M25" s="246"/>
      <c r="N25" s="247" t="str">
        <f>IF(ISERROR(VLOOKUP(CONCATENATE($N$10,"_",M25),選手名簿!$A:$E,5,FALSE))=TRUE,"",VLOOKUP(CONCATENATE($N$10,"_",M25),選手名簿!$A:$E,5,FALSE))</f>
        <v/>
      </c>
      <c r="P25" s="242" t="s">
        <v>344</v>
      </c>
      <c r="Q25" s="790" t="str">
        <f>IF(ISERROR(VLOOKUP(Q24,審判員!$A:$C,2,FALSE))=TRUE,"",VLOOKUP(Q24,審判員!$A:$C,2,FALSE))</f>
        <v/>
      </c>
      <c r="R25" s="791"/>
      <c r="S25" s="242" t="str">
        <f>IF(ISERROR(VLOOKUP(Q24,審判員!$A:$C,3,FALSE))=TRUE,"",VLOOKUP(Q24,審判員!$A:$C,3,FALSE))</f>
        <v/>
      </c>
      <c r="T25" s="244" t="s">
        <v>243</v>
      </c>
      <c r="U25" s="245" t="str">
        <f>IF(ISERROR(VLOOKUP(CONCATENATE($U$10,"_",V25),選手名簿!$A:$E,5,FALSE))=TRUE,"",VLOOKUP(CONCATENATE($U$10,"_",V25),選手名簿!$A:$E,5,FALSE))</f>
        <v/>
      </c>
      <c r="V25" s="246"/>
      <c r="W25" s="246"/>
      <c r="X25" s="246"/>
      <c r="Y25" s="234"/>
      <c r="Z25" s="246"/>
      <c r="AA25" s="246"/>
      <c r="AB25" s="246"/>
      <c r="AC25" s="247" t="str">
        <f>IF(ISERROR(VLOOKUP(CONCATENATE($AC$10,"_",AB25),選手名簿!$A:$E,5,FALSE))=TRUE,"",VLOOKUP(CONCATENATE($AC$10,"_",AB25),選手名簿!$A:$E,5,FALSE))</f>
        <v/>
      </c>
    </row>
    <row r="26" spans="1:32" ht="20.25" customHeight="1" x14ac:dyDescent="0.15">
      <c r="A26" s="430" t="s">
        <v>342</v>
      </c>
      <c r="B26" s="792"/>
      <c r="C26" s="792"/>
      <c r="D26" s="792"/>
      <c r="E26" s="244" t="s">
        <v>243</v>
      </c>
      <c r="F26" s="245" t="str">
        <f>IF(ISERROR(VLOOKUP(CONCATENATE($F$10,"_",G26),選手名簿!$A:$E,5,FALSE))=TRUE,"",VLOOKUP(CONCATENATE($F$10,"_",G26),選手名簿!$A:$E,5,FALSE))</f>
        <v/>
      </c>
      <c r="G26" s="246"/>
      <c r="H26" s="246"/>
      <c r="I26" s="246"/>
      <c r="J26" s="234"/>
      <c r="K26" s="246"/>
      <c r="L26" s="246"/>
      <c r="M26" s="246"/>
      <c r="N26" s="247" t="str">
        <f>IF(ISERROR(VLOOKUP(CONCATENATE($N$10,"_",M26),選手名簿!$A:$E,5,FALSE))=TRUE,"",VLOOKUP(CONCATENATE($N$10,"_",M26),選手名簿!$A:$E,5,FALSE))</f>
        <v/>
      </c>
      <c r="P26" s="430" t="s">
        <v>342</v>
      </c>
      <c r="Q26" s="792"/>
      <c r="R26" s="792"/>
      <c r="S26" s="793"/>
      <c r="T26" s="244" t="s">
        <v>243</v>
      </c>
      <c r="U26" s="245" t="str">
        <f>IF(ISERROR(VLOOKUP(CONCATENATE($U$10,"_",V26),選手名簿!$A:$E,5,FALSE))=TRUE,"",VLOOKUP(CONCATENATE($U$10,"_",V26),選手名簿!$A:$E,5,FALSE))</f>
        <v/>
      </c>
      <c r="V26" s="246"/>
      <c r="W26" s="246"/>
      <c r="X26" s="246"/>
      <c r="Y26" s="234"/>
      <c r="Z26" s="246"/>
      <c r="AA26" s="246"/>
      <c r="AB26" s="246"/>
      <c r="AC26" s="247" t="str">
        <f>IF(ISERROR(VLOOKUP(CONCATENATE($AC$10,"_",AB26),選手名簿!$A:$E,5,FALSE))=TRUE,"",VLOOKUP(CONCATENATE($AC$10,"_",AB26),選手名簿!$A:$E,5,FALSE))</f>
        <v/>
      </c>
      <c r="AF26" s="218"/>
    </row>
    <row r="27" spans="1:32" ht="20.25" customHeight="1" x14ac:dyDescent="0.15">
      <c r="A27" s="430" t="s">
        <v>345</v>
      </c>
      <c r="B27" s="796" t="str">
        <f>IF(ISERROR(VLOOKUP(B26,審判員!$A:$C,2,FALSE))=TRUE,"",VLOOKUP(B26,審判員!$A:$C,2,FALSE))</f>
        <v/>
      </c>
      <c r="C27" s="797"/>
      <c r="D27" s="433" t="str">
        <f>IF(ISERROR(VLOOKUP(B26,審判員!$A:$C,3,FALSE))=TRUE,"",VLOOKUP(B26,審判員!$A:$C,3,FALSE))</f>
        <v/>
      </c>
      <c r="E27" s="244" t="s">
        <v>243</v>
      </c>
      <c r="F27" s="245" t="str">
        <f>IF(ISERROR(VLOOKUP(CONCATENATE($F$10,"_",G27),選手名簿!$A:$E,5,FALSE))=TRUE,"",VLOOKUP(CONCATENATE($F$10,"_",G27),選手名簿!$A:$E,5,FALSE))</f>
        <v/>
      </c>
      <c r="G27" s="246"/>
      <c r="H27" s="246"/>
      <c r="I27" s="246"/>
      <c r="J27" s="234"/>
      <c r="K27" s="246"/>
      <c r="L27" s="246"/>
      <c r="M27" s="246"/>
      <c r="N27" s="247" t="str">
        <f>IF(ISERROR(VLOOKUP(CONCATENATE($N$10,"_",M27),選手名簿!$A:$E,5,FALSE))=TRUE,"",VLOOKUP(CONCATENATE($N$10,"_",M27),選手名簿!$A:$E,5,FALSE))</f>
        <v/>
      </c>
      <c r="P27" s="430" t="s">
        <v>345</v>
      </c>
      <c r="Q27" s="796" t="str">
        <f>IF(ISERROR(VLOOKUP(Q26,審判員!$A:$C,2,FALSE))=TRUE,"",VLOOKUP(Q26,審判員!$A:$C,2,FALSE))</f>
        <v/>
      </c>
      <c r="R27" s="797"/>
      <c r="S27" s="430" t="str">
        <f>IF(ISERROR(VLOOKUP(Q26,審判員!$A:$C,3,FALSE))=TRUE,"",VLOOKUP(Q26,審判員!$A:$C,3,FALSE))</f>
        <v/>
      </c>
      <c r="T27" s="244" t="s">
        <v>243</v>
      </c>
      <c r="U27" s="245" t="str">
        <f>IF(ISERROR(VLOOKUP(CONCATENATE($U$10,"_",V27),選手名簿!$A:$E,5,FALSE))=TRUE,"",VLOOKUP(CONCATENATE($U$10,"_",V27),選手名簿!$A:$E,5,FALSE))</f>
        <v/>
      </c>
      <c r="V27" s="246"/>
      <c r="W27" s="246"/>
      <c r="X27" s="246"/>
      <c r="Y27" s="234"/>
      <c r="Z27" s="246"/>
      <c r="AA27" s="246"/>
      <c r="AB27" s="246"/>
      <c r="AC27" s="247" t="str">
        <f>IF(ISERROR(VLOOKUP(CONCATENATE($AC$10,"_",AB27),選手名簿!$A:$E,5,FALSE))=TRUE,"",VLOOKUP(CONCATENATE($AC$10,"_",AB27),選手名簿!$A:$E,5,FALSE))</f>
        <v/>
      </c>
    </row>
    <row r="28" spans="1:32" ht="20.25" customHeight="1" x14ac:dyDescent="0.15">
      <c r="A28" s="430" t="s">
        <v>342</v>
      </c>
      <c r="B28" s="792"/>
      <c r="C28" s="792"/>
      <c r="D28" s="792"/>
      <c r="E28" s="244" t="s">
        <v>243</v>
      </c>
      <c r="F28" s="245" t="str">
        <f>IF(ISERROR(VLOOKUP(CONCATENATE($F$10,"_",G28),選手名簿!$A:$E,5,FALSE))=TRUE,"",VLOOKUP(CONCATENATE($F$10,"_",G28),選手名簿!$A:$E,5,FALSE))</f>
        <v/>
      </c>
      <c r="G28" s="246"/>
      <c r="H28" s="246"/>
      <c r="I28" s="246"/>
      <c r="J28" s="234"/>
      <c r="K28" s="246"/>
      <c r="L28" s="246"/>
      <c r="M28" s="246"/>
      <c r="N28" s="247" t="str">
        <f>IF(ISERROR(VLOOKUP(CONCATENATE($N$10,"_",M28),選手名簿!$A:$E,5,FALSE))=TRUE,"",VLOOKUP(CONCATENATE($N$10,"_",M28),選手名簿!$A:$E,5,FALSE))</f>
        <v/>
      </c>
      <c r="P28" s="430" t="s">
        <v>342</v>
      </c>
      <c r="Q28" s="792"/>
      <c r="R28" s="792"/>
      <c r="S28" s="793"/>
      <c r="T28" s="244" t="s">
        <v>243</v>
      </c>
      <c r="U28" s="245" t="str">
        <f>IF(ISERROR(VLOOKUP(CONCATENATE($U$10,"_",V28),選手名簿!$A:$E,5,FALSE))=TRUE,"",VLOOKUP(CONCATENATE($U$10,"_",V28),選手名簿!$A:$E,5,FALSE))</f>
        <v/>
      </c>
      <c r="V28" s="246"/>
      <c r="W28" s="246"/>
      <c r="X28" s="246"/>
      <c r="Y28" s="234"/>
      <c r="Z28" s="246"/>
      <c r="AA28" s="246"/>
      <c r="AB28" s="246"/>
      <c r="AC28" s="247" t="str">
        <f>IF(ISERROR(VLOOKUP(CONCATENATE($AC$10,"_",AB28),選手名簿!$A:$E,5,FALSE))=TRUE,"",VLOOKUP(CONCATENATE($AC$10,"_",AB28),選手名簿!$A:$E,5,FALSE))</f>
        <v/>
      </c>
    </row>
    <row r="29" spans="1:32" ht="20.25" customHeight="1" x14ac:dyDescent="0.15">
      <c r="A29" s="430" t="s">
        <v>346</v>
      </c>
      <c r="B29" s="796" t="str">
        <f>IF(ISERROR(VLOOKUP(B28,審判員!$A:$C,2,FALSE))=TRUE,"",VLOOKUP(B28,審判員!$A:$C,2,FALSE))</f>
        <v/>
      </c>
      <c r="C29" s="797"/>
      <c r="D29" s="433" t="str">
        <f>IF(ISERROR(VLOOKUP(B28,審判員!$A:$C,3,FALSE))=TRUE,"",VLOOKUP(B28,審判員!$A:$C,3,FALSE))</f>
        <v/>
      </c>
      <c r="E29" s="244" t="s">
        <v>243</v>
      </c>
      <c r="F29" s="245" t="str">
        <f>IF(ISERROR(VLOOKUP(CONCATENATE($F$10,"_",G29),選手名簿!$A:$E,5,FALSE))=TRUE,"",VLOOKUP(CONCATENATE($F$10,"_",G29),選手名簿!$A:$E,5,FALSE))</f>
        <v/>
      </c>
      <c r="G29" s="246"/>
      <c r="H29" s="246"/>
      <c r="I29" s="246"/>
      <c r="J29" s="234"/>
      <c r="K29" s="246"/>
      <c r="L29" s="246"/>
      <c r="M29" s="246"/>
      <c r="N29" s="247" t="str">
        <f>IF(ISERROR(VLOOKUP(CONCATENATE($N$10,"_",M29),選手名簿!$A:$E,5,FALSE))=TRUE,"",VLOOKUP(CONCATENATE($N$10,"_",M29),選手名簿!$A:$E,5,FALSE))</f>
        <v/>
      </c>
      <c r="P29" s="430" t="s">
        <v>346</v>
      </c>
      <c r="Q29" s="796" t="str">
        <f>IF(ISERROR(VLOOKUP(Q28,審判員!$A:$C,2,FALSE))=TRUE,"",VLOOKUP(Q28,審判員!$A:$C,2,FALSE))</f>
        <v/>
      </c>
      <c r="R29" s="797"/>
      <c r="S29" s="430" t="str">
        <f>IF(ISERROR(VLOOKUP(Q28,審判員!$A:$C,3,FALSE))=TRUE,"",VLOOKUP(Q28,審判員!$A:$C,3,FALSE))</f>
        <v/>
      </c>
      <c r="T29" s="244" t="s">
        <v>243</v>
      </c>
      <c r="U29" s="245" t="str">
        <f>IF(ISERROR(VLOOKUP(CONCATENATE($U$10,"_",V29),選手名簿!$A:$E,5,FALSE))=TRUE,"",VLOOKUP(CONCATENATE($U$10,"_",V29),選手名簿!$A:$E,5,FALSE))</f>
        <v/>
      </c>
      <c r="V29" s="246"/>
      <c r="W29" s="246"/>
      <c r="X29" s="246"/>
      <c r="Y29" s="234"/>
      <c r="Z29" s="246"/>
      <c r="AA29" s="246"/>
      <c r="AB29" s="246"/>
      <c r="AC29" s="247" t="str">
        <f>IF(ISERROR(VLOOKUP(CONCATENATE($AC$10,"_",AB29),選手名簿!$A:$E,5,FALSE))=TRUE,"",VLOOKUP(CONCATENATE($AC$10,"_",AB29),選手名簿!$A:$E,5,FALSE))</f>
        <v/>
      </c>
    </row>
    <row r="30" spans="1:32" ht="20.25" customHeight="1" x14ac:dyDescent="0.15">
      <c r="A30" s="241" t="s">
        <v>342</v>
      </c>
      <c r="B30" s="789"/>
      <c r="C30" s="789"/>
      <c r="D30" s="789"/>
      <c r="E30" s="244" t="s">
        <v>243</v>
      </c>
      <c r="F30" s="245" t="str">
        <f>IF(ISERROR(VLOOKUP(CONCATENATE($F$10,"_",G30),選手名簿!$A:$E,5,FALSE))=TRUE,"",VLOOKUP(CONCATENATE($F$10,"_",G30),選手名簿!$A:$E,5,FALSE))</f>
        <v/>
      </c>
      <c r="G30" s="246"/>
      <c r="H30" s="246"/>
      <c r="I30" s="246"/>
      <c r="J30" s="234"/>
      <c r="K30" s="246"/>
      <c r="L30" s="246"/>
      <c r="M30" s="246"/>
      <c r="N30" s="247" t="str">
        <f>IF(ISERROR(VLOOKUP(CONCATENATE($N$10,"_",M30),選手名簿!$A:$E,5,FALSE))=TRUE,"",VLOOKUP(CONCATENATE($N$10,"_",M30),選手名簿!$A:$E,5,FALSE))</f>
        <v/>
      </c>
      <c r="P30" s="241" t="s">
        <v>342</v>
      </c>
      <c r="Q30" s="786"/>
      <c r="R30" s="786"/>
      <c r="S30" s="786"/>
      <c r="T30" s="244" t="s">
        <v>243</v>
      </c>
      <c r="U30" s="245" t="str">
        <f>IF(ISERROR(VLOOKUP(CONCATENATE($U$10,"_",V30),選手名簿!$A:$E,5,FALSE))=TRUE,"",VLOOKUP(CONCATENATE($U$10,"_",V30),選手名簿!$A:$E,5,FALSE))</f>
        <v/>
      </c>
      <c r="V30" s="246"/>
      <c r="W30" s="246"/>
      <c r="X30" s="246"/>
      <c r="Y30" s="234"/>
      <c r="Z30" s="246"/>
      <c r="AA30" s="246"/>
      <c r="AB30" s="246"/>
      <c r="AC30" s="247" t="str">
        <f>IF(ISERROR(VLOOKUP(CONCATENATE($AC$10,"_",AB30),選手名簿!$A:$E,5,FALSE))=TRUE,"",VLOOKUP(CONCATENATE($AC$10,"_",AB30),選手名簿!$A:$E,5,FALSE))</f>
        <v/>
      </c>
    </row>
    <row r="31" spans="1:32" ht="20.25" customHeight="1" x14ac:dyDescent="0.15">
      <c r="A31" s="242" t="s">
        <v>347</v>
      </c>
      <c r="B31" s="790" t="str">
        <f>IF(ISERROR(VLOOKUP(B30,審判員!$A:$C,2,FALSE))=TRUE,"",VLOOKUP(B30,審判員!$A:$C,2,FALSE))</f>
        <v/>
      </c>
      <c r="C31" s="791"/>
      <c r="D31" s="243" t="str">
        <f>IF(ISERROR(VLOOKUP(B30,審判員!$A:$C,3,FALSE))=TRUE,"",VLOOKUP(B30,審判員!$A:$C,3,FALSE))</f>
        <v/>
      </c>
      <c r="E31" s="248" t="s">
        <v>243</v>
      </c>
      <c r="F31" s="249" t="str">
        <f>IF(ISERROR(VLOOKUP(CONCATENATE($F$10,"_",G31),選手名簿!$A:$E,5,FALSE))=TRUE,"",VLOOKUP(CONCATENATE($F$10,"_",G31),選手名簿!$A:$E,5,FALSE))</f>
        <v/>
      </c>
      <c r="G31" s="250"/>
      <c r="H31" s="250"/>
      <c r="I31" s="250"/>
      <c r="J31" s="239"/>
      <c r="K31" s="250"/>
      <c r="L31" s="250"/>
      <c r="M31" s="250"/>
      <c r="N31" s="251" t="str">
        <f>IF(ISERROR(VLOOKUP(CONCATENATE($N$10,"_",M31),選手名簿!$A:$E,5,FALSE))=TRUE,"",VLOOKUP(CONCATENATE($N$10,"_",M31),選手名簿!$A:$E,5,FALSE))</f>
        <v/>
      </c>
      <c r="P31" s="242" t="s">
        <v>347</v>
      </c>
      <c r="Q31" s="790" t="str">
        <f>IF(ISERROR(VLOOKUP(Q30,審判員!$A:$C,2,FALSE))=TRUE,"",VLOOKUP(Q30,審判員!$A:$C,2,FALSE))</f>
        <v/>
      </c>
      <c r="R31" s="791"/>
      <c r="S31" s="242" t="str">
        <f>IF(ISERROR(VLOOKUP(Q30,審判員!$A:$C,3,FALSE))=TRUE,"",VLOOKUP(Q30,審判員!$A:$C,3,FALSE))</f>
        <v/>
      </c>
      <c r="T31" s="248" t="s">
        <v>243</v>
      </c>
      <c r="U31" s="249" t="str">
        <f>IF(ISERROR(VLOOKUP(CONCATENATE($U$10,"_",V31),選手名簿!$A:$E,5,FALSE))=TRUE,"",VLOOKUP(CONCATENATE($U$10,"_",V31),選手名簿!$A:$E,5,FALSE))</f>
        <v/>
      </c>
      <c r="V31" s="250"/>
      <c r="W31" s="250"/>
      <c r="X31" s="250"/>
      <c r="Y31" s="239"/>
      <c r="Z31" s="250"/>
      <c r="AA31" s="250"/>
      <c r="AB31" s="250"/>
      <c r="AC31" s="251" t="str">
        <f>IF(ISERROR(VLOOKUP(CONCATENATE($AC$10,"_",AB31),選手名簿!$A:$E,5,FALSE))=TRUE,"",VLOOKUP(CONCATENATE($AC$10,"_",AB31),選手名簿!$A:$E,5,FALSE))</f>
        <v/>
      </c>
    </row>
    <row r="32" spans="1:32" ht="9.9499999999999993" customHeight="1" x14ac:dyDescent="0.15">
      <c r="E32" s="252"/>
      <c r="T32" s="252"/>
    </row>
    <row r="33" spans="1:29" ht="9.9499999999999993" customHeight="1" x14ac:dyDescent="0.15">
      <c r="E33" s="252"/>
      <c r="T33" s="252"/>
    </row>
    <row r="34" spans="1:29" ht="9.9499999999999993" customHeight="1" x14ac:dyDescent="0.15"/>
    <row r="35" spans="1:29" ht="9.9499999999999993" customHeight="1" x14ac:dyDescent="0.15"/>
    <row r="36" spans="1:29" ht="9.9499999999999993" customHeight="1" x14ac:dyDescent="0.15"/>
    <row r="37" spans="1:29" ht="9.9499999999999993" customHeight="1" x14ac:dyDescent="0.15"/>
    <row r="38" spans="1:29" ht="9.9499999999999993" customHeight="1" x14ac:dyDescent="0.15">
      <c r="E38" s="252"/>
      <c r="T38" s="252"/>
    </row>
    <row r="39" spans="1:29" ht="27.4" customHeight="1" x14ac:dyDescent="0.15">
      <c r="A39" s="223" t="s">
        <v>334</v>
      </c>
      <c r="B39" s="768"/>
      <c r="C39" s="769"/>
      <c r="D39" s="770"/>
      <c r="E39" s="771">
        <f>予選リーグ!B23</f>
        <v>0.50694444444444442</v>
      </c>
      <c r="F39" s="774" t="str">
        <f>F6</f>
        <v>ドリームキッズフットボールクラブ</v>
      </c>
      <c r="G39" s="777" t="str">
        <f>IF(I39="","",SUM(I39:I40))</f>
        <v/>
      </c>
      <c r="H39" s="780" t="s">
        <v>123</v>
      </c>
      <c r="I39" s="224"/>
      <c r="J39" s="224" t="s">
        <v>335</v>
      </c>
      <c r="K39" s="224"/>
      <c r="L39" s="780" t="s">
        <v>336</v>
      </c>
      <c r="M39" s="777" t="str">
        <f>IF(K39="","",SUM(K39:K40))</f>
        <v/>
      </c>
      <c r="N39" s="783" t="str">
        <f>F7</f>
        <v>西の台ＪＦＣ</v>
      </c>
      <c r="P39" s="223" t="s">
        <v>334</v>
      </c>
      <c r="Q39" s="768"/>
      <c r="R39" s="769"/>
      <c r="S39" s="770"/>
      <c r="T39" s="771">
        <f>予選リーグ!B27</f>
        <v>0.54166666666666663</v>
      </c>
      <c r="U39" s="774" t="str">
        <f>U6</f>
        <v>リノスフットボールクラブ　Ｕ－１２</v>
      </c>
      <c r="V39" s="777" t="str">
        <f>IF(X39="","",SUM(X39:X40))</f>
        <v/>
      </c>
      <c r="W39" s="780" t="s">
        <v>123</v>
      </c>
      <c r="X39" s="224"/>
      <c r="Y39" s="224" t="s">
        <v>335</v>
      </c>
      <c r="Z39" s="224"/>
      <c r="AA39" s="780" t="s">
        <v>336</v>
      </c>
      <c r="AB39" s="777" t="str">
        <f>IF(Z39="","",SUM(Z39:Z40))</f>
        <v/>
      </c>
      <c r="AC39" s="783" t="str">
        <f>U7</f>
        <v>Ｓｈｙｎｔ　ＦＣ</v>
      </c>
    </row>
    <row r="40" spans="1:29" ht="27.4" customHeight="1" x14ac:dyDescent="0.15">
      <c r="A40" s="225" t="s">
        <v>337</v>
      </c>
      <c r="B40" s="786" t="s">
        <v>313</v>
      </c>
      <c r="C40" s="786"/>
      <c r="D40" s="768"/>
      <c r="E40" s="772"/>
      <c r="F40" s="775"/>
      <c r="G40" s="778"/>
      <c r="H40" s="781"/>
      <c r="J40" s="214" t="s">
        <v>338</v>
      </c>
      <c r="L40" s="781"/>
      <c r="M40" s="778"/>
      <c r="N40" s="784"/>
      <c r="P40" s="225" t="s">
        <v>337</v>
      </c>
      <c r="Q40" s="786" t="s">
        <v>313</v>
      </c>
      <c r="R40" s="786"/>
      <c r="S40" s="768"/>
      <c r="T40" s="772"/>
      <c r="U40" s="775"/>
      <c r="V40" s="778"/>
      <c r="W40" s="781"/>
      <c r="Y40" s="214" t="s">
        <v>338</v>
      </c>
      <c r="AA40" s="781"/>
      <c r="AB40" s="778"/>
      <c r="AC40" s="784"/>
    </row>
    <row r="41" spans="1:29" ht="27.4" customHeight="1" x14ac:dyDescent="0.15">
      <c r="A41" s="225" t="s">
        <v>339</v>
      </c>
      <c r="B41" s="786"/>
      <c r="C41" s="786"/>
      <c r="D41" s="768"/>
      <c r="E41" s="773"/>
      <c r="F41" s="776"/>
      <c r="G41" s="779"/>
      <c r="H41" s="782"/>
      <c r="I41" s="226"/>
      <c r="J41" s="226" t="s">
        <v>340</v>
      </c>
      <c r="K41" s="226"/>
      <c r="L41" s="782"/>
      <c r="M41" s="779"/>
      <c r="N41" s="785"/>
      <c r="P41" s="225" t="s">
        <v>339</v>
      </c>
      <c r="Q41" s="786"/>
      <c r="R41" s="786"/>
      <c r="S41" s="768"/>
      <c r="T41" s="773"/>
      <c r="U41" s="776"/>
      <c r="V41" s="779"/>
      <c r="W41" s="782"/>
      <c r="X41" s="226"/>
      <c r="Y41" s="226" t="s">
        <v>340</v>
      </c>
      <c r="Z41" s="226"/>
      <c r="AA41" s="782"/>
      <c r="AB41" s="779"/>
      <c r="AC41" s="785"/>
    </row>
    <row r="42" spans="1:29" ht="20.25" customHeight="1" x14ac:dyDescent="0.15">
      <c r="A42" s="787" t="s">
        <v>341</v>
      </c>
      <c r="B42" s="787"/>
      <c r="C42" s="787"/>
      <c r="D42" s="788"/>
      <c r="E42" s="227"/>
      <c r="F42" s="228" t="s">
        <v>242</v>
      </c>
      <c r="G42" s="228" t="s">
        <v>342</v>
      </c>
      <c r="H42" s="228" t="s">
        <v>317</v>
      </c>
      <c r="I42" s="228"/>
      <c r="J42" s="229"/>
      <c r="K42" s="228"/>
      <c r="L42" s="228" t="s">
        <v>317</v>
      </c>
      <c r="M42" s="228" t="s">
        <v>342</v>
      </c>
      <c r="N42" s="230" t="s">
        <v>242</v>
      </c>
      <c r="P42" s="787" t="s">
        <v>341</v>
      </c>
      <c r="Q42" s="787"/>
      <c r="R42" s="787"/>
      <c r="S42" s="788"/>
      <c r="T42" s="227"/>
      <c r="U42" s="228" t="s">
        <v>242</v>
      </c>
      <c r="V42" s="228" t="s">
        <v>342</v>
      </c>
      <c r="W42" s="228" t="s">
        <v>317</v>
      </c>
      <c r="X42" s="228"/>
      <c r="Y42" s="229"/>
      <c r="Z42" s="228"/>
      <c r="AA42" s="228" t="s">
        <v>317</v>
      </c>
      <c r="AB42" s="228" t="s">
        <v>342</v>
      </c>
      <c r="AC42" s="230" t="s">
        <v>242</v>
      </c>
    </row>
    <row r="43" spans="1:29" ht="20.25" hidden="1" customHeight="1" x14ac:dyDescent="0.15">
      <c r="E43" s="231" t="s">
        <v>343</v>
      </c>
      <c r="F43" s="232" t="str">
        <f>IF(ISERROR(VLOOKUP(CONCATENATE($F$39,"_",G43),選手名簿!$A:$E,5,FALSE))=TRUE,"",VLOOKUP(CONCATENATE($F$39,"_",G43),選手名簿!$A:$E,5,FALSE))</f>
        <v/>
      </c>
      <c r="G43" s="233"/>
      <c r="H43" s="233"/>
      <c r="I43" s="233"/>
      <c r="J43" s="234"/>
      <c r="K43" s="233"/>
      <c r="L43" s="233"/>
      <c r="M43" s="233"/>
      <c r="N43" s="235" t="str">
        <f>IF(ISERROR(VLOOKUP(CONCATENATE($N$39,"_",M43),選手名簿!$A:$E,5,FALSE))=TRUE,"",VLOOKUP(CONCATENATE($N$39,"_",M43),選手名簿!$A:$E,5,FALSE))</f>
        <v/>
      </c>
      <c r="T43" s="231" t="s">
        <v>343</v>
      </c>
      <c r="U43" s="232" t="str">
        <f>IF(ISERROR(VLOOKUP(CONCATENATE($U$39,"_",V43),選手名簿!$A:$E,5,FALSE))=TRUE,"",VLOOKUP(CONCATENATE($U$39,"_",V43),選手名簿!$A:$E,5,FALSE))</f>
        <v/>
      </c>
      <c r="V43" s="233"/>
      <c r="W43" s="233"/>
      <c r="X43" s="233"/>
      <c r="Y43" s="234"/>
      <c r="Z43" s="233"/>
      <c r="AA43" s="233"/>
      <c r="AB43" s="233"/>
      <c r="AC43" s="235" t="str">
        <f>IF(ISERROR(VLOOKUP(CONCATENATE($AC$39,"_",AB43),選手名簿!$A:$E,5,FALSE))=TRUE,"",VLOOKUP(CONCATENATE($AC$39,"_",AB43),選手名簿!$A:$E,5,FALSE))</f>
        <v/>
      </c>
    </row>
    <row r="44" spans="1:29" ht="20.25" hidden="1" customHeight="1" x14ac:dyDescent="0.15">
      <c r="E44" s="231" t="s">
        <v>343</v>
      </c>
      <c r="F44" s="232" t="str">
        <f>IF(ISERROR(VLOOKUP(CONCATENATE($F$39,"_",G44),選手名簿!$A:$E,5,FALSE))=TRUE,"",VLOOKUP(CONCATENATE($F$39,"_",G44),選手名簿!$A:$E,5,FALSE))</f>
        <v/>
      </c>
      <c r="G44" s="233"/>
      <c r="H44" s="233"/>
      <c r="I44" s="233"/>
      <c r="J44" s="234"/>
      <c r="K44" s="233"/>
      <c r="L44" s="233"/>
      <c r="M44" s="233"/>
      <c r="N44" s="235" t="str">
        <f>IF(ISERROR(VLOOKUP(CONCATENATE($N$39,"_",M44),選手名簿!$A:$E,5,FALSE))=TRUE,"",VLOOKUP(CONCATENATE($N$39,"_",M44),選手名簿!$A:$E,5,FALSE))</f>
        <v/>
      </c>
      <c r="T44" s="231" t="s">
        <v>343</v>
      </c>
      <c r="U44" s="232" t="str">
        <f>IF(ISERROR(VLOOKUP(CONCATENATE($U$39,"_",V44),選手名簿!$A:$E,5,FALSE))=TRUE,"",VLOOKUP(CONCATENATE($U$39,"_",V44),選手名簿!$A:$E,5,FALSE))</f>
        <v/>
      </c>
      <c r="V44" s="233"/>
      <c r="W44" s="233"/>
      <c r="X44" s="233"/>
      <c r="Y44" s="234"/>
      <c r="Z44" s="233"/>
      <c r="AA44" s="233"/>
      <c r="AB44" s="233"/>
      <c r="AC44" s="235" t="str">
        <f>IF(ISERROR(VLOOKUP(CONCATENATE($AC$39,"_",AB44),選手名簿!$A:$E,5,FALSE))=TRUE,"",VLOOKUP(CONCATENATE($AC$39,"_",AB44),選手名簿!$A:$E,5,FALSE))</f>
        <v/>
      </c>
    </row>
    <row r="45" spans="1:29" ht="20.25" hidden="1" customHeight="1" x14ac:dyDescent="0.15">
      <c r="E45" s="231" t="s">
        <v>343</v>
      </c>
      <c r="F45" s="232" t="str">
        <f>IF(ISERROR(VLOOKUP(CONCATENATE($F$39,"_",G45),選手名簿!$A:$E,5,FALSE))=TRUE,"",VLOOKUP(CONCATENATE($F$39,"_",G45),選手名簿!$A:$E,5,FALSE))</f>
        <v/>
      </c>
      <c r="G45" s="233"/>
      <c r="H45" s="233"/>
      <c r="I45" s="233"/>
      <c r="J45" s="234"/>
      <c r="K45" s="233"/>
      <c r="L45" s="233"/>
      <c r="M45" s="233"/>
      <c r="N45" s="235" t="str">
        <f>IF(ISERROR(VLOOKUP(CONCATENATE($N$39,"_",M45),選手名簿!$A:$E,5,FALSE))=TRUE,"",VLOOKUP(CONCATENATE($N$39,"_",M45),選手名簿!$A:$E,5,FALSE))</f>
        <v/>
      </c>
      <c r="T45" s="231" t="s">
        <v>343</v>
      </c>
      <c r="U45" s="232" t="str">
        <f>IF(ISERROR(VLOOKUP(CONCATENATE($U$39,"_",V45),選手名簿!$A:$E,5,FALSE))=TRUE,"",VLOOKUP(CONCATENATE($U$39,"_",V45),選手名簿!$A:$E,5,FALSE))</f>
        <v/>
      </c>
      <c r="V45" s="233"/>
      <c r="W45" s="233"/>
      <c r="X45" s="233"/>
      <c r="Y45" s="234"/>
      <c r="Z45" s="233"/>
      <c r="AA45" s="233"/>
      <c r="AB45" s="233"/>
      <c r="AC45" s="235" t="str">
        <f>IF(ISERROR(VLOOKUP(CONCATENATE($AC$39,"_",AB45),選手名簿!$A:$E,5,FALSE))=TRUE,"",VLOOKUP(CONCATENATE($AC$39,"_",AB45),選手名簿!$A:$E,5,FALSE))</f>
        <v/>
      </c>
    </row>
    <row r="46" spans="1:29" ht="20.25" hidden="1" customHeight="1" x14ac:dyDescent="0.15">
      <c r="E46" s="231" t="s">
        <v>343</v>
      </c>
      <c r="F46" s="232" t="str">
        <f>IF(ISERROR(VLOOKUP(CONCATENATE($F$39,"_",G46),選手名簿!$A:$E,5,FALSE))=TRUE,"",VLOOKUP(CONCATENATE($F$39,"_",G46),選手名簿!$A:$E,5,FALSE))</f>
        <v/>
      </c>
      <c r="G46" s="233"/>
      <c r="H46" s="233"/>
      <c r="I46" s="233"/>
      <c r="J46" s="234"/>
      <c r="K46" s="233"/>
      <c r="L46" s="233"/>
      <c r="M46" s="233"/>
      <c r="N46" s="235" t="str">
        <f>IF(ISERROR(VLOOKUP(CONCATENATE($N$39,"_",M46),選手名簿!$A:$E,5,FALSE))=TRUE,"",VLOOKUP(CONCATENATE($N$39,"_",M46),選手名簿!$A:$E,5,FALSE))</f>
        <v/>
      </c>
      <c r="T46" s="231" t="s">
        <v>343</v>
      </c>
      <c r="U46" s="232" t="str">
        <f>IF(ISERROR(VLOOKUP(CONCATENATE($U$39,"_",V46),選手名簿!$A:$E,5,FALSE))=TRUE,"",VLOOKUP(CONCATENATE($U$39,"_",V46),選手名簿!$A:$E,5,FALSE))</f>
        <v/>
      </c>
      <c r="V46" s="233"/>
      <c r="W46" s="233"/>
      <c r="X46" s="233"/>
      <c r="Y46" s="234"/>
      <c r="Z46" s="233"/>
      <c r="AA46" s="233"/>
      <c r="AB46" s="233"/>
      <c r="AC46" s="235" t="str">
        <f>IF(ISERROR(VLOOKUP(CONCATENATE($AC$39,"_",AB46),選手名簿!$A:$E,5,FALSE))=TRUE,"",VLOOKUP(CONCATENATE($AC$39,"_",AB46),選手名簿!$A:$E,5,FALSE))</f>
        <v/>
      </c>
    </row>
    <row r="47" spans="1:29" ht="20.25" hidden="1" customHeight="1" x14ac:dyDescent="0.15">
      <c r="E47" s="231" t="s">
        <v>343</v>
      </c>
      <c r="F47" s="232" t="str">
        <f>IF(ISERROR(VLOOKUP(CONCATENATE($F$39,"_",G47),選手名簿!$A:$E,5,FALSE))=TRUE,"",VLOOKUP(CONCATENATE($F$39,"_",G47),選手名簿!$A:$E,5,FALSE))</f>
        <v/>
      </c>
      <c r="G47" s="233"/>
      <c r="H47" s="233"/>
      <c r="I47" s="233"/>
      <c r="J47" s="234"/>
      <c r="K47" s="233"/>
      <c r="L47" s="233"/>
      <c r="M47" s="233"/>
      <c r="N47" s="235" t="str">
        <f>IF(ISERROR(VLOOKUP(CONCATENATE($N$39,"_",M47),選手名簿!$A:$E,5,FALSE))=TRUE,"",VLOOKUP(CONCATENATE($N$39,"_",M47),選手名簿!$A:$E,5,FALSE))</f>
        <v/>
      </c>
      <c r="T47" s="231" t="s">
        <v>343</v>
      </c>
      <c r="U47" s="232" t="str">
        <f>IF(ISERROR(VLOOKUP(CONCATENATE($U$39,"_",V47),選手名簿!$A:$E,5,FALSE))=TRUE,"",VLOOKUP(CONCATENATE($U$39,"_",V47),選手名簿!$A:$E,5,FALSE))</f>
        <v/>
      </c>
      <c r="V47" s="233"/>
      <c r="W47" s="233"/>
      <c r="X47" s="233"/>
      <c r="Y47" s="234"/>
      <c r="Z47" s="233"/>
      <c r="AA47" s="233"/>
      <c r="AB47" s="233"/>
      <c r="AC47" s="235" t="str">
        <f>IF(ISERROR(VLOOKUP(CONCATENATE($AC$39,"_",AB47),選手名簿!$A:$E,5,FALSE))=TRUE,"",VLOOKUP(CONCATENATE($AC$39,"_",AB47),選手名簿!$A:$E,5,FALSE))</f>
        <v/>
      </c>
    </row>
    <row r="48" spans="1:29" ht="20.25" hidden="1" customHeight="1" x14ac:dyDescent="0.15">
      <c r="E48" s="231" t="s">
        <v>343</v>
      </c>
      <c r="F48" s="232" t="str">
        <f>IF(ISERROR(VLOOKUP(CONCATENATE($F$39,"_",G48),選手名簿!$A:$E,5,FALSE))=TRUE,"",VLOOKUP(CONCATENATE($F$39,"_",G48),選手名簿!$A:$E,5,FALSE))</f>
        <v/>
      </c>
      <c r="G48" s="233"/>
      <c r="H48" s="233"/>
      <c r="I48" s="233"/>
      <c r="J48" s="234"/>
      <c r="K48" s="233"/>
      <c r="L48" s="233"/>
      <c r="M48" s="233"/>
      <c r="N48" s="235" t="str">
        <f>IF(ISERROR(VLOOKUP(CONCATENATE($N$39,"_",M48),選手名簿!$A:$E,5,FALSE))=TRUE,"",VLOOKUP(CONCATENATE($N$39,"_",M48),選手名簿!$A:$E,5,FALSE))</f>
        <v/>
      </c>
      <c r="T48" s="231" t="s">
        <v>343</v>
      </c>
      <c r="U48" s="232" t="str">
        <f>IF(ISERROR(VLOOKUP(CONCATENATE($U$39,"_",V48),選手名簿!$A:$E,5,FALSE))=TRUE,"",VLOOKUP(CONCATENATE($U$39,"_",V48),選手名簿!$A:$E,5,FALSE))</f>
        <v/>
      </c>
      <c r="V48" s="233"/>
      <c r="W48" s="233"/>
      <c r="X48" s="233"/>
      <c r="Y48" s="234"/>
      <c r="Z48" s="233"/>
      <c r="AA48" s="233"/>
      <c r="AB48" s="233"/>
      <c r="AC48" s="235" t="str">
        <f>IF(ISERROR(VLOOKUP(CONCATENATE($AC$39,"_",AB48),選手名簿!$A:$E,5,FALSE))=TRUE,"",VLOOKUP(CONCATENATE($AC$39,"_",AB48),選手名簿!$A:$E,5,FALSE))</f>
        <v/>
      </c>
    </row>
    <row r="49" spans="1:29" ht="20.25" hidden="1" customHeight="1" x14ac:dyDescent="0.15">
      <c r="E49" s="231" t="s">
        <v>343</v>
      </c>
      <c r="F49" s="232" t="str">
        <f>IF(ISERROR(VLOOKUP(CONCATENATE($F$39,"_",G49),選手名簿!$A:$E,5,FALSE))=TRUE,"",VLOOKUP(CONCATENATE($F$39,"_",G49),選手名簿!$A:$E,5,FALSE))</f>
        <v/>
      </c>
      <c r="G49" s="233"/>
      <c r="H49" s="233"/>
      <c r="I49" s="233"/>
      <c r="J49" s="234"/>
      <c r="K49" s="233"/>
      <c r="L49" s="233"/>
      <c r="M49" s="233"/>
      <c r="N49" s="235" t="str">
        <f>IF(ISERROR(VLOOKUP(CONCATENATE($N$39,"_",M49),選手名簿!$A:$E,5,FALSE))=TRUE,"",VLOOKUP(CONCATENATE($N$39,"_",M49),選手名簿!$A:$E,5,FALSE))</f>
        <v/>
      </c>
      <c r="T49" s="231" t="s">
        <v>343</v>
      </c>
      <c r="U49" s="232" t="str">
        <f>IF(ISERROR(VLOOKUP(CONCATENATE($U$39,"_",V49),選手名簿!$A:$E,5,FALSE))=TRUE,"",VLOOKUP(CONCATENATE($U$39,"_",V49),選手名簿!$A:$E,5,FALSE))</f>
        <v/>
      </c>
      <c r="V49" s="233"/>
      <c r="W49" s="233"/>
      <c r="X49" s="233"/>
      <c r="Y49" s="234"/>
      <c r="Z49" s="233"/>
      <c r="AA49" s="233"/>
      <c r="AB49" s="233"/>
      <c r="AC49" s="235" t="str">
        <f>IF(ISERROR(VLOOKUP(CONCATENATE($AC$39,"_",AB49),選手名簿!$A:$E,5,FALSE))=TRUE,"",VLOOKUP(CONCATENATE($AC$39,"_",AB49),選手名簿!$A:$E,5,FALSE))</f>
        <v/>
      </c>
    </row>
    <row r="50" spans="1:29" ht="20.25" hidden="1" customHeight="1" x14ac:dyDescent="0.15">
      <c r="E50" s="231" t="s">
        <v>343</v>
      </c>
      <c r="F50" s="232" t="str">
        <f>IF(ISERROR(VLOOKUP(CONCATENATE($F$39,"_",G50),選手名簿!$A:$E,5,FALSE))=TRUE,"",VLOOKUP(CONCATENATE($F$39,"_",G50),選手名簿!$A:$E,5,FALSE))</f>
        <v/>
      </c>
      <c r="G50" s="233"/>
      <c r="H50" s="233"/>
      <c r="I50" s="233"/>
      <c r="J50" s="234"/>
      <c r="K50" s="233"/>
      <c r="L50" s="233"/>
      <c r="M50" s="233"/>
      <c r="N50" s="235" t="str">
        <f>IF(ISERROR(VLOOKUP(CONCATENATE($N$39,"_",M50),選手名簿!$A:$E,5,FALSE))=TRUE,"",VLOOKUP(CONCATENATE($N$39,"_",M50),選手名簿!$A:$E,5,FALSE))</f>
        <v/>
      </c>
      <c r="T50" s="231" t="s">
        <v>343</v>
      </c>
      <c r="U50" s="232" t="str">
        <f>IF(ISERROR(VLOOKUP(CONCATENATE($U$39,"_",V50),選手名簿!$A:$E,5,FALSE))=TRUE,"",VLOOKUP(CONCATENATE($U$39,"_",V50),選手名簿!$A:$E,5,FALSE))</f>
        <v/>
      </c>
      <c r="V50" s="233"/>
      <c r="W50" s="233"/>
      <c r="X50" s="233"/>
      <c r="Y50" s="234"/>
      <c r="Z50" s="233"/>
      <c r="AA50" s="233"/>
      <c r="AB50" s="233"/>
      <c r="AC50" s="235" t="str">
        <f>IF(ISERROR(VLOOKUP(CONCATENATE($AC$39,"_",AB50),選手名簿!$A:$E,5,FALSE))=TRUE,"",VLOOKUP(CONCATENATE($AC$39,"_",AB50),選手名簿!$A:$E,5,FALSE))</f>
        <v/>
      </c>
    </row>
    <row r="51" spans="1:29" ht="20.25" hidden="1" customHeight="1" x14ac:dyDescent="0.15">
      <c r="E51" s="231" t="s">
        <v>343</v>
      </c>
      <c r="F51" s="232" t="str">
        <f>IF(ISERROR(VLOOKUP(CONCATENATE($F$39,"_",G51),選手名簿!$A:$E,5,FALSE))=TRUE,"",VLOOKUP(CONCATENATE($F$39,"_",G51),選手名簿!$A:$E,5,FALSE))</f>
        <v/>
      </c>
      <c r="G51" s="233"/>
      <c r="H51" s="233"/>
      <c r="I51" s="233"/>
      <c r="J51" s="234"/>
      <c r="K51" s="233"/>
      <c r="L51" s="233"/>
      <c r="M51" s="233"/>
      <c r="N51" s="235" t="str">
        <f>IF(ISERROR(VLOOKUP(CONCATENATE($N$39,"_",M51),選手名簿!$A:$E,5,FALSE))=TRUE,"",VLOOKUP(CONCATENATE($N$39,"_",M51),選手名簿!$A:$E,5,FALSE))</f>
        <v/>
      </c>
      <c r="T51" s="231" t="s">
        <v>343</v>
      </c>
      <c r="U51" s="232" t="str">
        <f>IF(ISERROR(VLOOKUP(CONCATENATE($U$39,"_",V51),選手名簿!$A:$E,5,FALSE))=TRUE,"",VLOOKUP(CONCATENATE($U$39,"_",V51),選手名簿!$A:$E,5,FALSE))</f>
        <v/>
      </c>
      <c r="V51" s="233"/>
      <c r="W51" s="233"/>
      <c r="X51" s="233"/>
      <c r="Y51" s="234"/>
      <c r="Z51" s="233"/>
      <c r="AA51" s="233"/>
      <c r="AB51" s="233"/>
      <c r="AC51" s="235" t="str">
        <f>IF(ISERROR(VLOOKUP(CONCATENATE($AC$39,"_",AB51),選手名簿!$A:$E,5,FALSE))=TRUE,"",VLOOKUP(CONCATENATE($AC$39,"_",AB51),選手名簿!$A:$E,5,FALSE))</f>
        <v/>
      </c>
    </row>
    <row r="52" spans="1:29" ht="20.25" hidden="1" customHeight="1" x14ac:dyDescent="0.15">
      <c r="E52" s="236" t="s">
        <v>343</v>
      </c>
      <c r="F52" s="237" t="str">
        <f>IF(ISERROR(VLOOKUP(CONCATENATE($F$39,"_",G52),選手名簿!$A:$E,5,FALSE))=TRUE,"",VLOOKUP(CONCATENATE($F$39,"_",G52),選手名簿!$A:$E,5,FALSE))</f>
        <v/>
      </c>
      <c r="G52" s="238"/>
      <c r="H52" s="238"/>
      <c r="I52" s="238"/>
      <c r="J52" s="239"/>
      <c r="K52" s="238"/>
      <c r="L52" s="238"/>
      <c r="M52" s="238"/>
      <c r="N52" s="240" t="str">
        <f>IF(ISERROR(VLOOKUP(CONCATENATE($N$39,"_",M52),選手名簿!$A:$E,5,FALSE))=TRUE,"",VLOOKUP(CONCATENATE($N$39,"_",M52),選手名簿!$A:$E,5,FALSE))</f>
        <v/>
      </c>
      <c r="T52" s="236" t="s">
        <v>343</v>
      </c>
      <c r="U52" s="237" t="str">
        <f>IF(ISERROR(VLOOKUP(CONCATENATE($U$39,"_",V52),選手名簿!$A:$E,5,FALSE))=TRUE,"",VLOOKUP(CONCATENATE($U$39,"_",V52),選手名簿!$A:$E,5,FALSE))</f>
        <v/>
      </c>
      <c r="V52" s="238"/>
      <c r="W52" s="238"/>
      <c r="X52" s="238"/>
      <c r="Y52" s="239"/>
      <c r="Z52" s="238"/>
      <c r="AA52" s="238"/>
      <c r="AB52" s="238"/>
      <c r="AC52" s="240" t="str">
        <f>IF(ISERROR(VLOOKUP(CONCATENATE($AC$39,"_",AB52),選手名簿!$A:$E,5,FALSE))=TRUE,"",VLOOKUP(CONCATENATE($AC$39,"_",AB52),選手名簿!$A:$E,5,FALSE))</f>
        <v/>
      </c>
    </row>
    <row r="53" spans="1:29" ht="20.25" customHeight="1" x14ac:dyDescent="0.15">
      <c r="A53" s="241" t="s">
        <v>342</v>
      </c>
      <c r="B53" s="789"/>
      <c r="C53" s="789"/>
      <c r="D53" s="789"/>
      <c r="E53" s="231" t="s">
        <v>243</v>
      </c>
      <c r="F53" s="232" t="str">
        <f>IF(ISERROR(VLOOKUP(CONCATENATE($F$39,"_",G53),選手名簿!$A:$E,5,FALSE))=TRUE,"",VLOOKUP(CONCATENATE($F$39,"_",G53),選手名簿!$A:$E,5,FALSE))</f>
        <v/>
      </c>
      <c r="G53" s="233"/>
      <c r="H53" s="233"/>
      <c r="I53" s="233"/>
      <c r="J53" s="234"/>
      <c r="K53" s="233"/>
      <c r="L53" s="233"/>
      <c r="M53" s="233"/>
      <c r="N53" s="235" t="str">
        <f>IF(ISERROR(VLOOKUP(CONCATENATE($N$39,"_",M53),選手名簿!$A:$E,5,FALSE))=TRUE,"",VLOOKUP(CONCATENATE($N$39,"_",M53),選手名簿!$A:$E,5,FALSE))</f>
        <v/>
      </c>
      <c r="P53" s="241" t="s">
        <v>342</v>
      </c>
      <c r="Q53" s="789"/>
      <c r="R53" s="789"/>
      <c r="S53" s="789"/>
      <c r="T53" s="231" t="s">
        <v>243</v>
      </c>
      <c r="U53" s="232" t="str">
        <f>IF(ISERROR(VLOOKUP(CONCATENATE($U$39,"_",V53),選手名簿!$A:$E,5,FALSE))=TRUE,"",VLOOKUP(CONCATENATE($U$39,"_",V53),選手名簿!$A:$E,5,FALSE))</f>
        <v/>
      </c>
      <c r="V53" s="233"/>
      <c r="W53" s="233"/>
      <c r="X53" s="233"/>
      <c r="Y53" s="234"/>
      <c r="Z53" s="233"/>
      <c r="AA53" s="233"/>
      <c r="AB53" s="233"/>
      <c r="AC53" s="235" t="str">
        <f>IF(ISERROR(VLOOKUP(CONCATENATE($AC$39,"_",AB53),選手名簿!$A:$E,5,FALSE))=TRUE,"",VLOOKUP(CONCATENATE($AC$39,"_",AB53),選手名簿!$A:$E,5,FALSE))</f>
        <v/>
      </c>
    </row>
    <row r="54" spans="1:29" ht="20.25" customHeight="1" x14ac:dyDescent="0.15">
      <c r="A54" s="242" t="s">
        <v>344</v>
      </c>
      <c r="B54" s="790" t="str">
        <f>IF(ISERROR(VLOOKUP(B53,審判員!$A:$C,2,FALSE))=TRUE,"",VLOOKUP(B53,審判員!$A:$C,2,FALSE))</f>
        <v/>
      </c>
      <c r="C54" s="791"/>
      <c r="D54" s="242" t="str">
        <f>IF(ISERROR(VLOOKUP(B53,審判員!$A:$C,3,FALSE))=TRUE,"",VLOOKUP(B53,審判員!$A:$C,3,FALSE))</f>
        <v/>
      </c>
      <c r="E54" s="244" t="s">
        <v>243</v>
      </c>
      <c r="F54" s="245" t="str">
        <f>IF(ISERROR(VLOOKUP(CONCATENATE($F$39,"_",G54),選手名簿!$A:$E,5,FALSE))=TRUE,"",VLOOKUP(CONCATENATE($F$39,"_",G54),選手名簿!$A:$E,5,FALSE))</f>
        <v/>
      </c>
      <c r="G54" s="246"/>
      <c r="H54" s="246"/>
      <c r="I54" s="246"/>
      <c r="J54" s="234"/>
      <c r="K54" s="246"/>
      <c r="L54" s="246"/>
      <c r="M54" s="246"/>
      <c r="N54" s="247" t="str">
        <f>IF(ISERROR(VLOOKUP(CONCATENATE($N$39,"_",M54),選手名簿!$A:$E,5,FALSE))=TRUE,"",VLOOKUP(CONCATENATE($N$39,"_",M54),選手名簿!$A:$E,5,FALSE))</f>
        <v/>
      </c>
      <c r="P54" s="242" t="s">
        <v>344</v>
      </c>
      <c r="Q54" s="790" t="str">
        <f>IF(ISERROR(VLOOKUP(Q53,審判員!$A:$C,2,FALSE))=TRUE,"",VLOOKUP(Q53,審判員!$A:$C,2,FALSE))</f>
        <v/>
      </c>
      <c r="R54" s="791"/>
      <c r="S54" s="242" t="str">
        <f>IF(ISERROR(VLOOKUP(Q53,審判員!$A:$C,3,FALSE))=TRUE,"",VLOOKUP(Q53,審判員!$A:$C,3,FALSE))</f>
        <v/>
      </c>
      <c r="T54" s="244" t="s">
        <v>243</v>
      </c>
      <c r="U54" s="245" t="str">
        <f>IF(ISERROR(VLOOKUP(CONCATENATE($U$39,"_",V54),選手名簿!$A:$E,5,FALSE))=TRUE,"",VLOOKUP(CONCATENATE($U$39,"_",V54),選手名簿!$A:$E,5,FALSE))</f>
        <v/>
      </c>
      <c r="V54" s="246"/>
      <c r="W54" s="246"/>
      <c r="X54" s="246"/>
      <c r="Y54" s="234"/>
      <c r="Z54" s="246"/>
      <c r="AA54" s="246"/>
      <c r="AB54" s="246"/>
      <c r="AC54" s="247" t="str">
        <f>IF(ISERROR(VLOOKUP(CONCATENATE($AC$39,"_",AB54),選手名簿!$A:$E,5,FALSE))=TRUE,"",VLOOKUP(CONCATENATE($AC$39,"_",AB54),選手名簿!$A:$E,5,FALSE))</f>
        <v/>
      </c>
    </row>
    <row r="55" spans="1:29" ht="20.25" customHeight="1" x14ac:dyDescent="0.15">
      <c r="A55" s="430" t="s">
        <v>342</v>
      </c>
      <c r="B55" s="792"/>
      <c r="C55" s="792"/>
      <c r="D55" s="793"/>
      <c r="E55" s="244" t="s">
        <v>243</v>
      </c>
      <c r="F55" s="245" t="str">
        <f>IF(ISERROR(VLOOKUP(CONCATENATE($F$39,"_",G55),選手名簿!$A:$E,5,FALSE))=TRUE,"",VLOOKUP(CONCATENATE($F$39,"_",G55),選手名簿!$A:$E,5,FALSE))</f>
        <v/>
      </c>
      <c r="G55" s="246"/>
      <c r="H55" s="246"/>
      <c r="I55" s="246"/>
      <c r="J55" s="234"/>
      <c r="K55" s="246"/>
      <c r="L55" s="246"/>
      <c r="M55" s="246"/>
      <c r="N55" s="247" t="str">
        <f>IF(ISERROR(VLOOKUP(CONCATENATE($N$39,"_",M55),選手名簿!$A:$E,5,FALSE))=TRUE,"",VLOOKUP(CONCATENATE($N$39,"_",M55),選手名簿!$A:$E,5,FALSE))</f>
        <v/>
      </c>
      <c r="P55" s="430" t="s">
        <v>342</v>
      </c>
      <c r="Q55" s="792"/>
      <c r="R55" s="792"/>
      <c r="S55" s="793"/>
      <c r="T55" s="244" t="s">
        <v>243</v>
      </c>
      <c r="U55" s="245" t="str">
        <f>IF(ISERROR(VLOOKUP(CONCATENATE($U$39,"_",V55),選手名簿!$A:$E,5,FALSE))=TRUE,"",VLOOKUP(CONCATENATE($U$39,"_",V55),選手名簿!$A:$E,5,FALSE))</f>
        <v/>
      </c>
      <c r="V55" s="246"/>
      <c r="W55" s="246"/>
      <c r="X55" s="246"/>
      <c r="Y55" s="234"/>
      <c r="Z55" s="246"/>
      <c r="AA55" s="246"/>
      <c r="AB55" s="246"/>
      <c r="AC55" s="247" t="str">
        <f>IF(ISERROR(VLOOKUP(CONCATENATE($AC$39,"_",AB55),選手名簿!$A:$E,5,FALSE))=TRUE,"",VLOOKUP(CONCATENATE($AC$39,"_",AB55),選手名簿!$A:$E,5,FALSE))</f>
        <v/>
      </c>
    </row>
    <row r="56" spans="1:29" ht="20.25" customHeight="1" x14ac:dyDescent="0.15">
      <c r="A56" s="430" t="s">
        <v>345</v>
      </c>
      <c r="B56" s="796" t="str">
        <f>IF(ISERROR(VLOOKUP(B55,審判員!$A:$C,2,FALSE))=TRUE,"",VLOOKUP(B55,審判員!$A:$C,2,FALSE))</f>
        <v/>
      </c>
      <c r="C56" s="797"/>
      <c r="D56" s="430" t="str">
        <f>IF(ISERROR(VLOOKUP(B55,審判員!$A:$C,3,FALSE))=TRUE,"",VLOOKUP(B55,審判員!$A:$C,3,FALSE))</f>
        <v/>
      </c>
      <c r="E56" s="244" t="s">
        <v>243</v>
      </c>
      <c r="F56" s="245" t="str">
        <f>IF(ISERROR(VLOOKUP(CONCATENATE($F$39,"_",G56),選手名簿!$A:$E,5,FALSE))=TRUE,"",VLOOKUP(CONCATENATE($F$39,"_",G56),選手名簿!$A:$E,5,FALSE))</f>
        <v/>
      </c>
      <c r="G56" s="246"/>
      <c r="H56" s="246"/>
      <c r="I56" s="246"/>
      <c r="J56" s="234"/>
      <c r="K56" s="246"/>
      <c r="L56" s="246"/>
      <c r="M56" s="246"/>
      <c r="N56" s="247" t="str">
        <f>IF(ISERROR(VLOOKUP(CONCATENATE($N$39,"_",M56),選手名簿!$A:$E,5,FALSE))=TRUE,"",VLOOKUP(CONCATENATE($N$39,"_",M56),選手名簿!$A:$E,5,FALSE))</f>
        <v/>
      </c>
      <c r="P56" s="430" t="s">
        <v>345</v>
      </c>
      <c r="Q56" s="796" t="str">
        <f>IF(ISERROR(VLOOKUP(Q55,審判員!$A:$C,2,FALSE))=TRUE,"",VLOOKUP(Q55,審判員!$A:$C,2,FALSE))</f>
        <v/>
      </c>
      <c r="R56" s="797"/>
      <c r="S56" s="430" t="str">
        <f>IF(ISERROR(VLOOKUP(Q55,審判員!$A:$C,3,FALSE))=TRUE,"",VLOOKUP(Q55,審判員!$A:$C,3,FALSE))</f>
        <v/>
      </c>
      <c r="T56" s="244" t="s">
        <v>243</v>
      </c>
      <c r="U56" s="245" t="str">
        <f>IF(ISERROR(VLOOKUP(CONCATENATE($U$39,"_",V56),選手名簿!$A:$E,5,FALSE))=TRUE,"",VLOOKUP(CONCATENATE($U$39,"_",V56),選手名簿!$A:$E,5,FALSE))</f>
        <v/>
      </c>
      <c r="V56" s="246"/>
      <c r="W56" s="246"/>
      <c r="X56" s="246"/>
      <c r="Y56" s="234"/>
      <c r="Z56" s="246"/>
      <c r="AA56" s="246"/>
      <c r="AB56" s="246"/>
      <c r="AC56" s="247" t="str">
        <f>IF(ISERROR(VLOOKUP(CONCATENATE($AC$39,"_",AB56),選手名簿!$A:$E,5,FALSE))=TRUE,"",VLOOKUP(CONCATENATE($AC$39,"_",AB56),選手名簿!$A:$E,5,FALSE))</f>
        <v/>
      </c>
    </row>
    <row r="57" spans="1:29" ht="20.25" customHeight="1" x14ac:dyDescent="0.15">
      <c r="A57" s="430" t="s">
        <v>342</v>
      </c>
      <c r="B57" s="792"/>
      <c r="C57" s="792"/>
      <c r="D57" s="793"/>
      <c r="E57" s="244" t="s">
        <v>243</v>
      </c>
      <c r="F57" s="245" t="str">
        <f>IF(ISERROR(VLOOKUP(CONCATENATE($F$39,"_",G57),選手名簿!$A:$E,5,FALSE))=TRUE,"",VLOOKUP(CONCATENATE($F$39,"_",G57),選手名簿!$A:$E,5,FALSE))</f>
        <v/>
      </c>
      <c r="G57" s="246"/>
      <c r="H57" s="246"/>
      <c r="I57" s="246"/>
      <c r="J57" s="234"/>
      <c r="K57" s="246"/>
      <c r="L57" s="246"/>
      <c r="M57" s="246"/>
      <c r="N57" s="247" t="str">
        <f>IF(ISERROR(VLOOKUP(CONCATENATE($N$39,"_",M57),選手名簿!$A:$E,5,FALSE))=TRUE,"",VLOOKUP(CONCATENATE($N$39,"_",M57),選手名簿!$A:$E,5,FALSE))</f>
        <v/>
      </c>
      <c r="P57" s="430" t="s">
        <v>342</v>
      </c>
      <c r="Q57" s="792"/>
      <c r="R57" s="792"/>
      <c r="S57" s="793"/>
      <c r="T57" s="244" t="s">
        <v>243</v>
      </c>
      <c r="U57" s="245" t="str">
        <f>IF(ISERROR(VLOOKUP(CONCATENATE($U$39,"_",V57),選手名簿!$A:$E,5,FALSE))=TRUE,"",VLOOKUP(CONCATENATE($U$39,"_",V57),選手名簿!$A:$E,5,FALSE))</f>
        <v/>
      </c>
      <c r="V57" s="246"/>
      <c r="W57" s="246"/>
      <c r="X57" s="246"/>
      <c r="Y57" s="234"/>
      <c r="Z57" s="246"/>
      <c r="AA57" s="246"/>
      <c r="AB57" s="246"/>
      <c r="AC57" s="247" t="str">
        <f>IF(ISERROR(VLOOKUP(CONCATENATE($AC$39,"_",AB57),選手名簿!$A:$E,5,FALSE))=TRUE,"",VLOOKUP(CONCATENATE($AC$39,"_",AB57),選手名簿!$A:$E,5,FALSE))</f>
        <v/>
      </c>
    </row>
    <row r="58" spans="1:29" ht="20.25" customHeight="1" x14ac:dyDescent="0.15">
      <c r="A58" s="430" t="s">
        <v>346</v>
      </c>
      <c r="B58" s="796" t="str">
        <f>IF(ISERROR(VLOOKUP(B57,審判員!$A:$C,2,FALSE))=TRUE,"",VLOOKUP(B57,審判員!$A:$C,2,FALSE))</f>
        <v/>
      </c>
      <c r="C58" s="797"/>
      <c r="D58" s="430" t="str">
        <f>IF(ISERROR(VLOOKUP(B57,審判員!$A:$C,3,FALSE))=TRUE,"",VLOOKUP(B57,審判員!$A:$C,3,FALSE))</f>
        <v/>
      </c>
      <c r="E58" s="244" t="s">
        <v>243</v>
      </c>
      <c r="F58" s="245" t="str">
        <f>IF(ISERROR(VLOOKUP(CONCATENATE($F$39,"_",G58),選手名簿!$A:$E,5,FALSE))=TRUE,"",VLOOKUP(CONCATENATE($F$39,"_",G58),選手名簿!$A:$E,5,FALSE))</f>
        <v/>
      </c>
      <c r="G58" s="246"/>
      <c r="H58" s="246"/>
      <c r="I58" s="246"/>
      <c r="J58" s="234"/>
      <c r="K58" s="246"/>
      <c r="L58" s="246"/>
      <c r="M58" s="246"/>
      <c r="N58" s="247" t="str">
        <f>IF(ISERROR(VLOOKUP(CONCATENATE($N$39,"_",M58),選手名簿!$A:$E,5,FALSE))=TRUE,"",VLOOKUP(CONCATENATE($N$39,"_",M58),選手名簿!$A:$E,5,FALSE))</f>
        <v/>
      </c>
      <c r="P58" s="430" t="s">
        <v>346</v>
      </c>
      <c r="Q58" s="796" t="str">
        <f>IF(ISERROR(VLOOKUP(Q57,審判員!$A:$C,2,FALSE))=TRUE,"",VLOOKUP(Q57,審判員!$A:$C,2,FALSE))</f>
        <v/>
      </c>
      <c r="R58" s="797"/>
      <c r="S58" s="430" t="str">
        <f>IF(ISERROR(VLOOKUP(Q57,審判員!$A:$C,3,FALSE))=TRUE,"",VLOOKUP(Q57,審判員!$A:$C,3,FALSE))</f>
        <v/>
      </c>
      <c r="T58" s="244" t="s">
        <v>243</v>
      </c>
      <c r="U58" s="245" t="str">
        <f>IF(ISERROR(VLOOKUP(CONCATENATE($U$39,"_",V58),選手名簿!$A:$E,5,FALSE))=TRUE,"",VLOOKUP(CONCATENATE($U$39,"_",V58),選手名簿!$A:$E,5,FALSE))</f>
        <v/>
      </c>
      <c r="V58" s="246"/>
      <c r="W58" s="246"/>
      <c r="X58" s="246"/>
      <c r="Y58" s="234"/>
      <c r="Z58" s="246"/>
      <c r="AA58" s="246"/>
      <c r="AB58" s="246"/>
      <c r="AC58" s="247" t="str">
        <f>IF(ISERROR(VLOOKUP(CONCATENATE($AC$39,"_",AB58),選手名簿!$A:$E,5,FALSE))=TRUE,"",VLOOKUP(CONCATENATE($AC$39,"_",AB58),選手名簿!$A:$E,5,FALSE))</f>
        <v/>
      </c>
    </row>
    <row r="59" spans="1:29" ht="20.25" customHeight="1" x14ac:dyDescent="0.15">
      <c r="A59" s="241" t="s">
        <v>342</v>
      </c>
      <c r="B59" s="789"/>
      <c r="C59" s="789"/>
      <c r="D59" s="789"/>
      <c r="E59" s="244" t="s">
        <v>243</v>
      </c>
      <c r="F59" s="245" t="str">
        <f>IF(ISERROR(VLOOKUP(CONCATENATE($F$39,"_",G59),選手名簿!$A:$E,5,FALSE))=TRUE,"",VLOOKUP(CONCATENATE($F$39,"_",G59),選手名簿!$A:$E,5,FALSE))</f>
        <v/>
      </c>
      <c r="G59" s="246"/>
      <c r="H59" s="246"/>
      <c r="I59" s="246"/>
      <c r="J59" s="234"/>
      <c r="K59" s="246"/>
      <c r="L59" s="246"/>
      <c r="M59" s="246"/>
      <c r="N59" s="247" t="str">
        <f>IF(ISERROR(VLOOKUP(CONCATENATE($N$39,"_",M59),選手名簿!$A:$E,5,FALSE))=TRUE,"",VLOOKUP(CONCATENATE($N$39,"_",M59),選手名簿!$A:$E,5,FALSE))</f>
        <v/>
      </c>
      <c r="P59" s="241" t="s">
        <v>342</v>
      </c>
      <c r="Q59" s="789"/>
      <c r="R59" s="789"/>
      <c r="S59" s="789"/>
      <c r="T59" s="244" t="s">
        <v>243</v>
      </c>
      <c r="U59" s="245" t="str">
        <f>IF(ISERROR(VLOOKUP(CONCATENATE($U$39,"_",V59),選手名簿!$A:$E,5,FALSE))=TRUE,"",VLOOKUP(CONCATENATE($U$39,"_",V59),選手名簿!$A:$E,5,FALSE))</f>
        <v/>
      </c>
      <c r="V59" s="246"/>
      <c r="W59" s="246"/>
      <c r="X59" s="246"/>
      <c r="Y59" s="234"/>
      <c r="Z59" s="246"/>
      <c r="AA59" s="246"/>
      <c r="AB59" s="246"/>
      <c r="AC59" s="247" t="str">
        <f>IF(ISERROR(VLOOKUP(CONCATENATE($AC$39,"_",AB59),選手名簿!$A:$E,5,FALSE))=TRUE,"",VLOOKUP(CONCATENATE($AC$39,"_",AB59),選手名簿!$A:$E,5,FALSE))</f>
        <v/>
      </c>
    </row>
    <row r="60" spans="1:29" ht="20.25" customHeight="1" x14ac:dyDescent="0.15">
      <c r="A60" s="242" t="s">
        <v>347</v>
      </c>
      <c r="B60" s="790" t="str">
        <f>IF(ISERROR(VLOOKUP(B59,審判員!$A:$C,2,FALSE))=TRUE,"",VLOOKUP(B59,審判員!$A:$C,2,FALSE))</f>
        <v/>
      </c>
      <c r="C60" s="791"/>
      <c r="D60" s="242" t="str">
        <f>IF(ISERROR(VLOOKUP(B59,審判員!$A:$C,3,FALSE))=TRUE,"",VLOOKUP(B59,審判員!$A:$C,3,FALSE))</f>
        <v/>
      </c>
      <c r="E60" s="248" t="s">
        <v>243</v>
      </c>
      <c r="F60" s="249" t="str">
        <f>IF(ISERROR(VLOOKUP(CONCATENATE($F$39,"_",G60),選手名簿!$A:$E,5,FALSE))=TRUE,"",VLOOKUP(CONCATENATE($F$39,"_",G60),選手名簿!$A:$E,5,FALSE))</f>
        <v/>
      </c>
      <c r="G60" s="250"/>
      <c r="H60" s="250"/>
      <c r="I60" s="250"/>
      <c r="J60" s="239"/>
      <c r="K60" s="250"/>
      <c r="L60" s="250"/>
      <c r="M60" s="250"/>
      <c r="N60" s="251" t="str">
        <f>IF(ISERROR(VLOOKUP(CONCATENATE($N$39,"_",M60),選手名簿!$A:$E,5,FALSE))=TRUE,"",VLOOKUP(CONCATENATE($N$39,"_",M60),選手名簿!$A:$E,5,FALSE))</f>
        <v/>
      </c>
      <c r="P60" s="242" t="s">
        <v>347</v>
      </c>
      <c r="Q60" s="790" t="str">
        <f>IF(ISERROR(VLOOKUP(Q59,審判員!$A:$C,2,FALSE))=TRUE,"",VLOOKUP(Q59,審判員!$A:$C,2,FALSE))</f>
        <v/>
      </c>
      <c r="R60" s="791"/>
      <c r="S60" s="242" t="str">
        <f>IF(ISERROR(VLOOKUP(Q59,審判員!$A:$C,3,FALSE))=TRUE,"",VLOOKUP(Q59,審判員!$A:$C,3,FALSE))</f>
        <v/>
      </c>
      <c r="T60" s="248" t="s">
        <v>243</v>
      </c>
      <c r="U60" s="249" t="str">
        <f>IF(ISERROR(VLOOKUP(CONCATENATE($U$39,"_",V60),選手名簿!$A:$E,5,FALSE))=TRUE,"",VLOOKUP(CONCATENATE($U$39,"_",V60),選手名簿!$A:$E,5,FALSE))</f>
        <v/>
      </c>
      <c r="V60" s="250"/>
      <c r="W60" s="250"/>
      <c r="X60" s="250"/>
      <c r="Y60" s="239"/>
      <c r="Z60" s="250"/>
      <c r="AA60" s="250"/>
      <c r="AB60" s="250"/>
      <c r="AC60" s="251" t="str">
        <f>IF(ISERROR(VLOOKUP(CONCATENATE($AC$39,"_",AB60),選手名簿!$A:$E,5,FALSE))=TRUE,"",VLOOKUP(CONCATENATE($AC$39,"_",AB60),選手名簿!$A:$E,5,FALSE))</f>
        <v/>
      </c>
    </row>
    <row r="61" spans="1:29" ht="9.9499999999999993" customHeight="1" x14ac:dyDescent="0.15">
      <c r="E61" s="252"/>
      <c r="T61" s="252"/>
    </row>
    <row r="62" spans="1:29" ht="9.9499999999999993" customHeight="1" x14ac:dyDescent="0.15">
      <c r="E62" s="252"/>
      <c r="T62" s="252"/>
    </row>
    <row r="63" spans="1:29" ht="9.9499999999999993" customHeight="1" x14ac:dyDescent="0.15"/>
    <row r="64" spans="1:29" ht="9.9499999999999993" customHeight="1" x14ac:dyDescent="0.15"/>
    <row r="65" spans="1:29" ht="9.9499999999999993" customHeight="1" x14ac:dyDescent="0.15"/>
    <row r="66" spans="1:29" ht="9.9499999999999993" customHeight="1" x14ac:dyDescent="0.15"/>
    <row r="67" spans="1:29" ht="9.9499999999999993" customHeight="1" x14ac:dyDescent="0.15">
      <c r="E67" s="252"/>
      <c r="T67" s="252"/>
    </row>
    <row r="68" spans="1:29" ht="27.4" customHeight="1" x14ac:dyDescent="0.15">
      <c r="A68" s="223" t="s">
        <v>334</v>
      </c>
      <c r="B68" s="768"/>
      <c r="C68" s="769"/>
      <c r="D68" s="770"/>
      <c r="E68" s="771">
        <f>予選リーグ!B29</f>
        <v>0.57638888888888895</v>
      </c>
      <c r="F68" s="774" t="str">
        <f>F7</f>
        <v>西の台ＪＦＣ</v>
      </c>
      <c r="G68" s="777" t="str">
        <f>IF(I68="","",SUM(I68:I69))</f>
        <v/>
      </c>
      <c r="H68" s="780" t="s">
        <v>123</v>
      </c>
      <c r="I68" s="224"/>
      <c r="J68" s="224" t="s">
        <v>335</v>
      </c>
      <c r="K68" s="224"/>
      <c r="L68" s="780" t="s">
        <v>336</v>
      </c>
      <c r="M68" s="777" t="str">
        <f>IF(K68="","",SUM(K68:K69))</f>
        <v/>
      </c>
      <c r="N68" s="783" t="str">
        <f>F5</f>
        <v>ドリームキッズフットボールクラブＦ</v>
      </c>
      <c r="P68" s="223" t="s">
        <v>334</v>
      </c>
      <c r="Q68" s="768"/>
      <c r="R68" s="769"/>
      <c r="S68" s="770"/>
      <c r="T68" s="771">
        <f>予選リーグ!B31</f>
        <v>0.61111111111111105</v>
      </c>
      <c r="U68" s="774" t="str">
        <f>U7</f>
        <v>Ｓｈｙｎｔ　ＦＣ</v>
      </c>
      <c r="V68" s="777" t="str">
        <f>IF(X68="","",SUM(X68:X69))</f>
        <v/>
      </c>
      <c r="W68" s="780" t="s">
        <v>123</v>
      </c>
      <c r="X68" s="224"/>
      <c r="Y68" s="224" t="s">
        <v>335</v>
      </c>
      <c r="Z68" s="224"/>
      <c r="AA68" s="780" t="s">
        <v>336</v>
      </c>
      <c r="AB68" s="777" t="str">
        <f>IF(Z68="","",SUM(Z68:Z69))</f>
        <v/>
      </c>
      <c r="AC68" s="783" t="str">
        <f>U5</f>
        <v>豊府サッカースポーツ少年団</v>
      </c>
    </row>
    <row r="69" spans="1:29" ht="27.4" customHeight="1" x14ac:dyDescent="0.15">
      <c r="A69" s="225" t="s">
        <v>337</v>
      </c>
      <c r="B69" s="786" t="s">
        <v>313</v>
      </c>
      <c r="C69" s="786"/>
      <c r="D69" s="768"/>
      <c r="E69" s="772"/>
      <c r="F69" s="775"/>
      <c r="G69" s="778"/>
      <c r="H69" s="781"/>
      <c r="J69" s="214" t="s">
        <v>338</v>
      </c>
      <c r="L69" s="781"/>
      <c r="M69" s="778"/>
      <c r="N69" s="784"/>
      <c r="P69" s="225" t="s">
        <v>337</v>
      </c>
      <c r="Q69" s="786" t="s">
        <v>313</v>
      </c>
      <c r="R69" s="786"/>
      <c r="S69" s="768"/>
      <c r="T69" s="772"/>
      <c r="U69" s="775"/>
      <c r="V69" s="778"/>
      <c r="W69" s="781"/>
      <c r="Y69" s="214" t="s">
        <v>338</v>
      </c>
      <c r="AA69" s="781"/>
      <c r="AB69" s="778"/>
      <c r="AC69" s="784"/>
    </row>
    <row r="70" spans="1:29" ht="27.4" customHeight="1" x14ac:dyDescent="0.15">
      <c r="A70" s="225" t="s">
        <v>339</v>
      </c>
      <c r="B70" s="786"/>
      <c r="C70" s="786"/>
      <c r="D70" s="768"/>
      <c r="E70" s="773"/>
      <c r="F70" s="776"/>
      <c r="G70" s="779"/>
      <c r="H70" s="782"/>
      <c r="I70" s="226"/>
      <c r="J70" s="226" t="s">
        <v>340</v>
      </c>
      <c r="K70" s="226"/>
      <c r="L70" s="782"/>
      <c r="M70" s="779"/>
      <c r="N70" s="785"/>
      <c r="P70" s="225" t="s">
        <v>339</v>
      </c>
      <c r="Q70" s="786"/>
      <c r="R70" s="786"/>
      <c r="S70" s="768"/>
      <c r="T70" s="773"/>
      <c r="U70" s="776"/>
      <c r="V70" s="779"/>
      <c r="W70" s="782"/>
      <c r="X70" s="226"/>
      <c r="Y70" s="226" t="s">
        <v>340</v>
      </c>
      <c r="Z70" s="226"/>
      <c r="AA70" s="782"/>
      <c r="AB70" s="779"/>
      <c r="AC70" s="785"/>
    </row>
    <row r="71" spans="1:29" ht="20.25" customHeight="1" x14ac:dyDescent="0.15">
      <c r="A71" s="787" t="s">
        <v>341</v>
      </c>
      <c r="B71" s="787"/>
      <c r="C71" s="787"/>
      <c r="D71" s="788"/>
      <c r="E71" s="227"/>
      <c r="F71" s="228" t="s">
        <v>242</v>
      </c>
      <c r="G71" s="228" t="s">
        <v>342</v>
      </c>
      <c r="H71" s="228" t="s">
        <v>317</v>
      </c>
      <c r="I71" s="228"/>
      <c r="J71" s="229"/>
      <c r="K71" s="228"/>
      <c r="L71" s="228" t="s">
        <v>317</v>
      </c>
      <c r="M71" s="228" t="s">
        <v>342</v>
      </c>
      <c r="N71" s="230" t="s">
        <v>242</v>
      </c>
      <c r="P71" s="787" t="s">
        <v>341</v>
      </c>
      <c r="Q71" s="787"/>
      <c r="R71" s="787"/>
      <c r="S71" s="788"/>
      <c r="T71" s="227"/>
      <c r="U71" s="228" t="s">
        <v>242</v>
      </c>
      <c r="V71" s="228" t="s">
        <v>342</v>
      </c>
      <c r="W71" s="228" t="s">
        <v>317</v>
      </c>
      <c r="X71" s="228"/>
      <c r="Y71" s="229"/>
      <c r="Z71" s="228"/>
      <c r="AA71" s="228" t="s">
        <v>317</v>
      </c>
      <c r="AB71" s="228" t="s">
        <v>342</v>
      </c>
      <c r="AC71" s="230" t="s">
        <v>242</v>
      </c>
    </row>
    <row r="72" spans="1:29" ht="20.25" hidden="1" customHeight="1" x14ac:dyDescent="0.15">
      <c r="E72" s="231" t="s">
        <v>343</v>
      </c>
      <c r="F72" s="232" t="str">
        <f>IF(ISERROR(VLOOKUP(CONCATENATE($F$68,"_",G72),選手名簿!$A:$E,5,FALSE))=TRUE,"",VLOOKUP(CONCATENATE($F$68,"_",G72),選手名簿!$A:$E,5,FALSE))</f>
        <v/>
      </c>
      <c r="G72" s="233"/>
      <c r="H72" s="233"/>
      <c r="I72" s="233"/>
      <c r="J72" s="234"/>
      <c r="K72" s="233"/>
      <c r="L72" s="233"/>
      <c r="M72" s="233"/>
      <c r="N72" s="235" t="str">
        <f>IF(ISERROR(VLOOKUP(CONCATENATE($N$68,"_",M72),選手名簿!$A:$E,5,FALSE))=TRUE,"",VLOOKUP(CONCATENATE($N$68,"_",M72),選手名簿!$A:$E,5,FALSE))</f>
        <v/>
      </c>
      <c r="T72" s="231" t="s">
        <v>343</v>
      </c>
      <c r="U72" s="232" t="str">
        <f>IF(ISERROR(VLOOKUP(CONCATENATE($U$68,"_",V72),選手名簿!$A:$E,5,FALSE))=TRUE,"",VLOOKUP(CONCATENATE($U$68,"_",V72),選手名簿!$A:$E,5,FALSE))</f>
        <v/>
      </c>
      <c r="V72" s="233"/>
      <c r="W72" s="233"/>
      <c r="X72" s="233"/>
      <c r="Y72" s="234"/>
      <c r="Z72" s="233"/>
      <c r="AA72" s="233"/>
      <c r="AB72" s="233"/>
      <c r="AC72" s="235" t="str">
        <f>IF(ISERROR(VLOOKUP(CONCATENATE($AC$68,"_",AB72),選手名簿!$A:$E,5,FALSE))=TRUE,"",VLOOKUP(CONCATENATE($AC$68,"_",AB72),選手名簿!$A:$E,5,FALSE))</f>
        <v/>
      </c>
    </row>
    <row r="73" spans="1:29" ht="20.25" hidden="1" customHeight="1" x14ac:dyDescent="0.15">
      <c r="E73" s="231" t="s">
        <v>343</v>
      </c>
      <c r="F73" s="232" t="str">
        <f>IF(ISERROR(VLOOKUP(CONCATENATE($F$68,"_",G73),選手名簿!$A:$E,5,FALSE))=TRUE,"",VLOOKUP(CONCATENATE($F$68,"_",G73),選手名簿!$A:$E,5,FALSE))</f>
        <v/>
      </c>
      <c r="G73" s="233"/>
      <c r="H73" s="233"/>
      <c r="I73" s="233"/>
      <c r="J73" s="234"/>
      <c r="K73" s="233"/>
      <c r="L73" s="233"/>
      <c r="M73" s="233"/>
      <c r="N73" s="235" t="str">
        <f>IF(ISERROR(VLOOKUP(CONCATENATE($N$68,"_",M73),選手名簿!$A:$E,5,FALSE))=TRUE,"",VLOOKUP(CONCATENATE($N$68,"_",M73),選手名簿!$A:$E,5,FALSE))</f>
        <v/>
      </c>
      <c r="T73" s="231" t="s">
        <v>343</v>
      </c>
      <c r="U73" s="232" t="str">
        <f>IF(ISERROR(VLOOKUP(CONCATENATE($U$68,"_",V73),選手名簿!$A:$E,5,FALSE))=TRUE,"",VLOOKUP(CONCATENATE($U$68,"_",V73),選手名簿!$A:$E,5,FALSE))</f>
        <v/>
      </c>
      <c r="V73" s="233"/>
      <c r="W73" s="233"/>
      <c r="X73" s="233"/>
      <c r="Y73" s="234"/>
      <c r="Z73" s="233"/>
      <c r="AA73" s="233"/>
      <c r="AB73" s="233"/>
      <c r="AC73" s="235" t="str">
        <f>IF(ISERROR(VLOOKUP(CONCATENATE($AC$68,"_",AB73),選手名簿!$A:$E,5,FALSE))=TRUE,"",VLOOKUP(CONCATENATE($AC$68,"_",AB73),選手名簿!$A:$E,5,FALSE))</f>
        <v/>
      </c>
    </row>
    <row r="74" spans="1:29" ht="20.25" hidden="1" customHeight="1" x14ac:dyDescent="0.15">
      <c r="E74" s="231" t="s">
        <v>343</v>
      </c>
      <c r="F74" s="232" t="str">
        <f>IF(ISERROR(VLOOKUP(CONCATENATE($F$68,"_",G74),選手名簿!$A:$E,5,FALSE))=TRUE,"",VLOOKUP(CONCATENATE($F$68,"_",G74),選手名簿!$A:$E,5,FALSE))</f>
        <v/>
      </c>
      <c r="G74" s="233"/>
      <c r="H74" s="233"/>
      <c r="I74" s="233"/>
      <c r="J74" s="234"/>
      <c r="K74" s="233"/>
      <c r="L74" s="233"/>
      <c r="M74" s="233"/>
      <c r="N74" s="235" t="str">
        <f>IF(ISERROR(VLOOKUP(CONCATENATE($N$68,"_",M74),選手名簿!$A:$E,5,FALSE))=TRUE,"",VLOOKUP(CONCATENATE($N$68,"_",M74),選手名簿!$A:$E,5,FALSE))</f>
        <v/>
      </c>
      <c r="T74" s="231" t="s">
        <v>343</v>
      </c>
      <c r="U74" s="232" t="str">
        <f>IF(ISERROR(VLOOKUP(CONCATENATE($U$68,"_",V74),選手名簿!$A:$E,5,FALSE))=TRUE,"",VLOOKUP(CONCATENATE($U$68,"_",V74),選手名簿!$A:$E,5,FALSE))</f>
        <v/>
      </c>
      <c r="V74" s="233"/>
      <c r="W74" s="233"/>
      <c r="X74" s="233"/>
      <c r="Y74" s="234"/>
      <c r="Z74" s="233"/>
      <c r="AA74" s="233"/>
      <c r="AB74" s="233"/>
      <c r="AC74" s="235" t="str">
        <f>IF(ISERROR(VLOOKUP(CONCATENATE($AC$68,"_",AB74),選手名簿!$A:$E,5,FALSE))=TRUE,"",VLOOKUP(CONCATENATE($AC$68,"_",AB74),選手名簿!$A:$E,5,FALSE))</f>
        <v/>
      </c>
    </row>
    <row r="75" spans="1:29" ht="20.25" hidden="1" customHeight="1" x14ac:dyDescent="0.15">
      <c r="E75" s="231" t="s">
        <v>343</v>
      </c>
      <c r="F75" s="232" t="str">
        <f>IF(ISERROR(VLOOKUP(CONCATENATE($F$68,"_",G75),選手名簿!$A:$E,5,FALSE))=TRUE,"",VLOOKUP(CONCATENATE($F$68,"_",G75),選手名簿!$A:$E,5,FALSE))</f>
        <v/>
      </c>
      <c r="G75" s="233"/>
      <c r="H75" s="233"/>
      <c r="I75" s="233"/>
      <c r="J75" s="234"/>
      <c r="K75" s="233"/>
      <c r="L75" s="233"/>
      <c r="M75" s="233"/>
      <c r="N75" s="235" t="str">
        <f>IF(ISERROR(VLOOKUP(CONCATENATE($N$68,"_",M75),選手名簿!$A:$E,5,FALSE))=TRUE,"",VLOOKUP(CONCATENATE($N$68,"_",M75),選手名簿!$A:$E,5,FALSE))</f>
        <v/>
      </c>
      <c r="T75" s="231" t="s">
        <v>343</v>
      </c>
      <c r="U75" s="232" t="str">
        <f>IF(ISERROR(VLOOKUP(CONCATENATE($U$68,"_",V75),選手名簿!$A:$E,5,FALSE))=TRUE,"",VLOOKUP(CONCATENATE($U$68,"_",V75),選手名簿!$A:$E,5,FALSE))</f>
        <v/>
      </c>
      <c r="V75" s="233"/>
      <c r="W75" s="233"/>
      <c r="X75" s="233"/>
      <c r="Y75" s="234"/>
      <c r="Z75" s="233"/>
      <c r="AA75" s="233"/>
      <c r="AB75" s="233"/>
      <c r="AC75" s="235" t="str">
        <f>IF(ISERROR(VLOOKUP(CONCATENATE($AC$68,"_",AB75),選手名簿!$A:$E,5,FALSE))=TRUE,"",VLOOKUP(CONCATENATE($AC$68,"_",AB75),選手名簿!$A:$E,5,FALSE))</f>
        <v/>
      </c>
    </row>
    <row r="76" spans="1:29" ht="20.25" hidden="1" customHeight="1" x14ac:dyDescent="0.15">
      <c r="E76" s="231" t="s">
        <v>343</v>
      </c>
      <c r="F76" s="232" t="str">
        <f>IF(ISERROR(VLOOKUP(CONCATENATE($F$68,"_",G76),選手名簿!$A:$E,5,FALSE))=TRUE,"",VLOOKUP(CONCATENATE($F$68,"_",G76),選手名簿!$A:$E,5,FALSE))</f>
        <v/>
      </c>
      <c r="G76" s="233"/>
      <c r="H76" s="233"/>
      <c r="I76" s="233"/>
      <c r="J76" s="234"/>
      <c r="K76" s="233"/>
      <c r="L76" s="233"/>
      <c r="M76" s="233"/>
      <c r="N76" s="235" t="str">
        <f>IF(ISERROR(VLOOKUP(CONCATENATE($N$68,"_",M76),選手名簿!$A:$E,5,FALSE))=TRUE,"",VLOOKUP(CONCATENATE($N$68,"_",M76),選手名簿!$A:$E,5,FALSE))</f>
        <v/>
      </c>
      <c r="T76" s="231" t="s">
        <v>343</v>
      </c>
      <c r="U76" s="232" t="str">
        <f>IF(ISERROR(VLOOKUP(CONCATENATE($U$68,"_",V76),選手名簿!$A:$E,5,FALSE))=TRUE,"",VLOOKUP(CONCATENATE($U$68,"_",V76),選手名簿!$A:$E,5,FALSE))</f>
        <v/>
      </c>
      <c r="V76" s="233"/>
      <c r="W76" s="233"/>
      <c r="X76" s="233"/>
      <c r="Y76" s="234"/>
      <c r="Z76" s="233"/>
      <c r="AA76" s="233"/>
      <c r="AB76" s="233"/>
      <c r="AC76" s="235" t="str">
        <f>IF(ISERROR(VLOOKUP(CONCATENATE($AC$68,"_",AB76),選手名簿!$A:$E,5,FALSE))=TRUE,"",VLOOKUP(CONCATENATE($AC$68,"_",AB76),選手名簿!$A:$E,5,FALSE))</f>
        <v/>
      </c>
    </row>
    <row r="77" spans="1:29" ht="20.25" hidden="1" customHeight="1" x14ac:dyDescent="0.15">
      <c r="E77" s="231" t="s">
        <v>343</v>
      </c>
      <c r="F77" s="232" t="str">
        <f>IF(ISERROR(VLOOKUP(CONCATENATE($F$68,"_",G77),選手名簿!$A:$E,5,FALSE))=TRUE,"",VLOOKUP(CONCATENATE($F$68,"_",G77),選手名簿!$A:$E,5,FALSE))</f>
        <v/>
      </c>
      <c r="G77" s="233"/>
      <c r="H77" s="233"/>
      <c r="I77" s="233"/>
      <c r="J77" s="234"/>
      <c r="K77" s="233"/>
      <c r="L77" s="233"/>
      <c r="M77" s="233"/>
      <c r="N77" s="235" t="str">
        <f>IF(ISERROR(VLOOKUP(CONCATENATE($N$68,"_",M77),選手名簿!$A:$E,5,FALSE))=TRUE,"",VLOOKUP(CONCATENATE($N$68,"_",M77),選手名簿!$A:$E,5,FALSE))</f>
        <v/>
      </c>
      <c r="T77" s="231" t="s">
        <v>343</v>
      </c>
      <c r="U77" s="232" t="str">
        <f>IF(ISERROR(VLOOKUP(CONCATENATE($U$68,"_",V77),選手名簿!$A:$E,5,FALSE))=TRUE,"",VLOOKUP(CONCATENATE($U$68,"_",V77),選手名簿!$A:$E,5,FALSE))</f>
        <v/>
      </c>
      <c r="V77" s="233"/>
      <c r="W77" s="233"/>
      <c r="X77" s="233"/>
      <c r="Y77" s="234"/>
      <c r="Z77" s="233"/>
      <c r="AA77" s="233"/>
      <c r="AB77" s="233"/>
      <c r="AC77" s="235" t="str">
        <f>IF(ISERROR(VLOOKUP(CONCATENATE($AC$68,"_",AB77),選手名簿!$A:$E,5,FALSE))=TRUE,"",VLOOKUP(CONCATENATE($AC$68,"_",AB77),選手名簿!$A:$E,5,FALSE))</f>
        <v/>
      </c>
    </row>
    <row r="78" spans="1:29" ht="20.25" hidden="1" customHeight="1" x14ac:dyDescent="0.15">
      <c r="E78" s="231" t="s">
        <v>343</v>
      </c>
      <c r="F78" s="232" t="str">
        <f>IF(ISERROR(VLOOKUP(CONCATENATE($F$68,"_",G78),選手名簿!$A:$E,5,FALSE))=TRUE,"",VLOOKUP(CONCATENATE($F$68,"_",G78),選手名簿!$A:$E,5,FALSE))</f>
        <v/>
      </c>
      <c r="G78" s="233"/>
      <c r="H78" s="233"/>
      <c r="I78" s="233"/>
      <c r="J78" s="234"/>
      <c r="K78" s="233"/>
      <c r="L78" s="233"/>
      <c r="M78" s="233"/>
      <c r="N78" s="235" t="str">
        <f>IF(ISERROR(VLOOKUP(CONCATENATE($N$68,"_",M78),選手名簿!$A:$E,5,FALSE))=TRUE,"",VLOOKUP(CONCATENATE($N$68,"_",M78),選手名簿!$A:$E,5,FALSE))</f>
        <v/>
      </c>
      <c r="T78" s="231" t="s">
        <v>343</v>
      </c>
      <c r="U78" s="232" t="str">
        <f>IF(ISERROR(VLOOKUP(CONCATENATE($U$68,"_",V78),選手名簿!$A:$E,5,FALSE))=TRUE,"",VLOOKUP(CONCATENATE($U$68,"_",V78),選手名簿!$A:$E,5,FALSE))</f>
        <v/>
      </c>
      <c r="V78" s="233"/>
      <c r="W78" s="233"/>
      <c r="X78" s="233"/>
      <c r="Y78" s="234"/>
      <c r="Z78" s="233"/>
      <c r="AA78" s="233"/>
      <c r="AB78" s="233"/>
      <c r="AC78" s="235" t="str">
        <f>IF(ISERROR(VLOOKUP(CONCATENATE($AC$68,"_",AB78),選手名簿!$A:$E,5,FALSE))=TRUE,"",VLOOKUP(CONCATENATE($AC$68,"_",AB78),選手名簿!$A:$E,5,FALSE))</f>
        <v/>
      </c>
    </row>
    <row r="79" spans="1:29" ht="20.25" hidden="1" customHeight="1" x14ac:dyDescent="0.15">
      <c r="E79" s="231" t="s">
        <v>343</v>
      </c>
      <c r="F79" s="232" t="str">
        <f>IF(ISERROR(VLOOKUP(CONCATENATE($F$68,"_",G79),選手名簿!$A:$E,5,FALSE))=TRUE,"",VLOOKUP(CONCATENATE($F$68,"_",G79),選手名簿!$A:$E,5,FALSE))</f>
        <v/>
      </c>
      <c r="G79" s="233"/>
      <c r="H79" s="233"/>
      <c r="I79" s="233"/>
      <c r="J79" s="234"/>
      <c r="K79" s="233"/>
      <c r="L79" s="233"/>
      <c r="M79" s="233"/>
      <c r="N79" s="235" t="str">
        <f>IF(ISERROR(VLOOKUP(CONCATENATE($N$68,"_",M79),選手名簿!$A:$E,5,FALSE))=TRUE,"",VLOOKUP(CONCATENATE($N$68,"_",M79),選手名簿!$A:$E,5,FALSE))</f>
        <v/>
      </c>
      <c r="T79" s="231" t="s">
        <v>343</v>
      </c>
      <c r="U79" s="232" t="str">
        <f>IF(ISERROR(VLOOKUP(CONCATENATE($U$68,"_",V79),選手名簿!$A:$E,5,FALSE))=TRUE,"",VLOOKUP(CONCATENATE($U$68,"_",V79),選手名簿!$A:$E,5,FALSE))</f>
        <v/>
      </c>
      <c r="V79" s="233"/>
      <c r="W79" s="233"/>
      <c r="X79" s="233"/>
      <c r="Y79" s="234"/>
      <c r="Z79" s="233"/>
      <c r="AA79" s="233"/>
      <c r="AB79" s="233"/>
      <c r="AC79" s="235" t="str">
        <f>IF(ISERROR(VLOOKUP(CONCATENATE($AC$68,"_",AB79),選手名簿!$A:$E,5,FALSE))=TRUE,"",VLOOKUP(CONCATENATE($AC$68,"_",AB79),選手名簿!$A:$E,5,FALSE))</f>
        <v/>
      </c>
    </row>
    <row r="80" spans="1:29" ht="20.25" hidden="1" customHeight="1" x14ac:dyDescent="0.15">
      <c r="E80" s="231" t="s">
        <v>343</v>
      </c>
      <c r="F80" s="232" t="str">
        <f>IF(ISERROR(VLOOKUP(CONCATENATE($F$68,"_",G80),選手名簿!$A:$E,5,FALSE))=TRUE,"",VLOOKUP(CONCATENATE($F$68,"_",G80),選手名簿!$A:$E,5,FALSE))</f>
        <v/>
      </c>
      <c r="G80" s="233"/>
      <c r="H80" s="233"/>
      <c r="I80" s="233"/>
      <c r="J80" s="234"/>
      <c r="K80" s="233"/>
      <c r="L80" s="233"/>
      <c r="M80" s="233"/>
      <c r="N80" s="235" t="str">
        <f>IF(ISERROR(VLOOKUP(CONCATENATE($N$68,"_",M80),選手名簿!$A:$E,5,FALSE))=TRUE,"",VLOOKUP(CONCATENATE($N$68,"_",M80),選手名簿!$A:$E,5,FALSE))</f>
        <v/>
      </c>
      <c r="T80" s="231" t="s">
        <v>343</v>
      </c>
      <c r="U80" s="232" t="str">
        <f>IF(ISERROR(VLOOKUP(CONCATENATE($U$68,"_",V80),選手名簿!$A:$E,5,FALSE))=TRUE,"",VLOOKUP(CONCATENATE($U$68,"_",V80),選手名簿!$A:$E,5,FALSE))</f>
        <v/>
      </c>
      <c r="V80" s="233"/>
      <c r="W80" s="233"/>
      <c r="X80" s="233"/>
      <c r="Y80" s="234"/>
      <c r="Z80" s="233"/>
      <c r="AA80" s="233"/>
      <c r="AB80" s="233"/>
      <c r="AC80" s="235" t="str">
        <f>IF(ISERROR(VLOOKUP(CONCATENATE($AC$68,"_",AB80),選手名簿!$A:$E,5,FALSE))=TRUE,"",VLOOKUP(CONCATENATE($AC$68,"_",AB80),選手名簿!$A:$E,5,FALSE))</f>
        <v/>
      </c>
    </row>
    <row r="81" spans="1:29" ht="20.25" hidden="1" customHeight="1" x14ac:dyDescent="0.15">
      <c r="E81" s="236" t="s">
        <v>343</v>
      </c>
      <c r="F81" s="237" t="str">
        <f>IF(ISERROR(VLOOKUP(CONCATENATE($F$68,"_",G81),選手名簿!$A:$E,5,FALSE))=TRUE,"",VLOOKUP(CONCATENATE($F$68,"_",G81),選手名簿!$A:$E,5,FALSE))</f>
        <v/>
      </c>
      <c r="G81" s="238"/>
      <c r="H81" s="238"/>
      <c r="I81" s="238"/>
      <c r="J81" s="239"/>
      <c r="K81" s="238"/>
      <c r="L81" s="238"/>
      <c r="M81" s="238"/>
      <c r="N81" s="240" t="str">
        <f>IF(ISERROR(VLOOKUP(CONCATENATE($N$68,"_",M81),選手名簿!$A:$E,5,FALSE))=TRUE,"",VLOOKUP(CONCATENATE($N$68,"_",M81),選手名簿!$A:$E,5,FALSE))</f>
        <v/>
      </c>
      <c r="T81" s="236" t="s">
        <v>343</v>
      </c>
      <c r="U81" s="237" t="str">
        <f>IF(ISERROR(VLOOKUP(CONCATENATE($U$68,"_",V81),選手名簿!$A:$E,5,FALSE))=TRUE,"",VLOOKUP(CONCATENATE($U$68,"_",V81),選手名簿!$A:$E,5,FALSE))</f>
        <v/>
      </c>
      <c r="V81" s="238"/>
      <c r="W81" s="238"/>
      <c r="X81" s="238"/>
      <c r="Y81" s="239"/>
      <c r="Z81" s="238"/>
      <c r="AA81" s="238"/>
      <c r="AB81" s="238"/>
      <c r="AC81" s="240" t="str">
        <f>IF(ISERROR(VLOOKUP(CONCATENATE($AC$68,"_",AB81),選手名簿!$A:$E,5,FALSE))=TRUE,"",VLOOKUP(CONCATENATE($AC$68,"_",AB81),選手名簿!$A:$E,5,FALSE))</f>
        <v/>
      </c>
    </row>
    <row r="82" spans="1:29" ht="20.25" customHeight="1" x14ac:dyDescent="0.15">
      <c r="A82" s="241" t="s">
        <v>342</v>
      </c>
      <c r="B82" s="789"/>
      <c r="C82" s="789"/>
      <c r="D82" s="789"/>
      <c r="E82" s="231" t="s">
        <v>243</v>
      </c>
      <c r="F82" s="232" t="str">
        <f>IF(ISERROR(VLOOKUP(CONCATENATE($F$68,"_",G82),選手名簿!$A:$E,5,FALSE))=TRUE,"",VLOOKUP(CONCATENATE($F$68,"_",G82),選手名簿!$A:$E,5,FALSE))</f>
        <v/>
      </c>
      <c r="G82" s="233"/>
      <c r="H82" s="233"/>
      <c r="I82" s="233"/>
      <c r="J82" s="234"/>
      <c r="K82" s="233"/>
      <c r="L82" s="233"/>
      <c r="M82" s="233"/>
      <c r="N82" s="235" t="str">
        <f>IF(ISERROR(VLOOKUP(CONCATENATE($N$68,"_",M82),選手名簿!$A:$E,5,FALSE))=TRUE,"",VLOOKUP(CONCATENATE($N$68,"_",M82),選手名簿!$A:$E,5,FALSE))</f>
        <v/>
      </c>
      <c r="P82" s="241" t="s">
        <v>342</v>
      </c>
      <c r="Q82" s="786"/>
      <c r="R82" s="786"/>
      <c r="S82" s="786"/>
      <c r="T82" s="231" t="s">
        <v>243</v>
      </c>
      <c r="U82" s="232" t="str">
        <f>IF(ISERROR(VLOOKUP(CONCATENATE($U$68,"_",V82),選手名簿!$A:$E,5,FALSE))=TRUE,"",VLOOKUP(CONCATENATE($U$68,"_",V82),選手名簿!$A:$E,5,FALSE))</f>
        <v/>
      </c>
      <c r="V82" s="233"/>
      <c r="W82" s="233"/>
      <c r="X82" s="233"/>
      <c r="Y82" s="234"/>
      <c r="Z82" s="233"/>
      <c r="AA82" s="233"/>
      <c r="AB82" s="233"/>
      <c r="AC82" s="235" t="str">
        <f>IF(ISERROR(VLOOKUP(CONCATENATE($AC$68,"_",AB82),選手名簿!$A:$E,5,FALSE))=TRUE,"",VLOOKUP(CONCATENATE($AC$68,"_",AB82),選手名簿!$A:$E,5,FALSE))</f>
        <v/>
      </c>
    </row>
    <row r="83" spans="1:29" ht="20.25" customHeight="1" x14ac:dyDescent="0.15">
      <c r="A83" s="242" t="s">
        <v>344</v>
      </c>
      <c r="B83" s="790" t="str">
        <f>IF(ISERROR(VLOOKUP(B82,審判員!$A:$C,2,FALSE))=TRUE,"",VLOOKUP(B82,審判員!$A:$C,2,FALSE))</f>
        <v/>
      </c>
      <c r="C83" s="791"/>
      <c r="D83" s="242" t="str">
        <f>IF(ISERROR(VLOOKUP(B82,審判員!$A:$C,3,FALSE))=TRUE,"",VLOOKUP(B82,審判員!$A:$C,3,FALSE))</f>
        <v/>
      </c>
      <c r="E83" s="244" t="s">
        <v>243</v>
      </c>
      <c r="F83" s="245" t="str">
        <f>IF(ISERROR(VLOOKUP(CONCATENATE($F$68,"_",G83),選手名簿!$A:$E,5,FALSE))=TRUE,"",VLOOKUP(CONCATENATE($F$68,"_",G83),選手名簿!$A:$E,5,FALSE))</f>
        <v/>
      </c>
      <c r="G83" s="246"/>
      <c r="H83" s="246"/>
      <c r="I83" s="246"/>
      <c r="J83" s="234"/>
      <c r="K83" s="246"/>
      <c r="L83" s="246"/>
      <c r="M83" s="246"/>
      <c r="N83" s="247" t="str">
        <f>IF(ISERROR(VLOOKUP(CONCATENATE($N$68,"_",M83),選手名簿!$A:$E,5,FALSE))=TRUE,"",VLOOKUP(CONCATENATE($N$68,"_",M83),選手名簿!$A:$E,5,FALSE))</f>
        <v/>
      </c>
      <c r="P83" s="242" t="s">
        <v>344</v>
      </c>
      <c r="Q83" s="790" t="str">
        <f>IF(ISERROR(VLOOKUP(Q82,審判員!$A:$C,2,FALSE))=TRUE,"",VLOOKUP(Q82,審判員!$A:$C,2,FALSE))</f>
        <v/>
      </c>
      <c r="R83" s="791"/>
      <c r="S83" s="242" t="str">
        <f>IF(ISERROR(VLOOKUP(Q82,審判員!$A:$C,3,FALSE))=TRUE,"",VLOOKUP(Q82,審判員!$A:$C,3,FALSE))</f>
        <v/>
      </c>
      <c r="T83" s="244" t="s">
        <v>243</v>
      </c>
      <c r="U83" s="245" t="str">
        <f>IF(ISERROR(VLOOKUP(CONCATENATE($U$68,"_",V83),選手名簿!$A:$E,5,FALSE))=TRUE,"",VLOOKUP(CONCATENATE($U$68,"_",V83),選手名簿!$A:$E,5,FALSE))</f>
        <v/>
      </c>
      <c r="V83" s="246"/>
      <c r="W83" s="246"/>
      <c r="X83" s="246"/>
      <c r="Y83" s="234"/>
      <c r="Z83" s="246"/>
      <c r="AA83" s="246"/>
      <c r="AB83" s="246"/>
      <c r="AC83" s="247" t="str">
        <f>IF(ISERROR(VLOOKUP(CONCATENATE($AC$68,"_",AB83),選手名簿!$A:$E,5,FALSE))=TRUE,"",VLOOKUP(CONCATENATE($AC$68,"_",AB83),選手名簿!$A:$E,5,FALSE))</f>
        <v/>
      </c>
    </row>
    <row r="84" spans="1:29" ht="20.25" customHeight="1" x14ac:dyDescent="0.15">
      <c r="A84" s="430" t="s">
        <v>342</v>
      </c>
      <c r="B84" s="792"/>
      <c r="C84" s="792"/>
      <c r="D84" s="793"/>
      <c r="E84" s="244" t="s">
        <v>243</v>
      </c>
      <c r="F84" s="245" t="str">
        <f>IF(ISERROR(VLOOKUP(CONCATENATE($F$68,"_",G84),選手名簿!$A:$E,5,FALSE))=TRUE,"",VLOOKUP(CONCATENATE($F$68,"_",G84),選手名簿!$A:$E,5,FALSE))</f>
        <v/>
      </c>
      <c r="G84" s="246"/>
      <c r="H84" s="246"/>
      <c r="I84" s="246"/>
      <c r="J84" s="234"/>
      <c r="K84" s="246"/>
      <c r="L84" s="246"/>
      <c r="M84" s="246"/>
      <c r="N84" s="247" t="str">
        <f>IF(ISERROR(VLOOKUP(CONCATENATE($N$68,"_",M84),選手名簿!$A:$E,5,FALSE))=TRUE,"",VLOOKUP(CONCATENATE($N$68,"_",M84),選手名簿!$A:$E,5,FALSE))</f>
        <v/>
      </c>
      <c r="P84" s="430" t="s">
        <v>342</v>
      </c>
      <c r="Q84" s="792"/>
      <c r="R84" s="792"/>
      <c r="S84" s="793"/>
      <c r="T84" s="244" t="s">
        <v>243</v>
      </c>
      <c r="U84" s="245" t="str">
        <f>IF(ISERROR(VLOOKUP(CONCATENATE($U$68,"_",V84),選手名簿!$A:$E,5,FALSE))=TRUE,"",VLOOKUP(CONCATENATE($U$68,"_",V84),選手名簿!$A:$E,5,FALSE))</f>
        <v/>
      </c>
      <c r="V84" s="246"/>
      <c r="W84" s="246"/>
      <c r="X84" s="246"/>
      <c r="Y84" s="234"/>
      <c r="Z84" s="246"/>
      <c r="AA84" s="246"/>
      <c r="AB84" s="246"/>
      <c r="AC84" s="247" t="str">
        <f>IF(ISERROR(VLOOKUP(CONCATENATE($AC$68,"_",AB84),選手名簿!$A:$E,5,FALSE))=TRUE,"",VLOOKUP(CONCATENATE($AC$68,"_",AB84),選手名簿!$A:$E,5,FALSE))</f>
        <v/>
      </c>
    </row>
    <row r="85" spans="1:29" ht="20.25" customHeight="1" x14ac:dyDescent="0.15">
      <c r="A85" s="430" t="s">
        <v>345</v>
      </c>
      <c r="B85" s="796" t="str">
        <f>IF(ISERROR(VLOOKUP(B84,審判員!$A:$C,2,FALSE))=TRUE,"",VLOOKUP(B84,審判員!$A:$C,2,FALSE))</f>
        <v/>
      </c>
      <c r="C85" s="797"/>
      <c r="D85" s="430" t="str">
        <f>IF(ISERROR(VLOOKUP(B84,審判員!$A:$C,3,FALSE))=TRUE,"",VLOOKUP(B84,審判員!$A:$C,3,FALSE))</f>
        <v/>
      </c>
      <c r="E85" s="244" t="s">
        <v>243</v>
      </c>
      <c r="F85" s="245" t="str">
        <f>IF(ISERROR(VLOOKUP(CONCATENATE($F$68,"_",G85),選手名簿!$A:$E,5,FALSE))=TRUE,"",VLOOKUP(CONCATENATE($F$68,"_",G85),選手名簿!$A:$E,5,FALSE))</f>
        <v/>
      </c>
      <c r="G85" s="246"/>
      <c r="H85" s="246"/>
      <c r="I85" s="246"/>
      <c r="J85" s="234"/>
      <c r="K85" s="246"/>
      <c r="L85" s="246"/>
      <c r="M85" s="246"/>
      <c r="N85" s="247" t="str">
        <f>IF(ISERROR(VLOOKUP(CONCATENATE($N$68,"_",M85),選手名簿!$A:$E,5,FALSE))=TRUE,"",VLOOKUP(CONCATENATE($N$68,"_",M85),選手名簿!$A:$E,5,FALSE))</f>
        <v/>
      </c>
      <c r="P85" s="430" t="s">
        <v>345</v>
      </c>
      <c r="Q85" s="796" t="str">
        <f>IF(ISERROR(VLOOKUP(Q84,審判員!$A:$C,2,FALSE))=TRUE,"",VLOOKUP(Q84,審判員!$A:$C,2,FALSE))</f>
        <v/>
      </c>
      <c r="R85" s="797"/>
      <c r="S85" s="430" t="str">
        <f>IF(ISERROR(VLOOKUP(Q84,審判員!$A:$C,3,FALSE))=TRUE,"",VLOOKUP(Q84,審判員!$A:$C,3,FALSE))</f>
        <v/>
      </c>
      <c r="T85" s="244" t="s">
        <v>243</v>
      </c>
      <c r="U85" s="245" t="str">
        <f>IF(ISERROR(VLOOKUP(CONCATENATE($U$68,"_",V85),選手名簿!$A:$E,5,FALSE))=TRUE,"",VLOOKUP(CONCATENATE($U$68,"_",V85),選手名簿!$A:$E,5,FALSE))</f>
        <v/>
      </c>
      <c r="V85" s="246"/>
      <c r="W85" s="246"/>
      <c r="X85" s="246"/>
      <c r="Y85" s="234"/>
      <c r="Z85" s="246"/>
      <c r="AA85" s="246"/>
      <c r="AB85" s="246"/>
      <c r="AC85" s="247" t="str">
        <f>IF(ISERROR(VLOOKUP(CONCATENATE($AC$68,"_",AB85),選手名簿!$A:$E,5,FALSE))=TRUE,"",VLOOKUP(CONCATENATE($AC$68,"_",AB85),選手名簿!$A:$E,5,FALSE))</f>
        <v/>
      </c>
    </row>
    <row r="86" spans="1:29" ht="20.25" customHeight="1" x14ac:dyDescent="0.15">
      <c r="A86" s="430" t="s">
        <v>342</v>
      </c>
      <c r="B86" s="792"/>
      <c r="C86" s="792"/>
      <c r="D86" s="793"/>
      <c r="E86" s="244" t="s">
        <v>243</v>
      </c>
      <c r="F86" s="245" t="str">
        <f>IF(ISERROR(VLOOKUP(CONCATENATE($F$68,"_",G86),選手名簿!$A:$E,5,FALSE))=TRUE,"",VLOOKUP(CONCATENATE($F$68,"_",G86),選手名簿!$A:$E,5,FALSE))</f>
        <v/>
      </c>
      <c r="G86" s="246"/>
      <c r="H86" s="246"/>
      <c r="I86" s="246"/>
      <c r="J86" s="234"/>
      <c r="K86" s="246"/>
      <c r="L86" s="246"/>
      <c r="M86" s="246"/>
      <c r="N86" s="247" t="str">
        <f>IF(ISERROR(VLOOKUP(CONCATENATE($N$68,"_",M86),選手名簿!$A:$E,5,FALSE))=TRUE,"",VLOOKUP(CONCATENATE($N$68,"_",M86),選手名簿!$A:$E,5,FALSE))</f>
        <v/>
      </c>
      <c r="P86" s="430" t="s">
        <v>342</v>
      </c>
      <c r="Q86" s="792"/>
      <c r="R86" s="792"/>
      <c r="S86" s="793"/>
      <c r="T86" s="244" t="s">
        <v>243</v>
      </c>
      <c r="U86" s="245" t="str">
        <f>IF(ISERROR(VLOOKUP(CONCATENATE($U$68,"_",V86),選手名簿!$A:$E,5,FALSE))=TRUE,"",VLOOKUP(CONCATENATE($U$68,"_",V86),選手名簿!$A:$E,5,FALSE))</f>
        <v/>
      </c>
      <c r="V86" s="246"/>
      <c r="W86" s="246"/>
      <c r="X86" s="246"/>
      <c r="Y86" s="234"/>
      <c r="Z86" s="246"/>
      <c r="AA86" s="246"/>
      <c r="AB86" s="246"/>
      <c r="AC86" s="247" t="str">
        <f>IF(ISERROR(VLOOKUP(CONCATENATE($AC$68,"_",AB86),選手名簿!$A:$E,5,FALSE))=TRUE,"",VLOOKUP(CONCATENATE($AC$68,"_",AB86),選手名簿!$A:$E,5,FALSE))</f>
        <v/>
      </c>
    </row>
    <row r="87" spans="1:29" ht="20.25" customHeight="1" x14ac:dyDescent="0.15">
      <c r="A87" s="430" t="s">
        <v>346</v>
      </c>
      <c r="B87" s="796" t="str">
        <f>IF(ISERROR(VLOOKUP(B86,審判員!$A:$C,2,FALSE))=TRUE,"",VLOOKUP(B86,審判員!$A:$C,2,FALSE))</f>
        <v/>
      </c>
      <c r="C87" s="797"/>
      <c r="D87" s="430" t="str">
        <f>IF(ISERROR(VLOOKUP(B86,審判員!$A:$C,3,FALSE))=TRUE,"",VLOOKUP(B86,審判員!$A:$C,3,FALSE))</f>
        <v/>
      </c>
      <c r="E87" s="244" t="s">
        <v>243</v>
      </c>
      <c r="F87" s="245" t="str">
        <f>IF(ISERROR(VLOOKUP(CONCATENATE($F$68,"_",G87),選手名簿!$A:$E,5,FALSE))=TRUE,"",VLOOKUP(CONCATENATE($F$68,"_",G87),選手名簿!$A:$E,5,FALSE))</f>
        <v/>
      </c>
      <c r="G87" s="246"/>
      <c r="H87" s="246"/>
      <c r="I87" s="246"/>
      <c r="J87" s="234"/>
      <c r="K87" s="246"/>
      <c r="L87" s="246"/>
      <c r="M87" s="246"/>
      <c r="N87" s="247" t="str">
        <f>IF(ISERROR(VLOOKUP(CONCATENATE($N$68,"_",M87),選手名簿!$A:$E,5,FALSE))=TRUE,"",VLOOKUP(CONCATENATE($N$68,"_",M87),選手名簿!$A:$E,5,FALSE))</f>
        <v/>
      </c>
      <c r="P87" s="430" t="s">
        <v>346</v>
      </c>
      <c r="Q87" s="796" t="str">
        <f>IF(ISERROR(VLOOKUP(Q86,審判員!$A:$C,2,FALSE))=TRUE,"",VLOOKUP(Q86,審判員!$A:$C,2,FALSE))</f>
        <v/>
      </c>
      <c r="R87" s="797"/>
      <c r="S87" s="430" t="str">
        <f>IF(ISERROR(VLOOKUP(Q86,審判員!$A:$C,3,FALSE))=TRUE,"",VLOOKUP(Q86,審判員!$A:$C,3,FALSE))</f>
        <v/>
      </c>
      <c r="T87" s="244" t="s">
        <v>243</v>
      </c>
      <c r="U87" s="245" t="str">
        <f>IF(ISERROR(VLOOKUP(CONCATENATE($U$68,"_",V87),選手名簿!$A:$E,5,FALSE))=TRUE,"",VLOOKUP(CONCATENATE($U$68,"_",V87),選手名簿!$A:$E,5,FALSE))</f>
        <v/>
      </c>
      <c r="V87" s="246"/>
      <c r="W87" s="246"/>
      <c r="X87" s="246"/>
      <c r="Y87" s="234"/>
      <c r="Z87" s="246"/>
      <c r="AA87" s="246"/>
      <c r="AB87" s="246"/>
      <c r="AC87" s="247" t="str">
        <f>IF(ISERROR(VLOOKUP(CONCATENATE($AC$68,"_",AB87),選手名簿!$A:$E,5,FALSE))=TRUE,"",VLOOKUP(CONCATENATE($AC$68,"_",AB87),選手名簿!$A:$E,5,FALSE))</f>
        <v/>
      </c>
    </row>
    <row r="88" spans="1:29" ht="20.25" customHeight="1" x14ac:dyDescent="0.15">
      <c r="A88" s="241" t="s">
        <v>342</v>
      </c>
      <c r="B88" s="789"/>
      <c r="C88" s="789"/>
      <c r="D88" s="789"/>
      <c r="E88" s="244" t="s">
        <v>243</v>
      </c>
      <c r="F88" s="245" t="str">
        <f>IF(ISERROR(VLOOKUP(CONCATENATE($F$68,"_",G88),選手名簿!$A:$E,5,FALSE))=TRUE,"",VLOOKUP(CONCATENATE($F$68,"_",G88),選手名簿!$A:$E,5,FALSE))</f>
        <v/>
      </c>
      <c r="G88" s="246"/>
      <c r="H88" s="246"/>
      <c r="I88" s="246"/>
      <c r="J88" s="234"/>
      <c r="K88" s="246"/>
      <c r="L88" s="246"/>
      <c r="M88" s="246"/>
      <c r="N88" s="247" t="str">
        <f>IF(ISERROR(VLOOKUP(CONCATENATE($N$68,"_",M88),選手名簿!$A:$E,5,FALSE))=TRUE,"",VLOOKUP(CONCATENATE($N$68,"_",M88),選手名簿!$A:$E,5,FALSE))</f>
        <v/>
      </c>
      <c r="P88" s="241" t="s">
        <v>342</v>
      </c>
      <c r="Q88" s="789"/>
      <c r="R88" s="789"/>
      <c r="S88" s="789"/>
      <c r="T88" s="244" t="s">
        <v>243</v>
      </c>
      <c r="U88" s="245" t="str">
        <f>IF(ISERROR(VLOOKUP(CONCATENATE($U$68,"_",V88),選手名簿!$A:$E,5,FALSE))=TRUE,"",VLOOKUP(CONCATENATE($U$68,"_",V88),選手名簿!$A:$E,5,FALSE))</f>
        <v/>
      </c>
      <c r="V88" s="246"/>
      <c r="W88" s="246"/>
      <c r="X88" s="246"/>
      <c r="Y88" s="234"/>
      <c r="Z88" s="246"/>
      <c r="AA88" s="246"/>
      <c r="AB88" s="246"/>
      <c r="AC88" s="247" t="str">
        <f>IF(ISERROR(VLOOKUP(CONCATENATE($AC$68,"_",AB88),選手名簿!$A:$E,5,FALSE))=TRUE,"",VLOOKUP(CONCATENATE($AC$68,"_",AB88),選手名簿!$A:$E,5,FALSE))</f>
        <v/>
      </c>
    </row>
    <row r="89" spans="1:29" ht="20.25" customHeight="1" x14ac:dyDescent="0.15">
      <c r="A89" s="242" t="s">
        <v>347</v>
      </c>
      <c r="B89" s="790" t="str">
        <f>IF(ISERROR(VLOOKUP(B88,審判員!$A:$C,2,FALSE))=TRUE,"",VLOOKUP(B88,審判員!$A:$C,2,FALSE))</f>
        <v/>
      </c>
      <c r="C89" s="791"/>
      <c r="D89" s="242" t="str">
        <f>IF(ISERROR(VLOOKUP(B88,審判員!$A:$C,3,FALSE))=TRUE,"",VLOOKUP(B88,審判員!$A:$C,3,FALSE))</f>
        <v/>
      </c>
      <c r="E89" s="248" t="s">
        <v>243</v>
      </c>
      <c r="F89" s="249" t="str">
        <f>IF(ISERROR(VLOOKUP(CONCATENATE($F$68,"_",G89),選手名簿!$A:$E,5,FALSE))=TRUE,"",VLOOKUP(CONCATENATE($F$68,"_",G89),選手名簿!$A:$E,5,FALSE))</f>
        <v/>
      </c>
      <c r="G89" s="250"/>
      <c r="H89" s="250"/>
      <c r="I89" s="250"/>
      <c r="J89" s="239"/>
      <c r="K89" s="250"/>
      <c r="L89" s="250"/>
      <c r="M89" s="250"/>
      <c r="N89" s="251" t="str">
        <f>IF(ISERROR(VLOOKUP(CONCATENATE($N$68,"_",M89),選手名簿!$A:$E,5,FALSE))=TRUE,"",VLOOKUP(CONCATENATE($N$68,"_",M89),選手名簿!$A:$E,5,FALSE))</f>
        <v/>
      </c>
      <c r="P89" s="242" t="s">
        <v>347</v>
      </c>
      <c r="Q89" s="790" t="str">
        <f>IF(ISERROR(VLOOKUP(Q88,審判員!$A:$C,2,FALSE))=TRUE,"",VLOOKUP(Q88,審判員!$A:$C,2,FALSE))</f>
        <v/>
      </c>
      <c r="R89" s="791"/>
      <c r="S89" s="242" t="str">
        <f>IF(ISERROR(VLOOKUP(Q88,審判員!$A:$C,3,FALSE))=TRUE,"",VLOOKUP(Q88,審判員!$A:$C,3,FALSE))</f>
        <v/>
      </c>
      <c r="T89" s="248" t="s">
        <v>243</v>
      </c>
      <c r="U89" s="249" t="str">
        <f>IF(ISERROR(VLOOKUP(CONCATENATE($U$68,"_",V89),選手名簿!$A:$E,5,FALSE))=TRUE,"",VLOOKUP(CONCATENATE($U$68,"_",V89),選手名簿!$A:$E,5,FALSE))</f>
        <v/>
      </c>
      <c r="V89" s="250"/>
      <c r="W89" s="250"/>
      <c r="X89" s="250"/>
      <c r="Y89" s="239"/>
      <c r="Z89" s="250"/>
      <c r="AA89" s="250"/>
      <c r="AB89" s="250"/>
      <c r="AC89" s="251" t="str">
        <f>IF(ISERROR(VLOOKUP(CONCATENATE($AC$68,"_",AB89),選手名簿!$A:$E,5,FALSE))=TRUE,"",VLOOKUP(CONCATENATE($AC$68,"_",AB89),選手名簿!$A:$E,5,FALSE))</f>
        <v/>
      </c>
    </row>
  </sheetData>
  <mergeCells count="130">
    <mergeCell ref="B86:D86"/>
    <mergeCell ref="Q86:S86"/>
    <mergeCell ref="B87:C87"/>
    <mergeCell ref="Q87:R87"/>
    <mergeCell ref="B88:D88"/>
    <mergeCell ref="Q88:S88"/>
    <mergeCell ref="B89:C89"/>
    <mergeCell ref="Q89:R89"/>
    <mergeCell ref="A71:D71"/>
    <mergeCell ref="P71:S71"/>
    <mergeCell ref="B82:D82"/>
    <mergeCell ref="Q82:S82"/>
    <mergeCell ref="B83:C83"/>
    <mergeCell ref="Q83:R83"/>
    <mergeCell ref="B84:D84"/>
    <mergeCell ref="Q84:S84"/>
    <mergeCell ref="B85:C85"/>
    <mergeCell ref="Q85:R85"/>
    <mergeCell ref="T68:T70"/>
    <mergeCell ref="U68:U70"/>
    <mergeCell ref="V68:V70"/>
    <mergeCell ref="W68:W70"/>
    <mergeCell ref="AA68:AA70"/>
    <mergeCell ref="AB68:AB70"/>
    <mergeCell ref="AC68:AC70"/>
    <mergeCell ref="B69:D69"/>
    <mergeCell ref="Q69:S69"/>
    <mergeCell ref="B70:D70"/>
    <mergeCell ref="Q70:S70"/>
    <mergeCell ref="B57:D57"/>
    <mergeCell ref="Q57:S57"/>
    <mergeCell ref="B58:C58"/>
    <mergeCell ref="Q58:R58"/>
    <mergeCell ref="B59:D59"/>
    <mergeCell ref="Q59:S59"/>
    <mergeCell ref="B60:C60"/>
    <mergeCell ref="Q60:R60"/>
    <mergeCell ref="B68:D68"/>
    <mergeCell ref="E68:E70"/>
    <mergeCell ref="F68:F70"/>
    <mergeCell ref="G68:G70"/>
    <mergeCell ref="H68:H70"/>
    <mergeCell ref="L68:L70"/>
    <mergeCell ref="M68:M70"/>
    <mergeCell ref="N68:N70"/>
    <mergeCell ref="Q68:S68"/>
    <mergeCell ref="A42:D42"/>
    <mergeCell ref="P42:S42"/>
    <mergeCell ref="B53:D53"/>
    <mergeCell ref="Q53:S53"/>
    <mergeCell ref="B54:C54"/>
    <mergeCell ref="Q54:R54"/>
    <mergeCell ref="B55:D55"/>
    <mergeCell ref="Q55:S55"/>
    <mergeCell ref="B56:C56"/>
    <mergeCell ref="Q56:R56"/>
    <mergeCell ref="T39:T41"/>
    <mergeCell ref="U39:U41"/>
    <mergeCell ref="V39:V41"/>
    <mergeCell ref="W39:W41"/>
    <mergeCell ref="AA39:AA41"/>
    <mergeCell ref="AB39:AB41"/>
    <mergeCell ref="AC39:AC41"/>
    <mergeCell ref="B40:D40"/>
    <mergeCell ref="Q40:S40"/>
    <mergeCell ref="B41:D41"/>
    <mergeCell ref="Q41:S41"/>
    <mergeCell ref="B28:D28"/>
    <mergeCell ref="Q28:S28"/>
    <mergeCell ref="B29:C29"/>
    <mergeCell ref="Q29:R29"/>
    <mergeCell ref="B30:D30"/>
    <mergeCell ref="Q30:S30"/>
    <mergeCell ref="B31:C31"/>
    <mergeCell ref="Q31:R31"/>
    <mergeCell ref="B39:D39"/>
    <mergeCell ref="E39:E41"/>
    <mergeCell ref="F39:F41"/>
    <mergeCell ref="G39:G41"/>
    <mergeCell ref="H39:H41"/>
    <mergeCell ref="L39:L41"/>
    <mergeCell ref="M39:M41"/>
    <mergeCell ref="N39:N41"/>
    <mergeCell ref="Q39:S39"/>
    <mergeCell ref="A13:D13"/>
    <mergeCell ref="P13:S13"/>
    <mergeCell ref="B24:D24"/>
    <mergeCell ref="Q24:S24"/>
    <mergeCell ref="B25:C25"/>
    <mergeCell ref="Q25:R25"/>
    <mergeCell ref="B26:D26"/>
    <mergeCell ref="Q26:S26"/>
    <mergeCell ref="B27:C27"/>
    <mergeCell ref="Q27:R27"/>
    <mergeCell ref="F7:L7"/>
    <mergeCell ref="M7:N7"/>
    <mergeCell ref="U7:AA7"/>
    <mergeCell ref="AB7:AC7"/>
    <mergeCell ref="B10:D10"/>
    <mergeCell ref="E10:E12"/>
    <mergeCell ref="F10:F12"/>
    <mergeCell ref="G10:G12"/>
    <mergeCell ref="H10:H12"/>
    <mergeCell ref="L10:L12"/>
    <mergeCell ref="M10:M12"/>
    <mergeCell ref="N10:N12"/>
    <mergeCell ref="Q10:S10"/>
    <mergeCell ref="T10:T12"/>
    <mergeCell ref="U10:U12"/>
    <mergeCell ref="V10:V12"/>
    <mergeCell ref="W10:W12"/>
    <mergeCell ref="AA10:AA12"/>
    <mergeCell ref="AB10:AB12"/>
    <mergeCell ref="AC10:AC12"/>
    <mergeCell ref="B11:D11"/>
    <mergeCell ref="Q11:S11"/>
    <mergeCell ref="B12:D12"/>
    <mergeCell ref="Q12:S12"/>
    <mergeCell ref="A1:J1"/>
    <mergeCell ref="K1:N1"/>
    <mergeCell ref="P1:Y1"/>
    <mergeCell ref="Z1:AC1"/>
    <mergeCell ref="F5:L5"/>
    <mergeCell ref="M5:N5"/>
    <mergeCell ref="U5:AA5"/>
    <mergeCell ref="AB5:AC5"/>
    <mergeCell ref="F6:L6"/>
    <mergeCell ref="M6:N6"/>
    <mergeCell ref="U6:AA6"/>
    <mergeCell ref="AB6:AC6"/>
  </mergeCells>
  <phoneticPr fontId="77"/>
  <pageMargins left="0" right="0" top="0" bottom="0" header="0" footer="0.51181102362204722"/>
  <pageSetup paperSize="9" orientation="landscape"/>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800-000000000000}">
          <x14:formula1>
            <xm:f>項目!$G$1:$G$33</xm:f>
          </x14:formula1>
          <xm:sqref>B10:D12 B39:D41 B68:D70 Q10:S12 Q68:S70 Q39:S41</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4">
    <pageSetUpPr fitToPage="1"/>
  </sheetPr>
  <dimension ref="A1:AC89"/>
  <sheetViews>
    <sheetView zoomScale="70" workbookViewId="0">
      <selection activeCell="A2" sqref="A2"/>
    </sheetView>
  </sheetViews>
  <sheetFormatPr defaultColWidth="9" defaultRowHeight="20.25" customHeight="1" x14ac:dyDescent="0.15"/>
  <cols>
    <col min="1" max="1" width="12.125" style="214" customWidth="1"/>
    <col min="2" max="2" width="11.875" style="214" bestFit="1" customWidth="1"/>
    <col min="3" max="3" width="3.125" style="214" customWidth="1"/>
    <col min="4" max="4" width="6.75" style="214" bestFit="1" customWidth="1"/>
    <col min="5" max="5" width="10.125" style="214" bestFit="1" customWidth="1"/>
    <col min="6" max="6" width="20.625" style="214" customWidth="1"/>
    <col min="7" max="7" width="7.625" style="214" customWidth="1"/>
    <col min="8" max="9" width="4.875" style="214" customWidth="1"/>
    <col min="10" max="10" width="5.25" style="214" customWidth="1"/>
    <col min="11" max="12" width="4.875" style="214" customWidth="1"/>
    <col min="13" max="13" width="7.625" style="214" customWidth="1"/>
    <col min="14" max="14" width="20.625" style="214" customWidth="1"/>
    <col min="15" max="15" width="5" style="214" bestFit="1" customWidth="1"/>
    <col min="16" max="16" width="12.125" style="214" customWidth="1"/>
    <col min="17" max="17" width="11.875" style="214" bestFit="1" customWidth="1"/>
    <col min="18" max="18" width="3.125" style="214" customWidth="1"/>
    <col min="19" max="19" width="6.75" style="214" bestFit="1" customWidth="1"/>
    <col min="20" max="20" width="10.125" style="214" bestFit="1" customWidth="1"/>
    <col min="21" max="21" width="20.625" style="214" customWidth="1"/>
    <col min="22" max="22" width="7.625" style="214" customWidth="1"/>
    <col min="23" max="24" width="4.875" style="214" customWidth="1"/>
    <col min="25" max="25" width="5.25" style="214" customWidth="1"/>
    <col min="26" max="27" width="4.875" style="214" customWidth="1"/>
    <col min="28" max="28" width="7.625" style="214" customWidth="1"/>
    <col min="29" max="29" width="20.625" style="214" customWidth="1"/>
    <col min="30" max="16384" width="9" style="214"/>
  </cols>
  <sheetData>
    <row r="1" spans="1:29" s="215" customFormat="1" ht="20.25" customHeight="1" x14ac:dyDescent="0.15">
      <c r="A1" s="761" t="str">
        <f>大会要項!$B$3</f>
        <v>第15回 全日本不動産協会杯争奪U-12サッカー大会【ラビットカップ】大分県大会</v>
      </c>
      <c r="B1" s="761"/>
      <c r="C1" s="761"/>
      <c r="D1" s="761"/>
      <c r="E1" s="761"/>
      <c r="F1" s="761"/>
      <c r="G1" s="761"/>
      <c r="H1" s="761"/>
      <c r="I1" s="761"/>
      <c r="J1" s="761"/>
      <c r="K1" s="761" t="s">
        <v>333</v>
      </c>
      <c r="L1" s="761"/>
      <c r="M1" s="761"/>
      <c r="N1" s="761"/>
      <c r="O1" s="216"/>
      <c r="P1" s="761" t="str">
        <f>大会要項!$B$3</f>
        <v>第15回 全日本不動産協会杯争奪U-12サッカー大会【ラビットカップ】大分県大会</v>
      </c>
      <c r="Q1" s="761"/>
      <c r="R1" s="761"/>
      <c r="S1" s="761"/>
      <c r="T1" s="761"/>
      <c r="U1" s="761"/>
      <c r="V1" s="761"/>
      <c r="W1" s="761"/>
      <c r="X1" s="761"/>
      <c r="Y1" s="761"/>
      <c r="Z1" s="761" t="s">
        <v>333</v>
      </c>
      <c r="AA1" s="761"/>
      <c r="AB1" s="761"/>
      <c r="AC1" s="761"/>
    </row>
    <row r="2" spans="1:29" ht="20.25" customHeight="1" x14ac:dyDescent="0.15">
      <c r="P2" s="217"/>
      <c r="Q2" s="217"/>
      <c r="R2" s="217"/>
      <c r="S2" s="217"/>
      <c r="T2" s="217"/>
      <c r="U2" s="217"/>
      <c r="V2" s="217"/>
      <c r="W2" s="217"/>
      <c r="X2" s="217"/>
      <c r="Y2" s="217"/>
      <c r="Z2" s="217"/>
      <c r="AA2" s="217"/>
      <c r="AB2" s="217"/>
      <c r="AC2" s="217"/>
    </row>
    <row r="3" spans="1:29" ht="20.25" customHeight="1" x14ac:dyDescent="0.15">
      <c r="A3" s="214" t="s">
        <v>36</v>
      </c>
      <c r="B3" s="218" t="str">
        <f>予選リーグ!I14</f>
        <v>クラサス サッカー・ラグビー場　サブB</v>
      </c>
      <c r="C3" s="218"/>
      <c r="D3" s="218"/>
      <c r="E3" s="218"/>
      <c r="G3" s="218" t="str">
        <f>予選リーグ!I15</f>
        <v>「C」コート</v>
      </c>
      <c r="H3" s="218"/>
      <c r="I3" s="218"/>
      <c r="J3" s="218"/>
      <c r="K3" s="218"/>
      <c r="L3" s="218"/>
      <c r="P3" s="214" t="s">
        <v>36</v>
      </c>
      <c r="Q3" s="218" t="str">
        <f>予選リーグ!I14</f>
        <v>クラサス サッカー・ラグビー場　サブB</v>
      </c>
      <c r="R3" s="218"/>
      <c r="S3" s="218"/>
      <c r="T3" s="218"/>
      <c r="V3" s="218" t="str">
        <f>予選リーグ!I15</f>
        <v>「C」コート</v>
      </c>
      <c r="W3" s="219"/>
      <c r="X3" s="219"/>
      <c r="Y3" s="219"/>
      <c r="Z3" s="219"/>
      <c r="AA3" s="219"/>
      <c r="AB3" s="219"/>
      <c r="AC3" s="219"/>
    </row>
    <row r="4" spans="1:29" ht="20.25" customHeight="1" x14ac:dyDescent="0.15">
      <c r="P4" s="217"/>
      <c r="Q4" s="217"/>
      <c r="R4" s="217"/>
      <c r="S4" s="217"/>
      <c r="T4" s="217"/>
      <c r="U4" s="217"/>
      <c r="V4" s="217"/>
      <c r="W4" s="217"/>
      <c r="X4" s="217"/>
      <c r="Y4" s="217"/>
      <c r="Z4" s="217"/>
      <c r="AA4" s="217"/>
      <c r="AB4" s="217"/>
      <c r="AC4" s="217"/>
    </row>
    <row r="5" spans="1:29" ht="20.25" customHeight="1" x14ac:dyDescent="0.15">
      <c r="E5" s="220" t="s">
        <v>259</v>
      </c>
      <c r="F5" s="762" t="str">
        <f>VLOOKUP(E5,組合せ抽選用!$Q:$U,5,FALSE)</f>
        <v>ＦＣリーベル</v>
      </c>
      <c r="G5" s="762"/>
      <c r="H5" s="762"/>
      <c r="I5" s="762"/>
      <c r="J5" s="762"/>
      <c r="K5" s="762"/>
      <c r="L5" s="762"/>
      <c r="M5" s="762" t="str">
        <f>VLOOKUP(E5,組合せ抽選用!$Q:$V,6,FALSE)</f>
        <v>中津</v>
      </c>
      <c r="N5" s="763"/>
      <c r="R5" s="217"/>
      <c r="S5" s="217"/>
      <c r="T5" s="220" t="s">
        <v>260</v>
      </c>
      <c r="U5" s="762" t="str">
        <f>VLOOKUP(T5,組合せ抽選用!$Q:$U,5,FALSE)</f>
        <v>朝日ＦＣ</v>
      </c>
      <c r="V5" s="762"/>
      <c r="W5" s="762"/>
      <c r="X5" s="762"/>
      <c r="Y5" s="762"/>
      <c r="Z5" s="762"/>
      <c r="AA5" s="762"/>
      <c r="AB5" s="762" t="str">
        <f>VLOOKUP(T5,組合せ抽選用!$Q:$V,6,FALSE)</f>
        <v>別府</v>
      </c>
      <c r="AC5" s="763"/>
    </row>
    <row r="6" spans="1:29" ht="20.25" customHeight="1" x14ac:dyDescent="0.15">
      <c r="E6" s="221" t="s">
        <v>263</v>
      </c>
      <c r="F6" s="764" t="str">
        <f>VLOOKUP(E6,組合せ抽選用!$Q:$U,5,FALSE)</f>
        <v>ＦＣ中津ジュニア</v>
      </c>
      <c r="G6" s="764"/>
      <c r="H6" s="764"/>
      <c r="I6" s="764"/>
      <c r="J6" s="764"/>
      <c r="K6" s="764"/>
      <c r="L6" s="764"/>
      <c r="M6" s="764" t="str">
        <f>VLOOKUP(E6,組合せ抽選用!$Q:$V,6,FALSE)</f>
        <v>中津</v>
      </c>
      <c r="N6" s="765"/>
      <c r="P6" s="217"/>
      <c r="Q6" s="217"/>
      <c r="R6" s="217"/>
      <c r="S6" s="217"/>
      <c r="T6" s="221" t="s">
        <v>265</v>
      </c>
      <c r="U6" s="764" t="str">
        <f>VLOOKUP(T6,組合せ抽選用!$Q:$U,5,FALSE)</f>
        <v>スマイス・セレソン</v>
      </c>
      <c r="V6" s="764"/>
      <c r="W6" s="764"/>
      <c r="X6" s="764"/>
      <c r="Y6" s="764"/>
      <c r="Z6" s="764"/>
      <c r="AA6" s="764"/>
      <c r="AB6" s="764" t="str">
        <f>VLOOKUP(T6,組合せ抽選用!$Q:$V,6,FALSE)</f>
        <v>別府</v>
      </c>
      <c r="AC6" s="765"/>
    </row>
    <row r="7" spans="1:29" ht="20.25" customHeight="1" x14ac:dyDescent="0.15">
      <c r="E7" s="222" t="s">
        <v>264</v>
      </c>
      <c r="F7" s="766" t="str">
        <f>VLOOKUP(E7,組合せ抽選用!$Q:$U,5,FALSE)</f>
        <v>四日市南ＳＳＣ</v>
      </c>
      <c r="G7" s="766"/>
      <c r="H7" s="766"/>
      <c r="I7" s="766"/>
      <c r="J7" s="766"/>
      <c r="K7" s="766"/>
      <c r="L7" s="766"/>
      <c r="M7" s="766" t="str">
        <f>VLOOKUP(E7,組合せ抽選用!$Q:$V,6,FALSE)</f>
        <v>宇佐高田</v>
      </c>
      <c r="N7" s="767"/>
      <c r="P7" s="217"/>
      <c r="Q7" s="217"/>
      <c r="R7" s="217"/>
      <c r="S7" s="217"/>
      <c r="T7" s="222" t="s">
        <v>266</v>
      </c>
      <c r="U7" s="766" t="str">
        <f>VLOOKUP(T7,組合せ抽選用!$Q:$U,5,FALSE)</f>
        <v>ＦＣアリアーレ</v>
      </c>
      <c r="V7" s="766"/>
      <c r="W7" s="766"/>
      <c r="X7" s="766"/>
      <c r="Y7" s="766"/>
      <c r="Z7" s="766"/>
      <c r="AA7" s="766"/>
      <c r="AB7" s="766" t="str">
        <f>VLOOKUP(T7,組合せ抽選用!$Q:$V,6,FALSE)</f>
        <v>日田/玖珠</v>
      </c>
      <c r="AC7" s="767"/>
    </row>
    <row r="8" spans="1:29" ht="20.25" customHeight="1" x14ac:dyDescent="0.15">
      <c r="P8" s="217"/>
      <c r="Q8" s="217"/>
      <c r="R8" s="217"/>
      <c r="S8" s="217"/>
      <c r="T8" s="217"/>
      <c r="U8" s="217"/>
      <c r="V8" s="217"/>
      <c r="W8" s="217"/>
      <c r="X8" s="217"/>
      <c r="Y8" s="217"/>
      <c r="Z8" s="217"/>
      <c r="AA8" s="217"/>
      <c r="AB8" s="217"/>
      <c r="AC8" s="217"/>
    </row>
    <row r="10" spans="1:29" ht="27.4" customHeight="1" x14ac:dyDescent="0.15">
      <c r="A10" s="223" t="s">
        <v>334</v>
      </c>
      <c r="B10" s="768"/>
      <c r="C10" s="769"/>
      <c r="D10" s="770"/>
      <c r="E10" s="771">
        <f>予選リーグ!B19</f>
        <v>0.4375</v>
      </c>
      <c r="F10" s="774" t="str">
        <f>F5</f>
        <v>ＦＣリーベル</v>
      </c>
      <c r="G10" s="777" t="str">
        <f>IF(I10="","",SUM(I10:I11))</f>
        <v/>
      </c>
      <c r="H10" s="780" t="s">
        <v>123</v>
      </c>
      <c r="I10" s="224"/>
      <c r="J10" s="224" t="s">
        <v>335</v>
      </c>
      <c r="K10" s="224"/>
      <c r="L10" s="780" t="s">
        <v>336</v>
      </c>
      <c r="M10" s="777" t="str">
        <f>IF(K10="","",SUM(K10:K11))</f>
        <v/>
      </c>
      <c r="N10" s="783" t="str">
        <f>F6</f>
        <v>ＦＣ中津ジュニア</v>
      </c>
      <c r="P10" s="223" t="s">
        <v>334</v>
      </c>
      <c r="Q10" s="768"/>
      <c r="R10" s="769"/>
      <c r="S10" s="770"/>
      <c r="T10" s="771">
        <f>予選リーグ!B21</f>
        <v>0.47222222222222227</v>
      </c>
      <c r="U10" s="774" t="str">
        <f>U5</f>
        <v>朝日ＦＣ</v>
      </c>
      <c r="V10" s="777" t="str">
        <f>IF(X10="","",SUM(X10:X11))</f>
        <v/>
      </c>
      <c r="W10" s="780" t="s">
        <v>123</v>
      </c>
      <c r="X10" s="224"/>
      <c r="Y10" s="224" t="s">
        <v>335</v>
      </c>
      <c r="Z10" s="224"/>
      <c r="AA10" s="780" t="s">
        <v>336</v>
      </c>
      <c r="AB10" s="777" t="str">
        <f>IF(Z10="","",SUM(Z10:Z11))</f>
        <v/>
      </c>
      <c r="AC10" s="783" t="str">
        <f>U6</f>
        <v>スマイス・セレソン</v>
      </c>
    </row>
    <row r="11" spans="1:29" ht="27.4" customHeight="1" x14ac:dyDescent="0.15">
      <c r="A11" s="225" t="s">
        <v>337</v>
      </c>
      <c r="B11" s="786" t="s">
        <v>313</v>
      </c>
      <c r="C11" s="786"/>
      <c r="D11" s="768"/>
      <c r="E11" s="772"/>
      <c r="F11" s="775"/>
      <c r="G11" s="778"/>
      <c r="H11" s="781"/>
      <c r="J11" s="214" t="s">
        <v>338</v>
      </c>
      <c r="L11" s="781"/>
      <c r="M11" s="778"/>
      <c r="N11" s="784"/>
      <c r="P11" s="225" t="s">
        <v>337</v>
      </c>
      <c r="Q11" s="786" t="s">
        <v>313</v>
      </c>
      <c r="R11" s="786"/>
      <c r="S11" s="768"/>
      <c r="T11" s="772"/>
      <c r="U11" s="775"/>
      <c r="V11" s="778"/>
      <c r="W11" s="781"/>
      <c r="Y11" s="214" t="s">
        <v>338</v>
      </c>
      <c r="AA11" s="781"/>
      <c r="AB11" s="778"/>
      <c r="AC11" s="784"/>
    </row>
    <row r="12" spans="1:29" ht="27.4" customHeight="1" x14ac:dyDescent="0.15">
      <c r="A12" s="225" t="s">
        <v>339</v>
      </c>
      <c r="B12" s="786"/>
      <c r="C12" s="786"/>
      <c r="D12" s="768"/>
      <c r="E12" s="773"/>
      <c r="F12" s="776"/>
      <c r="G12" s="779"/>
      <c r="H12" s="782"/>
      <c r="I12" s="226"/>
      <c r="J12" s="226" t="s">
        <v>340</v>
      </c>
      <c r="K12" s="226"/>
      <c r="L12" s="782"/>
      <c r="M12" s="779"/>
      <c r="N12" s="785"/>
      <c r="P12" s="225" t="s">
        <v>339</v>
      </c>
      <c r="Q12" s="786"/>
      <c r="R12" s="786"/>
      <c r="S12" s="768"/>
      <c r="T12" s="773"/>
      <c r="U12" s="776"/>
      <c r="V12" s="779"/>
      <c r="W12" s="782"/>
      <c r="X12" s="226"/>
      <c r="Y12" s="226" t="s">
        <v>340</v>
      </c>
      <c r="Z12" s="226"/>
      <c r="AA12" s="782"/>
      <c r="AB12" s="779"/>
      <c r="AC12" s="785"/>
    </row>
    <row r="13" spans="1:29" ht="20.25" customHeight="1" x14ac:dyDescent="0.15">
      <c r="A13" s="787" t="s">
        <v>341</v>
      </c>
      <c r="B13" s="787"/>
      <c r="C13" s="787"/>
      <c r="D13" s="787"/>
      <c r="E13" s="227"/>
      <c r="F13" s="228" t="s">
        <v>242</v>
      </c>
      <c r="G13" s="228" t="s">
        <v>342</v>
      </c>
      <c r="H13" s="228" t="s">
        <v>317</v>
      </c>
      <c r="I13" s="228"/>
      <c r="J13" s="229"/>
      <c r="K13" s="228"/>
      <c r="L13" s="228" t="s">
        <v>317</v>
      </c>
      <c r="M13" s="228" t="s">
        <v>342</v>
      </c>
      <c r="N13" s="230" t="s">
        <v>242</v>
      </c>
      <c r="P13" s="787" t="s">
        <v>341</v>
      </c>
      <c r="Q13" s="787"/>
      <c r="R13" s="787"/>
      <c r="S13" s="788"/>
      <c r="T13" s="227"/>
      <c r="U13" s="228" t="s">
        <v>242</v>
      </c>
      <c r="V13" s="228" t="s">
        <v>342</v>
      </c>
      <c r="W13" s="228" t="s">
        <v>317</v>
      </c>
      <c r="X13" s="228"/>
      <c r="Y13" s="229"/>
      <c r="Z13" s="228"/>
      <c r="AA13" s="228" t="s">
        <v>317</v>
      </c>
      <c r="AB13" s="228" t="s">
        <v>342</v>
      </c>
      <c r="AC13" s="230" t="s">
        <v>242</v>
      </c>
    </row>
    <row r="14" spans="1:29" ht="20.25" hidden="1" customHeight="1" x14ac:dyDescent="0.15">
      <c r="E14" s="231" t="s">
        <v>343</v>
      </c>
      <c r="F14" s="232" t="str">
        <f>IF(ISERROR(VLOOKUP(CONCATENATE($F$10,"_",G14),選手名簿!$A:$E,5,FALSE))=TRUE,"",VLOOKUP(CONCATENATE($F$10,"_",G14),選手名簿!$A:$E,5,FALSE))</f>
        <v/>
      </c>
      <c r="G14" s="233"/>
      <c r="H14" s="233"/>
      <c r="I14" s="233"/>
      <c r="J14" s="234"/>
      <c r="K14" s="233"/>
      <c r="L14" s="233"/>
      <c r="M14" s="233"/>
      <c r="N14" s="235" t="str">
        <f>IF(ISERROR(VLOOKUP(CONCATENATE($N$10,"_",M14),選手名簿!$A:$E,5,FALSE))=TRUE,"",VLOOKUP(CONCATENATE($N$10,"_",M14),選手名簿!$A:$E,5,FALSE))</f>
        <v/>
      </c>
      <c r="T14" s="231" t="s">
        <v>343</v>
      </c>
      <c r="U14" s="232" t="str">
        <f>IF(ISERROR(VLOOKUP(CONCATENATE($U$10,"_",V14),選手名簿!$A:$E,5,FALSE))=TRUE,"",VLOOKUP(CONCATENATE($U$10,"_",V14),選手名簿!$A:$E,5,FALSE))</f>
        <v/>
      </c>
      <c r="V14" s="233"/>
      <c r="W14" s="233"/>
      <c r="X14" s="233"/>
      <c r="Y14" s="234"/>
      <c r="Z14" s="233"/>
      <c r="AA14" s="233"/>
      <c r="AB14" s="233"/>
      <c r="AC14" s="235" t="str">
        <f>IF(ISERROR(VLOOKUP(CONCATENATE($AC$10,"_",AB14),選手名簿!$A:$E,5,FALSE))=TRUE,"",VLOOKUP(CONCATENATE($AC$10,"_",AB14),選手名簿!$A:$E,5,FALSE))</f>
        <v/>
      </c>
    </row>
    <row r="15" spans="1:29" ht="20.25" hidden="1" customHeight="1" x14ac:dyDescent="0.15">
      <c r="E15" s="231" t="s">
        <v>343</v>
      </c>
      <c r="F15" s="232" t="str">
        <f>IF(ISERROR(VLOOKUP(CONCATENATE($F$10,"_",G15),選手名簿!$A:$E,5,FALSE))=TRUE,"",VLOOKUP(CONCATENATE($F$10,"_",G15),選手名簿!$A:$E,5,FALSE))</f>
        <v/>
      </c>
      <c r="G15" s="233"/>
      <c r="H15" s="233"/>
      <c r="I15" s="233"/>
      <c r="J15" s="234"/>
      <c r="K15" s="233"/>
      <c r="L15" s="233"/>
      <c r="M15" s="233"/>
      <c r="N15" s="235" t="str">
        <f>IF(ISERROR(VLOOKUP(CONCATENATE($N$10,"_",M15),選手名簿!$A:$E,5,FALSE))=TRUE,"",VLOOKUP(CONCATENATE($N$10,"_",M15),選手名簿!$A:$E,5,FALSE))</f>
        <v/>
      </c>
      <c r="T15" s="231" t="s">
        <v>343</v>
      </c>
      <c r="U15" s="232" t="str">
        <f>IF(ISERROR(VLOOKUP(CONCATENATE($U$10,"_",V15),選手名簿!$A:$E,5,FALSE))=TRUE,"",VLOOKUP(CONCATENATE($U$10,"_",V15),選手名簿!$A:$E,5,FALSE))</f>
        <v/>
      </c>
      <c r="V15" s="233"/>
      <c r="W15" s="233"/>
      <c r="X15" s="233"/>
      <c r="Y15" s="234"/>
      <c r="Z15" s="233"/>
      <c r="AA15" s="233"/>
      <c r="AB15" s="233"/>
      <c r="AC15" s="235" t="str">
        <f>IF(ISERROR(VLOOKUP(CONCATENATE($AC$10,"_",AB15),選手名簿!$A:$E,5,FALSE))=TRUE,"",VLOOKUP(CONCATENATE($AC$10,"_",AB15),選手名簿!$A:$E,5,FALSE))</f>
        <v/>
      </c>
    </row>
    <row r="16" spans="1:29" ht="20.25" hidden="1" customHeight="1" x14ac:dyDescent="0.15">
      <c r="E16" s="231" t="s">
        <v>343</v>
      </c>
      <c r="F16" s="232" t="str">
        <f>IF(ISERROR(VLOOKUP(CONCATENATE($F$10,"_",G16),選手名簿!$A:$E,5,FALSE))=TRUE,"",VLOOKUP(CONCATENATE($F$10,"_",G16),選手名簿!$A:$E,5,FALSE))</f>
        <v/>
      </c>
      <c r="G16" s="233"/>
      <c r="H16" s="233"/>
      <c r="I16" s="233"/>
      <c r="J16" s="234"/>
      <c r="K16" s="233"/>
      <c r="L16" s="233"/>
      <c r="M16" s="233"/>
      <c r="N16" s="235" t="str">
        <f>IF(ISERROR(VLOOKUP(CONCATENATE($N$10,"_",M16),選手名簿!$A:$E,5,FALSE))=TRUE,"",VLOOKUP(CONCATENATE($N$10,"_",M16),選手名簿!$A:$E,5,FALSE))</f>
        <v/>
      </c>
      <c r="T16" s="231" t="s">
        <v>343</v>
      </c>
      <c r="U16" s="232" t="str">
        <f>IF(ISERROR(VLOOKUP(CONCATENATE($U$10,"_",V16),選手名簿!$A:$E,5,FALSE))=TRUE,"",VLOOKUP(CONCATENATE($U$10,"_",V16),選手名簿!$A:$E,5,FALSE))</f>
        <v/>
      </c>
      <c r="V16" s="233"/>
      <c r="W16" s="233"/>
      <c r="X16" s="233"/>
      <c r="Y16" s="234"/>
      <c r="Z16" s="233"/>
      <c r="AA16" s="233"/>
      <c r="AB16" s="233"/>
      <c r="AC16" s="235" t="str">
        <f>IF(ISERROR(VLOOKUP(CONCATENATE($AC$10,"_",AB16),選手名簿!$A:$E,5,FALSE))=TRUE,"",VLOOKUP(CONCATENATE($AC$10,"_",AB16),選手名簿!$A:$E,5,FALSE))</f>
        <v/>
      </c>
    </row>
    <row r="17" spans="1:29" ht="20.25" hidden="1" customHeight="1" x14ac:dyDescent="0.15">
      <c r="E17" s="231" t="s">
        <v>343</v>
      </c>
      <c r="F17" s="232" t="str">
        <f>IF(ISERROR(VLOOKUP(CONCATENATE($F$10,"_",G17),選手名簿!$A:$E,5,FALSE))=TRUE,"",VLOOKUP(CONCATENATE($F$10,"_",G17),選手名簿!$A:$E,5,FALSE))</f>
        <v/>
      </c>
      <c r="G17" s="233"/>
      <c r="H17" s="233"/>
      <c r="I17" s="233"/>
      <c r="J17" s="234"/>
      <c r="K17" s="233"/>
      <c r="L17" s="233"/>
      <c r="M17" s="233"/>
      <c r="N17" s="235" t="str">
        <f>IF(ISERROR(VLOOKUP(CONCATENATE($N$10,"_",M17),選手名簿!$A:$E,5,FALSE))=TRUE,"",VLOOKUP(CONCATENATE($N$10,"_",M17),選手名簿!$A:$E,5,FALSE))</f>
        <v/>
      </c>
      <c r="T17" s="231" t="s">
        <v>343</v>
      </c>
      <c r="U17" s="232" t="str">
        <f>IF(ISERROR(VLOOKUP(CONCATENATE($U$10,"_",V17),選手名簿!$A:$E,5,FALSE))=TRUE,"",VLOOKUP(CONCATENATE($U$10,"_",V17),選手名簿!$A:$E,5,FALSE))</f>
        <v/>
      </c>
      <c r="V17" s="233"/>
      <c r="W17" s="233"/>
      <c r="X17" s="233"/>
      <c r="Y17" s="234"/>
      <c r="Z17" s="233"/>
      <c r="AA17" s="233"/>
      <c r="AB17" s="233"/>
      <c r="AC17" s="235" t="str">
        <f>IF(ISERROR(VLOOKUP(CONCATENATE($AC$10,"_",AB17),選手名簿!$A:$E,5,FALSE))=TRUE,"",VLOOKUP(CONCATENATE($AC$10,"_",AB17),選手名簿!$A:$E,5,FALSE))</f>
        <v/>
      </c>
    </row>
    <row r="18" spans="1:29" ht="20.25" hidden="1" customHeight="1" x14ac:dyDescent="0.15">
      <c r="E18" s="231" t="s">
        <v>343</v>
      </c>
      <c r="F18" s="232" t="str">
        <f>IF(ISERROR(VLOOKUP(CONCATENATE($F$10,"_",G18),選手名簿!$A:$E,5,FALSE))=TRUE,"",VLOOKUP(CONCATENATE($F$10,"_",G18),選手名簿!$A:$E,5,FALSE))</f>
        <v/>
      </c>
      <c r="G18" s="233"/>
      <c r="H18" s="233"/>
      <c r="I18" s="233"/>
      <c r="J18" s="234"/>
      <c r="K18" s="233"/>
      <c r="L18" s="233"/>
      <c r="M18" s="233"/>
      <c r="N18" s="235" t="str">
        <f>IF(ISERROR(VLOOKUP(CONCATENATE($N$10,"_",M18),選手名簿!$A:$E,5,FALSE))=TRUE,"",VLOOKUP(CONCATENATE($N$10,"_",M18),選手名簿!$A:$E,5,FALSE))</f>
        <v/>
      </c>
      <c r="T18" s="231" t="s">
        <v>343</v>
      </c>
      <c r="U18" s="232" t="str">
        <f>IF(ISERROR(VLOOKUP(CONCATENATE($U$10,"_",V18),選手名簿!$A:$E,5,FALSE))=TRUE,"",VLOOKUP(CONCATENATE($U$10,"_",V18),選手名簿!$A:$E,5,FALSE))</f>
        <v/>
      </c>
      <c r="V18" s="233"/>
      <c r="W18" s="233"/>
      <c r="X18" s="233"/>
      <c r="Y18" s="234"/>
      <c r="Z18" s="233"/>
      <c r="AA18" s="233"/>
      <c r="AB18" s="233"/>
      <c r="AC18" s="235" t="str">
        <f>IF(ISERROR(VLOOKUP(CONCATENATE($AC$10,"_",AB18),選手名簿!$A:$E,5,FALSE))=TRUE,"",VLOOKUP(CONCATENATE($AC$10,"_",AB18),選手名簿!$A:$E,5,FALSE))</f>
        <v/>
      </c>
    </row>
    <row r="19" spans="1:29" ht="20.25" hidden="1" customHeight="1" x14ac:dyDescent="0.15">
      <c r="E19" s="231" t="s">
        <v>343</v>
      </c>
      <c r="F19" s="232" t="str">
        <f>IF(ISERROR(VLOOKUP(CONCATENATE($F$10,"_",G19),選手名簿!$A:$E,5,FALSE))=TRUE,"",VLOOKUP(CONCATENATE($F$10,"_",G19),選手名簿!$A:$E,5,FALSE))</f>
        <v/>
      </c>
      <c r="G19" s="233"/>
      <c r="H19" s="233"/>
      <c r="I19" s="233"/>
      <c r="J19" s="234"/>
      <c r="K19" s="233"/>
      <c r="L19" s="233"/>
      <c r="M19" s="233"/>
      <c r="N19" s="235" t="str">
        <f>IF(ISERROR(VLOOKUP(CONCATENATE($N$10,"_",M19),選手名簿!$A:$E,5,FALSE))=TRUE,"",VLOOKUP(CONCATENATE($N$10,"_",M19),選手名簿!$A:$E,5,FALSE))</f>
        <v/>
      </c>
      <c r="T19" s="231" t="s">
        <v>343</v>
      </c>
      <c r="U19" s="232" t="str">
        <f>IF(ISERROR(VLOOKUP(CONCATENATE($U$10,"_",V19),選手名簿!$A:$E,5,FALSE))=TRUE,"",VLOOKUP(CONCATENATE($U$10,"_",V19),選手名簿!$A:$E,5,FALSE))</f>
        <v/>
      </c>
      <c r="V19" s="233"/>
      <c r="W19" s="233"/>
      <c r="X19" s="233"/>
      <c r="Y19" s="234"/>
      <c r="Z19" s="233"/>
      <c r="AA19" s="233"/>
      <c r="AB19" s="233"/>
      <c r="AC19" s="235" t="str">
        <f>IF(ISERROR(VLOOKUP(CONCATENATE($AC$10,"_",AB19),選手名簿!$A:$E,5,FALSE))=TRUE,"",VLOOKUP(CONCATENATE($AC$10,"_",AB19),選手名簿!$A:$E,5,FALSE))</f>
        <v/>
      </c>
    </row>
    <row r="20" spans="1:29" ht="20.25" hidden="1" customHeight="1" x14ac:dyDescent="0.15">
      <c r="E20" s="231" t="s">
        <v>343</v>
      </c>
      <c r="F20" s="232" t="str">
        <f>IF(ISERROR(VLOOKUP(CONCATENATE($F$10,"_",G20),選手名簿!$A:$E,5,FALSE))=TRUE,"",VLOOKUP(CONCATENATE($F$10,"_",G20),選手名簿!$A:$E,5,FALSE))</f>
        <v/>
      </c>
      <c r="G20" s="233"/>
      <c r="H20" s="233"/>
      <c r="I20" s="233"/>
      <c r="J20" s="234"/>
      <c r="K20" s="233"/>
      <c r="L20" s="233"/>
      <c r="M20" s="233"/>
      <c r="N20" s="235" t="str">
        <f>IF(ISERROR(VLOOKUP(CONCATENATE($N$10,"_",M20),選手名簿!$A:$E,5,FALSE))=TRUE,"",VLOOKUP(CONCATENATE($N$10,"_",M20),選手名簿!$A:$E,5,FALSE))</f>
        <v/>
      </c>
      <c r="T20" s="231" t="s">
        <v>343</v>
      </c>
      <c r="U20" s="232" t="str">
        <f>IF(ISERROR(VLOOKUP(CONCATENATE($U$10,"_",V20),選手名簿!$A:$E,5,FALSE))=TRUE,"",VLOOKUP(CONCATENATE($U$10,"_",V20),選手名簿!$A:$E,5,FALSE))</f>
        <v/>
      </c>
      <c r="V20" s="233"/>
      <c r="W20" s="233"/>
      <c r="X20" s="233"/>
      <c r="Y20" s="234"/>
      <c r="Z20" s="233"/>
      <c r="AA20" s="233"/>
      <c r="AB20" s="233"/>
      <c r="AC20" s="235" t="str">
        <f>IF(ISERROR(VLOOKUP(CONCATENATE($AC$10,"_",AB20),選手名簿!$A:$E,5,FALSE))=TRUE,"",VLOOKUP(CONCATENATE($AC$10,"_",AB20),選手名簿!$A:$E,5,FALSE))</f>
        <v/>
      </c>
    </row>
    <row r="21" spans="1:29" ht="20.25" hidden="1" customHeight="1" x14ac:dyDescent="0.15">
      <c r="E21" s="231" t="s">
        <v>343</v>
      </c>
      <c r="F21" s="232" t="str">
        <f>IF(ISERROR(VLOOKUP(CONCATENATE($F$10,"_",G21),選手名簿!$A:$E,5,FALSE))=TRUE,"",VLOOKUP(CONCATENATE($F$10,"_",G21),選手名簿!$A:$E,5,FALSE))</f>
        <v/>
      </c>
      <c r="G21" s="233"/>
      <c r="H21" s="233"/>
      <c r="I21" s="233"/>
      <c r="J21" s="234"/>
      <c r="K21" s="233"/>
      <c r="L21" s="233"/>
      <c r="M21" s="233"/>
      <c r="N21" s="235" t="str">
        <f>IF(ISERROR(VLOOKUP(CONCATENATE($N$10,"_",M21),選手名簿!$A:$E,5,FALSE))=TRUE,"",VLOOKUP(CONCATENATE($N$10,"_",M21),選手名簿!$A:$E,5,FALSE))</f>
        <v/>
      </c>
      <c r="T21" s="231" t="s">
        <v>343</v>
      </c>
      <c r="U21" s="232" t="str">
        <f>IF(ISERROR(VLOOKUP(CONCATENATE($U$10,"_",V21),選手名簿!$A:$E,5,FALSE))=TRUE,"",VLOOKUP(CONCATENATE($U$10,"_",V21),選手名簿!$A:$E,5,FALSE))</f>
        <v/>
      </c>
      <c r="V21" s="233"/>
      <c r="W21" s="233"/>
      <c r="X21" s="233"/>
      <c r="Y21" s="234"/>
      <c r="Z21" s="233"/>
      <c r="AA21" s="233"/>
      <c r="AB21" s="233"/>
      <c r="AC21" s="235" t="str">
        <f>IF(ISERROR(VLOOKUP(CONCATENATE($AC$10,"_",AB21),選手名簿!$A:$E,5,FALSE))=TRUE,"",VLOOKUP(CONCATENATE($AC$10,"_",AB21),選手名簿!$A:$E,5,FALSE))</f>
        <v/>
      </c>
    </row>
    <row r="22" spans="1:29" ht="20.25" hidden="1" customHeight="1" x14ac:dyDescent="0.15">
      <c r="E22" s="231" t="s">
        <v>343</v>
      </c>
      <c r="F22" s="232" t="str">
        <f>IF(ISERROR(VLOOKUP(CONCATENATE($F$10,"_",G22),選手名簿!$A:$E,5,FALSE))=TRUE,"",VLOOKUP(CONCATENATE($F$10,"_",G22),選手名簿!$A:$E,5,FALSE))</f>
        <v/>
      </c>
      <c r="G22" s="233"/>
      <c r="H22" s="233"/>
      <c r="I22" s="233"/>
      <c r="J22" s="234"/>
      <c r="K22" s="233"/>
      <c r="L22" s="233"/>
      <c r="M22" s="233"/>
      <c r="N22" s="235" t="str">
        <f>IF(ISERROR(VLOOKUP(CONCATENATE($N$10,"_",M22),選手名簿!$A:$E,5,FALSE))=TRUE,"",VLOOKUP(CONCATENATE($N$10,"_",M22),選手名簿!$A:$E,5,FALSE))</f>
        <v/>
      </c>
      <c r="T22" s="231" t="s">
        <v>343</v>
      </c>
      <c r="U22" s="232" t="str">
        <f>IF(ISERROR(VLOOKUP(CONCATENATE($U$10,"_",V22),選手名簿!$A:$E,5,FALSE))=TRUE,"",VLOOKUP(CONCATENATE($U$10,"_",V22),選手名簿!$A:$E,5,FALSE))</f>
        <v/>
      </c>
      <c r="V22" s="233"/>
      <c r="W22" s="233"/>
      <c r="X22" s="233"/>
      <c r="Y22" s="234"/>
      <c r="Z22" s="233"/>
      <c r="AA22" s="233"/>
      <c r="AB22" s="233"/>
      <c r="AC22" s="235" t="str">
        <f>IF(ISERROR(VLOOKUP(CONCATENATE($AC$10,"_",AB22),選手名簿!$A:$E,5,FALSE))=TRUE,"",VLOOKUP(CONCATENATE($AC$10,"_",AB22),選手名簿!$A:$E,5,FALSE))</f>
        <v/>
      </c>
    </row>
    <row r="23" spans="1:29" ht="20.25" hidden="1" customHeight="1" x14ac:dyDescent="0.15">
      <c r="E23" s="236" t="s">
        <v>343</v>
      </c>
      <c r="F23" s="237" t="str">
        <f>IF(ISERROR(VLOOKUP(CONCATENATE($F$10,"_",G23),選手名簿!$A:$E,5,FALSE))=TRUE,"",VLOOKUP(CONCATENATE($F$10,"_",G23),選手名簿!$A:$E,5,FALSE))</f>
        <v/>
      </c>
      <c r="G23" s="238"/>
      <c r="H23" s="238"/>
      <c r="I23" s="238"/>
      <c r="J23" s="239"/>
      <c r="K23" s="238"/>
      <c r="L23" s="238"/>
      <c r="M23" s="238"/>
      <c r="N23" s="240" t="str">
        <f>IF(ISERROR(VLOOKUP(CONCATENATE($N$10,"_",M23),選手名簿!$A:$E,5,FALSE))=TRUE,"",VLOOKUP(CONCATENATE($N$10,"_",M23),選手名簿!$A:$E,5,FALSE))</f>
        <v/>
      </c>
      <c r="T23" s="236" t="s">
        <v>343</v>
      </c>
      <c r="U23" s="237" t="str">
        <f>IF(ISERROR(VLOOKUP(CONCATENATE($U$10,"_",V23),選手名簿!$A:$E,5,FALSE))=TRUE,"",VLOOKUP(CONCATENATE($U$10,"_",V23),選手名簿!$A:$E,5,FALSE))</f>
        <v/>
      </c>
      <c r="V23" s="238"/>
      <c r="W23" s="238"/>
      <c r="X23" s="238"/>
      <c r="Y23" s="239"/>
      <c r="Z23" s="238"/>
      <c r="AA23" s="238"/>
      <c r="AB23" s="238"/>
      <c r="AC23" s="240" t="str">
        <f>IF(ISERROR(VLOOKUP(CONCATENATE($AC$10,"_",AB23),選手名簿!$A:$E,5,FALSE))=TRUE,"",VLOOKUP(CONCATENATE($AC$10,"_",AB23),選手名簿!$A:$E,5,FALSE))</f>
        <v/>
      </c>
    </row>
    <row r="24" spans="1:29" ht="20.25" customHeight="1" x14ac:dyDescent="0.15">
      <c r="A24" s="241" t="s">
        <v>342</v>
      </c>
      <c r="B24" s="789"/>
      <c r="C24" s="789"/>
      <c r="D24" s="789"/>
      <c r="E24" s="231" t="s">
        <v>243</v>
      </c>
      <c r="F24" s="232" t="str">
        <f>IF(ISERROR(VLOOKUP(CONCATENATE($F$10,"_",G24),選手名簿!$A:$E,5,FALSE))=TRUE,"",VLOOKUP(CONCATENATE($F$10,"_",G24),選手名簿!$A:$E,5,FALSE))</f>
        <v/>
      </c>
      <c r="G24" s="233"/>
      <c r="H24" s="233"/>
      <c r="I24" s="233"/>
      <c r="J24" s="234"/>
      <c r="K24" s="233"/>
      <c r="L24" s="233"/>
      <c r="M24" s="233"/>
      <c r="N24" s="235" t="str">
        <f>IF(ISERROR(VLOOKUP(CONCATENATE($N$10,"_",M24),選手名簿!$A:$E,5,FALSE))=TRUE,"",VLOOKUP(CONCATENATE($N$10,"_",M24),選手名簿!$A:$E,5,FALSE))</f>
        <v/>
      </c>
      <c r="P24" s="241" t="s">
        <v>342</v>
      </c>
      <c r="Q24" s="789"/>
      <c r="R24" s="789"/>
      <c r="S24" s="789"/>
      <c r="T24" s="231" t="s">
        <v>243</v>
      </c>
      <c r="U24" s="232" t="str">
        <f>IF(ISERROR(VLOOKUP(CONCATENATE($U$10,"_",V24),選手名簿!$A:$E,5,FALSE))=TRUE,"",VLOOKUP(CONCATENATE($U$10,"_",V24),選手名簿!$A:$E,5,FALSE))</f>
        <v/>
      </c>
      <c r="V24" s="233"/>
      <c r="W24" s="233"/>
      <c r="X24" s="233"/>
      <c r="Y24" s="234"/>
      <c r="Z24" s="233"/>
      <c r="AA24" s="233"/>
      <c r="AB24" s="233"/>
      <c r="AC24" s="235" t="str">
        <f>IF(ISERROR(VLOOKUP(CONCATENATE($AC$10,"_",AB24),選手名簿!$A:$E,5,FALSE))=TRUE,"",VLOOKUP(CONCATENATE($AC$10,"_",AB24),選手名簿!$A:$E,5,FALSE))</f>
        <v/>
      </c>
    </row>
    <row r="25" spans="1:29" ht="20.25" customHeight="1" x14ac:dyDescent="0.15">
      <c r="A25" s="242" t="s">
        <v>344</v>
      </c>
      <c r="B25" s="790" t="str">
        <f>IF(ISERROR(VLOOKUP(B24,審判員!$A:$C,2,FALSE))=TRUE,"",VLOOKUP(B24,審判員!$A:$C,2,FALSE))</f>
        <v/>
      </c>
      <c r="C25" s="791"/>
      <c r="D25" s="243" t="str">
        <f>IF(ISERROR(VLOOKUP(B24,審判員!$A:$C,3,FALSE))=TRUE,"",VLOOKUP(B24,審判員!$A:$C,3,FALSE))</f>
        <v/>
      </c>
      <c r="E25" s="244" t="s">
        <v>243</v>
      </c>
      <c r="F25" s="245" t="str">
        <f>IF(ISERROR(VLOOKUP(CONCATENATE($F$10,"_",G25),選手名簿!$A:$E,5,FALSE))=TRUE,"",VLOOKUP(CONCATENATE($F$10,"_",G25),選手名簿!$A:$E,5,FALSE))</f>
        <v/>
      </c>
      <c r="G25" s="246"/>
      <c r="H25" s="246"/>
      <c r="I25" s="246"/>
      <c r="J25" s="234"/>
      <c r="K25" s="246"/>
      <c r="L25" s="246"/>
      <c r="M25" s="246"/>
      <c r="N25" s="247" t="str">
        <f>IF(ISERROR(VLOOKUP(CONCATENATE($N$10,"_",M25),選手名簿!$A:$E,5,FALSE))=TRUE,"",VLOOKUP(CONCATENATE($N$10,"_",M25),選手名簿!$A:$E,5,FALSE))</f>
        <v/>
      </c>
      <c r="P25" s="242" t="s">
        <v>344</v>
      </c>
      <c r="Q25" s="790" t="str">
        <f>IF(ISERROR(VLOOKUP(Q24,審判員!$A:$C,2,FALSE))=TRUE,"",VLOOKUP(Q24,審判員!$A:$C,2,FALSE))</f>
        <v/>
      </c>
      <c r="R25" s="791"/>
      <c r="S25" s="242" t="str">
        <f>IF(ISERROR(VLOOKUP(Q24,審判員!$A:$C,3,FALSE))=TRUE,"",VLOOKUP(Q24,審判員!$A:$C,3,FALSE))</f>
        <v/>
      </c>
      <c r="T25" s="244" t="s">
        <v>243</v>
      </c>
      <c r="U25" s="245" t="str">
        <f>IF(ISERROR(VLOOKUP(CONCATENATE($U$10,"_",V25),選手名簿!$A:$E,5,FALSE))=TRUE,"",VLOOKUP(CONCATENATE($U$10,"_",V25),選手名簿!$A:$E,5,FALSE))</f>
        <v/>
      </c>
      <c r="V25" s="246"/>
      <c r="W25" s="246"/>
      <c r="X25" s="246"/>
      <c r="Y25" s="234"/>
      <c r="Z25" s="246"/>
      <c r="AA25" s="246"/>
      <c r="AB25" s="246"/>
      <c r="AC25" s="247" t="str">
        <f>IF(ISERROR(VLOOKUP(CONCATENATE($AC$10,"_",AB25),選手名簿!$A:$E,5,FALSE))=TRUE,"",VLOOKUP(CONCATENATE($AC$10,"_",AB25),選手名簿!$A:$E,5,FALSE))</f>
        <v/>
      </c>
    </row>
    <row r="26" spans="1:29" ht="20.25" customHeight="1" x14ac:dyDescent="0.15">
      <c r="A26" s="430" t="s">
        <v>342</v>
      </c>
      <c r="B26" s="792"/>
      <c r="C26" s="792"/>
      <c r="D26" s="792"/>
      <c r="E26" s="244" t="s">
        <v>243</v>
      </c>
      <c r="F26" s="245" t="str">
        <f>IF(ISERROR(VLOOKUP(CONCATENATE($F$10,"_",G26),選手名簿!$A:$E,5,FALSE))=TRUE,"",VLOOKUP(CONCATENATE($F$10,"_",G26),選手名簿!$A:$E,5,FALSE))</f>
        <v/>
      </c>
      <c r="G26" s="246"/>
      <c r="H26" s="246"/>
      <c r="I26" s="246"/>
      <c r="J26" s="234"/>
      <c r="K26" s="246"/>
      <c r="L26" s="246"/>
      <c r="M26" s="246"/>
      <c r="N26" s="247" t="str">
        <f>IF(ISERROR(VLOOKUP(CONCATENATE($N$10,"_",M26),選手名簿!$A:$E,5,FALSE))=TRUE,"",VLOOKUP(CONCATENATE($N$10,"_",M26),選手名簿!$A:$E,5,FALSE))</f>
        <v/>
      </c>
      <c r="P26" s="430" t="s">
        <v>342</v>
      </c>
      <c r="Q26" s="792"/>
      <c r="R26" s="792"/>
      <c r="S26" s="793"/>
      <c r="T26" s="244" t="s">
        <v>243</v>
      </c>
      <c r="U26" s="245" t="str">
        <f>IF(ISERROR(VLOOKUP(CONCATENATE($U$10,"_",V26),選手名簿!$A:$E,5,FALSE))=TRUE,"",VLOOKUP(CONCATENATE($U$10,"_",V26),選手名簿!$A:$E,5,FALSE))</f>
        <v/>
      </c>
      <c r="V26" s="246"/>
      <c r="W26" s="246"/>
      <c r="X26" s="246"/>
      <c r="Y26" s="234"/>
      <c r="Z26" s="246"/>
      <c r="AA26" s="246"/>
      <c r="AB26" s="246"/>
      <c r="AC26" s="247" t="str">
        <f>IF(ISERROR(VLOOKUP(CONCATENATE($AC$10,"_",AB26),選手名簿!$A:$E,5,FALSE))=TRUE,"",VLOOKUP(CONCATENATE($AC$10,"_",AB26),選手名簿!$A:$E,5,FALSE))</f>
        <v/>
      </c>
    </row>
    <row r="27" spans="1:29" ht="20.25" customHeight="1" x14ac:dyDescent="0.15">
      <c r="A27" s="430" t="s">
        <v>345</v>
      </c>
      <c r="B27" s="796" t="str">
        <f>IF(ISERROR(VLOOKUP(B26,審判員!$A:$C,2,FALSE))=TRUE,"",VLOOKUP(B26,審判員!$A:$C,2,FALSE))</f>
        <v/>
      </c>
      <c r="C27" s="797"/>
      <c r="D27" s="433" t="str">
        <f>IF(ISERROR(VLOOKUP(B26,審判員!$A:$C,3,FALSE))=TRUE,"",VLOOKUP(B26,審判員!$A:$C,3,FALSE))</f>
        <v/>
      </c>
      <c r="E27" s="244" t="s">
        <v>243</v>
      </c>
      <c r="F27" s="245" t="str">
        <f>IF(ISERROR(VLOOKUP(CONCATENATE($F$10,"_",G27),選手名簿!$A:$E,5,FALSE))=TRUE,"",VLOOKUP(CONCATENATE($F$10,"_",G27),選手名簿!$A:$E,5,FALSE))</f>
        <v/>
      </c>
      <c r="G27" s="246"/>
      <c r="H27" s="246"/>
      <c r="I27" s="246"/>
      <c r="J27" s="234"/>
      <c r="K27" s="246"/>
      <c r="L27" s="246"/>
      <c r="M27" s="246"/>
      <c r="N27" s="247" t="str">
        <f>IF(ISERROR(VLOOKUP(CONCATENATE($N$10,"_",M27),選手名簿!$A:$E,5,FALSE))=TRUE,"",VLOOKUP(CONCATENATE($N$10,"_",M27),選手名簿!$A:$E,5,FALSE))</f>
        <v/>
      </c>
      <c r="P27" s="430" t="s">
        <v>345</v>
      </c>
      <c r="Q27" s="796" t="str">
        <f>IF(ISERROR(VLOOKUP(Q26,審判員!$A:$C,2,FALSE))=TRUE,"",VLOOKUP(Q26,審判員!$A:$C,2,FALSE))</f>
        <v/>
      </c>
      <c r="R27" s="797"/>
      <c r="S27" s="430" t="str">
        <f>IF(ISERROR(VLOOKUP(Q26,審判員!$A:$C,3,FALSE))=TRUE,"",VLOOKUP(Q26,審判員!$A:$C,3,FALSE))</f>
        <v/>
      </c>
      <c r="T27" s="244" t="s">
        <v>243</v>
      </c>
      <c r="U27" s="245" t="str">
        <f>IF(ISERROR(VLOOKUP(CONCATENATE($U$10,"_",V27),選手名簿!$A:$E,5,FALSE))=TRUE,"",VLOOKUP(CONCATENATE($U$10,"_",V27),選手名簿!$A:$E,5,FALSE))</f>
        <v/>
      </c>
      <c r="V27" s="246"/>
      <c r="W27" s="246"/>
      <c r="X27" s="246"/>
      <c r="Y27" s="234"/>
      <c r="Z27" s="246"/>
      <c r="AA27" s="246"/>
      <c r="AB27" s="246"/>
      <c r="AC27" s="247" t="str">
        <f>IF(ISERROR(VLOOKUP(CONCATENATE($AC$10,"_",AB27),選手名簿!$A:$E,5,FALSE))=TRUE,"",VLOOKUP(CONCATENATE($AC$10,"_",AB27),選手名簿!$A:$E,5,FALSE))</f>
        <v/>
      </c>
    </row>
    <row r="28" spans="1:29" ht="20.25" customHeight="1" x14ac:dyDescent="0.15">
      <c r="A28" s="430" t="s">
        <v>342</v>
      </c>
      <c r="B28" s="792"/>
      <c r="C28" s="792"/>
      <c r="D28" s="792"/>
      <c r="E28" s="244" t="s">
        <v>243</v>
      </c>
      <c r="F28" s="245" t="str">
        <f>IF(ISERROR(VLOOKUP(CONCATENATE($F$10,"_",G28),選手名簿!$A:$E,5,FALSE))=TRUE,"",VLOOKUP(CONCATENATE($F$10,"_",G28),選手名簿!$A:$E,5,FALSE))</f>
        <v/>
      </c>
      <c r="G28" s="246"/>
      <c r="H28" s="246"/>
      <c r="I28" s="246"/>
      <c r="J28" s="234"/>
      <c r="K28" s="246"/>
      <c r="L28" s="246"/>
      <c r="M28" s="246"/>
      <c r="N28" s="247" t="str">
        <f>IF(ISERROR(VLOOKUP(CONCATENATE($N$10,"_",M28),選手名簿!$A:$E,5,FALSE))=TRUE,"",VLOOKUP(CONCATENATE($N$10,"_",M28),選手名簿!$A:$E,5,FALSE))</f>
        <v/>
      </c>
      <c r="P28" s="430" t="s">
        <v>342</v>
      </c>
      <c r="Q28" s="792"/>
      <c r="R28" s="792"/>
      <c r="S28" s="793"/>
      <c r="T28" s="244" t="s">
        <v>243</v>
      </c>
      <c r="U28" s="245" t="str">
        <f>IF(ISERROR(VLOOKUP(CONCATENATE($U$10,"_",V28),選手名簿!$A:$E,5,FALSE))=TRUE,"",VLOOKUP(CONCATENATE($U$10,"_",V28),選手名簿!$A:$E,5,FALSE))</f>
        <v/>
      </c>
      <c r="V28" s="246"/>
      <c r="W28" s="246"/>
      <c r="X28" s="246"/>
      <c r="Y28" s="234"/>
      <c r="Z28" s="246"/>
      <c r="AA28" s="246"/>
      <c r="AB28" s="246"/>
      <c r="AC28" s="247" t="str">
        <f>IF(ISERROR(VLOOKUP(CONCATENATE($AC$10,"_",AB28),選手名簿!$A:$E,5,FALSE))=TRUE,"",VLOOKUP(CONCATENATE($AC$10,"_",AB28),選手名簿!$A:$E,5,FALSE))</f>
        <v/>
      </c>
    </row>
    <row r="29" spans="1:29" ht="20.25" customHeight="1" x14ac:dyDescent="0.15">
      <c r="A29" s="430" t="s">
        <v>346</v>
      </c>
      <c r="B29" s="796" t="str">
        <f>IF(ISERROR(VLOOKUP(B28,審判員!$A:$C,2,FALSE))=TRUE,"",VLOOKUP(B28,審判員!$A:$C,2,FALSE))</f>
        <v/>
      </c>
      <c r="C29" s="797"/>
      <c r="D29" s="433" t="str">
        <f>IF(ISERROR(VLOOKUP(B28,審判員!$A:$C,3,FALSE))=TRUE,"",VLOOKUP(B28,審判員!$A:$C,3,FALSE))</f>
        <v/>
      </c>
      <c r="E29" s="244" t="s">
        <v>243</v>
      </c>
      <c r="F29" s="245" t="str">
        <f>IF(ISERROR(VLOOKUP(CONCATENATE($F$10,"_",G29),選手名簿!$A:$E,5,FALSE))=TRUE,"",VLOOKUP(CONCATENATE($F$10,"_",G29),選手名簿!$A:$E,5,FALSE))</f>
        <v/>
      </c>
      <c r="G29" s="246"/>
      <c r="H29" s="246"/>
      <c r="I29" s="246"/>
      <c r="J29" s="234"/>
      <c r="K29" s="246"/>
      <c r="L29" s="246"/>
      <c r="M29" s="246"/>
      <c r="N29" s="247" t="str">
        <f>IF(ISERROR(VLOOKUP(CONCATENATE($N$10,"_",M29),選手名簿!$A:$E,5,FALSE))=TRUE,"",VLOOKUP(CONCATENATE($N$10,"_",M29),選手名簿!$A:$E,5,FALSE))</f>
        <v/>
      </c>
      <c r="P29" s="430" t="s">
        <v>346</v>
      </c>
      <c r="Q29" s="796" t="str">
        <f>IF(ISERROR(VLOOKUP(Q28,審判員!$A:$C,2,FALSE))=TRUE,"",VLOOKUP(Q28,審判員!$A:$C,2,FALSE))</f>
        <v/>
      </c>
      <c r="R29" s="797"/>
      <c r="S29" s="430" t="str">
        <f>IF(ISERROR(VLOOKUP(Q28,審判員!$A:$C,3,FALSE))=TRUE,"",VLOOKUP(Q28,審判員!$A:$C,3,FALSE))</f>
        <v/>
      </c>
      <c r="T29" s="244" t="s">
        <v>243</v>
      </c>
      <c r="U29" s="245" t="str">
        <f>IF(ISERROR(VLOOKUP(CONCATENATE($U$10,"_",V29),選手名簿!$A:$E,5,FALSE))=TRUE,"",VLOOKUP(CONCATENATE($U$10,"_",V29),選手名簿!$A:$E,5,FALSE))</f>
        <v/>
      </c>
      <c r="V29" s="246"/>
      <c r="W29" s="246"/>
      <c r="X29" s="246"/>
      <c r="Y29" s="234"/>
      <c r="Z29" s="246"/>
      <c r="AA29" s="246"/>
      <c r="AB29" s="246"/>
      <c r="AC29" s="247" t="str">
        <f>IF(ISERROR(VLOOKUP(CONCATENATE($AC$10,"_",AB29),選手名簿!$A:$E,5,FALSE))=TRUE,"",VLOOKUP(CONCATENATE($AC$10,"_",AB29),選手名簿!$A:$E,5,FALSE))</f>
        <v/>
      </c>
    </row>
    <row r="30" spans="1:29" ht="20.25" customHeight="1" x14ac:dyDescent="0.15">
      <c r="A30" s="241" t="s">
        <v>342</v>
      </c>
      <c r="B30" s="789"/>
      <c r="C30" s="789"/>
      <c r="D30" s="789"/>
      <c r="E30" s="244" t="s">
        <v>243</v>
      </c>
      <c r="F30" s="245" t="str">
        <f>IF(ISERROR(VLOOKUP(CONCATENATE($F$10,"_",G30),選手名簿!$A:$E,5,FALSE))=TRUE,"",VLOOKUP(CONCATENATE($F$10,"_",G30),選手名簿!$A:$E,5,FALSE))</f>
        <v/>
      </c>
      <c r="G30" s="246"/>
      <c r="H30" s="246"/>
      <c r="I30" s="246"/>
      <c r="J30" s="234"/>
      <c r="K30" s="246"/>
      <c r="L30" s="246"/>
      <c r="M30" s="246"/>
      <c r="N30" s="247" t="str">
        <f>IF(ISERROR(VLOOKUP(CONCATENATE($N$10,"_",M30),選手名簿!$A:$E,5,FALSE))=TRUE,"",VLOOKUP(CONCATENATE($N$10,"_",M30),選手名簿!$A:$E,5,FALSE))</f>
        <v/>
      </c>
      <c r="P30" s="241" t="s">
        <v>342</v>
      </c>
      <c r="Q30" s="786"/>
      <c r="R30" s="786"/>
      <c r="S30" s="786"/>
      <c r="T30" s="244" t="s">
        <v>243</v>
      </c>
      <c r="U30" s="245" t="str">
        <f>IF(ISERROR(VLOOKUP(CONCATENATE($U$10,"_",V30),選手名簿!$A:$E,5,FALSE))=TRUE,"",VLOOKUP(CONCATENATE($U$10,"_",V30),選手名簿!$A:$E,5,FALSE))</f>
        <v/>
      </c>
      <c r="V30" s="246"/>
      <c r="W30" s="246"/>
      <c r="X30" s="246"/>
      <c r="Y30" s="234"/>
      <c r="Z30" s="246"/>
      <c r="AA30" s="246"/>
      <c r="AB30" s="246"/>
      <c r="AC30" s="247" t="str">
        <f>IF(ISERROR(VLOOKUP(CONCATENATE($AC$10,"_",AB30),選手名簿!$A:$E,5,FALSE))=TRUE,"",VLOOKUP(CONCATENATE($AC$10,"_",AB30),選手名簿!$A:$E,5,FALSE))</f>
        <v/>
      </c>
    </row>
    <row r="31" spans="1:29" ht="20.25" customHeight="1" x14ac:dyDescent="0.15">
      <c r="A31" s="242" t="s">
        <v>347</v>
      </c>
      <c r="B31" s="790" t="str">
        <f>IF(ISERROR(VLOOKUP(B30,審判員!$A:$C,2,FALSE))=TRUE,"",VLOOKUP(B30,審判員!$A:$C,2,FALSE))</f>
        <v/>
      </c>
      <c r="C31" s="791"/>
      <c r="D31" s="243" t="str">
        <f>IF(ISERROR(VLOOKUP(B30,審判員!$A:$C,3,FALSE))=TRUE,"",VLOOKUP(B30,審判員!$A:$C,3,FALSE))</f>
        <v/>
      </c>
      <c r="E31" s="248" t="s">
        <v>243</v>
      </c>
      <c r="F31" s="249" t="str">
        <f>IF(ISERROR(VLOOKUP(CONCATENATE($F$10,"_",G31),選手名簿!$A:$E,5,FALSE))=TRUE,"",VLOOKUP(CONCATENATE($F$10,"_",G31),選手名簿!$A:$E,5,FALSE))</f>
        <v/>
      </c>
      <c r="G31" s="250"/>
      <c r="H31" s="250"/>
      <c r="I31" s="250"/>
      <c r="J31" s="239"/>
      <c r="K31" s="250"/>
      <c r="L31" s="250"/>
      <c r="M31" s="250"/>
      <c r="N31" s="251" t="str">
        <f>IF(ISERROR(VLOOKUP(CONCATENATE($N$10,"_",M31),選手名簿!$A:$E,5,FALSE))=TRUE,"",VLOOKUP(CONCATENATE($N$10,"_",M31),選手名簿!$A:$E,5,FALSE))</f>
        <v/>
      </c>
      <c r="P31" s="242" t="s">
        <v>347</v>
      </c>
      <c r="Q31" s="790" t="str">
        <f>IF(ISERROR(VLOOKUP(Q30,審判員!$A:$C,2,FALSE))=TRUE,"",VLOOKUP(Q30,審判員!$A:$C,2,FALSE))</f>
        <v/>
      </c>
      <c r="R31" s="791"/>
      <c r="S31" s="242" t="str">
        <f>IF(ISERROR(VLOOKUP(Q30,審判員!$A:$C,3,FALSE))=TRUE,"",VLOOKUP(Q30,審判員!$A:$C,3,FALSE))</f>
        <v/>
      </c>
      <c r="T31" s="248" t="s">
        <v>243</v>
      </c>
      <c r="U31" s="249" t="str">
        <f>IF(ISERROR(VLOOKUP(CONCATENATE($U$10,"_",V31),選手名簿!$A:$E,5,FALSE))=TRUE,"",VLOOKUP(CONCATENATE($U$10,"_",V31),選手名簿!$A:$E,5,FALSE))</f>
        <v/>
      </c>
      <c r="V31" s="250"/>
      <c r="W31" s="250"/>
      <c r="X31" s="250"/>
      <c r="Y31" s="239"/>
      <c r="Z31" s="250"/>
      <c r="AA31" s="250"/>
      <c r="AB31" s="250"/>
      <c r="AC31" s="251" t="str">
        <f>IF(ISERROR(VLOOKUP(CONCATENATE($AC$10,"_",AB31),選手名簿!$A:$E,5,FALSE))=TRUE,"",VLOOKUP(CONCATENATE($AC$10,"_",AB31),選手名簿!$A:$E,5,FALSE))</f>
        <v/>
      </c>
    </row>
    <row r="32" spans="1:29" ht="9.9499999999999993" customHeight="1" x14ac:dyDescent="0.15">
      <c r="E32" s="252"/>
      <c r="T32" s="252"/>
    </row>
    <row r="33" spans="1:29" ht="9.9499999999999993" customHeight="1" x14ac:dyDescent="0.15">
      <c r="E33" s="252"/>
      <c r="T33" s="252"/>
    </row>
    <row r="34" spans="1:29" ht="9.9499999999999993" customHeight="1" x14ac:dyDescent="0.15"/>
    <row r="35" spans="1:29" ht="9.9499999999999993" customHeight="1" x14ac:dyDescent="0.15"/>
    <row r="36" spans="1:29" ht="9.9499999999999993" customHeight="1" x14ac:dyDescent="0.15"/>
    <row r="37" spans="1:29" ht="9.9499999999999993" customHeight="1" x14ac:dyDescent="0.15"/>
    <row r="38" spans="1:29" ht="9.9499999999999993" customHeight="1" x14ac:dyDescent="0.15">
      <c r="E38" s="252"/>
      <c r="T38" s="252"/>
    </row>
    <row r="39" spans="1:29" ht="27.4" customHeight="1" x14ac:dyDescent="0.15">
      <c r="A39" s="223" t="s">
        <v>334</v>
      </c>
      <c r="B39" s="768"/>
      <c r="C39" s="769"/>
      <c r="D39" s="770"/>
      <c r="E39" s="771">
        <f>予選リーグ!B23</f>
        <v>0.50694444444444442</v>
      </c>
      <c r="F39" s="774" t="str">
        <f>F6</f>
        <v>ＦＣ中津ジュニア</v>
      </c>
      <c r="G39" s="777" t="str">
        <f>IF(I39="","",SUM(I39:I40))</f>
        <v/>
      </c>
      <c r="H39" s="780" t="s">
        <v>123</v>
      </c>
      <c r="I39" s="224"/>
      <c r="J39" s="224" t="s">
        <v>335</v>
      </c>
      <c r="K39" s="224"/>
      <c r="L39" s="780" t="s">
        <v>336</v>
      </c>
      <c r="M39" s="777" t="str">
        <f>IF(K39="","",SUM(K39:K40))</f>
        <v/>
      </c>
      <c r="N39" s="783" t="str">
        <f>F7</f>
        <v>四日市南ＳＳＣ</v>
      </c>
      <c r="P39" s="223" t="s">
        <v>334</v>
      </c>
      <c r="Q39" s="768"/>
      <c r="R39" s="769"/>
      <c r="S39" s="770"/>
      <c r="T39" s="771">
        <f>予選リーグ!B27</f>
        <v>0.54166666666666663</v>
      </c>
      <c r="U39" s="774" t="str">
        <f>U6</f>
        <v>スマイス・セレソン</v>
      </c>
      <c r="V39" s="777" t="str">
        <f>IF(X39="","",SUM(X39:X40))</f>
        <v/>
      </c>
      <c r="W39" s="780" t="s">
        <v>123</v>
      </c>
      <c r="X39" s="224"/>
      <c r="Y39" s="224" t="s">
        <v>335</v>
      </c>
      <c r="Z39" s="224"/>
      <c r="AA39" s="780" t="s">
        <v>336</v>
      </c>
      <c r="AB39" s="777" t="str">
        <f>IF(Z39="","",SUM(Z39:Z40))</f>
        <v/>
      </c>
      <c r="AC39" s="783" t="str">
        <f>U7</f>
        <v>ＦＣアリアーレ</v>
      </c>
    </row>
    <row r="40" spans="1:29" ht="27.4" customHeight="1" x14ac:dyDescent="0.15">
      <c r="A40" s="225" t="s">
        <v>337</v>
      </c>
      <c r="B40" s="786" t="s">
        <v>313</v>
      </c>
      <c r="C40" s="786"/>
      <c r="D40" s="768"/>
      <c r="E40" s="772"/>
      <c r="F40" s="775"/>
      <c r="G40" s="778"/>
      <c r="H40" s="781"/>
      <c r="J40" s="214" t="s">
        <v>338</v>
      </c>
      <c r="L40" s="781"/>
      <c r="M40" s="778"/>
      <c r="N40" s="784"/>
      <c r="P40" s="225" t="s">
        <v>337</v>
      </c>
      <c r="Q40" s="786" t="s">
        <v>313</v>
      </c>
      <c r="R40" s="786"/>
      <c r="S40" s="768"/>
      <c r="T40" s="772"/>
      <c r="U40" s="775"/>
      <c r="V40" s="778"/>
      <c r="W40" s="781"/>
      <c r="Y40" s="214" t="s">
        <v>338</v>
      </c>
      <c r="AA40" s="781"/>
      <c r="AB40" s="778"/>
      <c r="AC40" s="784"/>
    </row>
    <row r="41" spans="1:29" ht="27.4" customHeight="1" x14ac:dyDescent="0.15">
      <c r="A41" s="225" t="s">
        <v>339</v>
      </c>
      <c r="B41" s="786"/>
      <c r="C41" s="786"/>
      <c r="D41" s="768"/>
      <c r="E41" s="773"/>
      <c r="F41" s="776"/>
      <c r="G41" s="779"/>
      <c r="H41" s="782"/>
      <c r="I41" s="226"/>
      <c r="J41" s="226" t="s">
        <v>340</v>
      </c>
      <c r="K41" s="226"/>
      <c r="L41" s="782"/>
      <c r="M41" s="779"/>
      <c r="N41" s="785"/>
      <c r="P41" s="225" t="s">
        <v>339</v>
      </c>
      <c r="Q41" s="786"/>
      <c r="R41" s="786"/>
      <c r="S41" s="768"/>
      <c r="T41" s="773"/>
      <c r="U41" s="776"/>
      <c r="V41" s="779"/>
      <c r="W41" s="782"/>
      <c r="X41" s="226"/>
      <c r="Y41" s="226" t="s">
        <v>340</v>
      </c>
      <c r="Z41" s="226"/>
      <c r="AA41" s="782"/>
      <c r="AB41" s="779"/>
      <c r="AC41" s="785"/>
    </row>
    <row r="42" spans="1:29" ht="20.25" customHeight="1" x14ac:dyDescent="0.15">
      <c r="A42" s="787" t="s">
        <v>341</v>
      </c>
      <c r="B42" s="787"/>
      <c r="C42" s="787"/>
      <c r="D42" s="788"/>
      <c r="E42" s="227"/>
      <c r="F42" s="228" t="s">
        <v>242</v>
      </c>
      <c r="G42" s="228" t="s">
        <v>342</v>
      </c>
      <c r="H42" s="228" t="s">
        <v>317</v>
      </c>
      <c r="I42" s="228"/>
      <c r="J42" s="229"/>
      <c r="K42" s="228"/>
      <c r="L42" s="228" t="s">
        <v>317</v>
      </c>
      <c r="M42" s="228" t="s">
        <v>342</v>
      </c>
      <c r="N42" s="230" t="s">
        <v>242</v>
      </c>
      <c r="P42" s="787" t="s">
        <v>341</v>
      </c>
      <c r="Q42" s="787"/>
      <c r="R42" s="787"/>
      <c r="S42" s="788"/>
      <c r="T42" s="227"/>
      <c r="U42" s="228" t="s">
        <v>242</v>
      </c>
      <c r="V42" s="228" t="s">
        <v>342</v>
      </c>
      <c r="W42" s="228" t="s">
        <v>317</v>
      </c>
      <c r="X42" s="228"/>
      <c r="Y42" s="229"/>
      <c r="Z42" s="228"/>
      <c r="AA42" s="228" t="s">
        <v>317</v>
      </c>
      <c r="AB42" s="228" t="s">
        <v>342</v>
      </c>
      <c r="AC42" s="230" t="s">
        <v>242</v>
      </c>
    </row>
    <row r="43" spans="1:29" ht="20.25" hidden="1" customHeight="1" x14ac:dyDescent="0.15">
      <c r="E43" s="231" t="s">
        <v>343</v>
      </c>
      <c r="F43" s="232" t="str">
        <f>IF(ISERROR(VLOOKUP(CONCATENATE($F$39,"_",G43),選手名簿!$A:$E,5,FALSE))=TRUE,"",VLOOKUP(CONCATENATE($F$39,"_",G43),選手名簿!$A:$E,5,FALSE))</f>
        <v/>
      </c>
      <c r="G43" s="233"/>
      <c r="H43" s="233"/>
      <c r="I43" s="233"/>
      <c r="J43" s="234"/>
      <c r="K43" s="233"/>
      <c r="L43" s="233"/>
      <c r="M43" s="233"/>
      <c r="N43" s="235" t="str">
        <f>IF(ISERROR(VLOOKUP(CONCATENATE($N$39,"_",M43),選手名簿!$A:$E,5,FALSE))=TRUE,"",VLOOKUP(CONCATENATE($N$39,"_",M43),選手名簿!$A:$E,5,FALSE))</f>
        <v/>
      </c>
      <c r="T43" s="231" t="s">
        <v>343</v>
      </c>
      <c r="U43" s="232" t="str">
        <f>IF(ISERROR(VLOOKUP(CONCATENATE($U$39,"_",V43),選手名簿!$A:$E,5,FALSE))=TRUE,"",VLOOKUP(CONCATENATE($U$39,"_",V43),選手名簿!$A:$E,5,FALSE))</f>
        <v/>
      </c>
      <c r="V43" s="233"/>
      <c r="W43" s="233"/>
      <c r="X43" s="233"/>
      <c r="Y43" s="234"/>
      <c r="Z43" s="233"/>
      <c r="AA43" s="233"/>
      <c r="AB43" s="233"/>
      <c r="AC43" s="235" t="str">
        <f>IF(ISERROR(VLOOKUP(CONCATENATE($AC$39,"_",AB43),選手名簿!$A:$E,5,FALSE))=TRUE,"",VLOOKUP(CONCATENATE($AC$39,"_",AB43),選手名簿!$A:$E,5,FALSE))</f>
        <v/>
      </c>
    </row>
    <row r="44" spans="1:29" ht="20.25" hidden="1" customHeight="1" x14ac:dyDescent="0.15">
      <c r="E44" s="231" t="s">
        <v>343</v>
      </c>
      <c r="F44" s="232" t="str">
        <f>IF(ISERROR(VLOOKUP(CONCATENATE($F$39,"_",G44),選手名簿!$A:$E,5,FALSE))=TRUE,"",VLOOKUP(CONCATENATE($F$39,"_",G44),選手名簿!$A:$E,5,FALSE))</f>
        <v/>
      </c>
      <c r="G44" s="233"/>
      <c r="H44" s="233"/>
      <c r="I44" s="233"/>
      <c r="J44" s="234"/>
      <c r="K44" s="233"/>
      <c r="L44" s="233"/>
      <c r="M44" s="233"/>
      <c r="N44" s="235" t="str">
        <f>IF(ISERROR(VLOOKUP(CONCATENATE($N$39,"_",M44),選手名簿!$A:$E,5,FALSE))=TRUE,"",VLOOKUP(CONCATENATE($N$39,"_",M44),選手名簿!$A:$E,5,FALSE))</f>
        <v/>
      </c>
      <c r="T44" s="231" t="s">
        <v>343</v>
      </c>
      <c r="U44" s="232" t="str">
        <f>IF(ISERROR(VLOOKUP(CONCATENATE($U$39,"_",V44),選手名簿!$A:$E,5,FALSE))=TRUE,"",VLOOKUP(CONCATENATE($U$39,"_",V44),選手名簿!$A:$E,5,FALSE))</f>
        <v/>
      </c>
      <c r="V44" s="233"/>
      <c r="W44" s="233"/>
      <c r="X44" s="233"/>
      <c r="Y44" s="234"/>
      <c r="Z44" s="233"/>
      <c r="AA44" s="233"/>
      <c r="AB44" s="233"/>
      <c r="AC44" s="235" t="str">
        <f>IF(ISERROR(VLOOKUP(CONCATENATE($AC$39,"_",AB44),選手名簿!$A:$E,5,FALSE))=TRUE,"",VLOOKUP(CONCATENATE($AC$39,"_",AB44),選手名簿!$A:$E,5,FALSE))</f>
        <v/>
      </c>
    </row>
    <row r="45" spans="1:29" ht="20.25" hidden="1" customHeight="1" x14ac:dyDescent="0.15">
      <c r="E45" s="231" t="s">
        <v>343</v>
      </c>
      <c r="F45" s="232" t="str">
        <f>IF(ISERROR(VLOOKUP(CONCATENATE($F$39,"_",G45),選手名簿!$A:$E,5,FALSE))=TRUE,"",VLOOKUP(CONCATENATE($F$39,"_",G45),選手名簿!$A:$E,5,FALSE))</f>
        <v/>
      </c>
      <c r="G45" s="233"/>
      <c r="H45" s="233"/>
      <c r="I45" s="233"/>
      <c r="J45" s="234"/>
      <c r="K45" s="233"/>
      <c r="L45" s="233"/>
      <c r="M45" s="233"/>
      <c r="N45" s="235" t="str">
        <f>IF(ISERROR(VLOOKUP(CONCATENATE($N$39,"_",M45),選手名簿!$A:$E,5,FALSE))=TRUE,"",VLOOKUP(CONCATENATE($N$39,"_",M45),選手名簿!$A:$E,5,FALSE))</f>
        <v/>
      </c>
      <c r="T45" s="231" t="s">
        <v>343</v>
      </c>
      <c r="U45" s="232" t="str">
        <f>IF(ISERROR(VLOOKUP(CONCATENATE($U$39,"_",V45),選手名簿!$A:$E,5,FALSE))=TRUE,"",VLOOKUP(CONCATENATE($U$39,"_",V45),選手名簿!$A:$E,5,FALSE))</f>
        <v/>
      </c>
      <c r="V45" s="233"/>
      <c r="W45" s="233"/>
      <c r="X45" s="233"/>
      <c r="Y45" s="234"/>
      <c r="Z45" s="233"/>
      <c r="AA45" s="233"/>
      <c r="AB45" s="233"/>
      <c r="AC45" s="235" t="str">
        <f>IF(ISERROR(VLOOKUP(CONCATENATE($AC$39,"_",AB45),選手名簿!$A:$E,5,FALSE))=TRUE,"",VLOOKUP(CONCATENATE($AC$39,"_",AB45),選手名簿!$A:$E,5,FALSE))</f>
        <v/>
      </c>
    </row>
    <row r="46" spans="1:29" ht="20.25" hidden="1" customHeight="1" x14ac:dyDescent="0.15">
      <c r="E46" s="231" t="s">
        <v>343</v>
      </c>
      <c r="F46" s="232" t="str">
        <f>IF(ISERROR(VLOOKUP(CONCATENATE($F$39,"_",G46),選手名簿!$A:$E,5,FALSE))=TRUE,"",VLOOKUP(CONCATENATE($F$39,"_",G46),選手名簿!$A:$E,5,FALSE))</f>
        <v/>
      </c>
      <c r="G46" s="233"/>
      <c r="H46" s="233"/>
      <c r="I46" s="233"/>
      <c r="J46" s="234"/>
      <c r="K46" s="233"/>
      <c r="L46" s="233"/>
      <c r="M46" s="233"/>
      <c r="N46" s="235" t="str">
        <f>IF(ISERROR(VLOOKUP(CONCATENATE($N$39,"_",M46),選手名簿!$A:$E,5,FALSE))=TRUE,"",VLOOKUP(CONCATENATE($N$39,"_",M46),選手名簿!$A:$E,5,FALSE))</f>
        <v/>
      </c>
      <c r="T46" s="231" t="s">
        <v>343</v>
      </c>
      <c r="U46" s="232" t="str">
        <f>IF(ISERROR(VLOOKUP(CONCATENATE($U$39,"_",V46),選手名簿!$A:$E,5,FALSE))=TRUE,"",VLOOKUP(CONCATENATE($U$39,"_",V46),選手名簿!$A:$E,5,FALSE))</f>
        <v/>
      </c>
      <c r="V46" s="233"/>
      <c r="W46" s="233"/>
      <c r="X46" s="233"/>
      <c r="Y46" s="234"/>
      <c r="Z46" s="233"/>
      <c r="AA46" s="233"/>
      <c r="AB46" s="233"/>
      <c r="AC46" s="235" t="str">
        <f>IF(ISERROR(VLOOKUP(CONCATENATE($AC$39,"_",AB46),選手名簿!$A:$E,5,FALSE))=TRUE,"",VLOOKUP(CONCATENATE($AC$39,"_",AB46),選手名簿!$A:$E,5,FALSE))</f>
        <v/>
      </c>
    </row>
    <row r="47" spans="1:29" ht="20.25" hidden="1" customHeight="1" x14ac:dyDescent="0.15">
      <c r="E47" s="231" t="s">
        <v>343</v>
      </c>
      <c r="F47" s="232" t="str">
        <f>IF(ISERROR(VLOOKUP(CONCATENATE($F$39,"_",G47),選手名簿!$A:$E,5,FALSE))=TRUE,"",VLOOKUP(CONCATENATE($F$39,"_",G47),選手名簿!$A:$E,5,FALSE))</f>
        <v/>
      </c>
      <c r="G47" s="233"/>
      <c r="H47" s="233"/>
      <c r="I47" s="233"/>
      <c r="J47" s="234"/>
      <c r="K47" s="233"/>
      <c r="L47" s="233"/>
      <c r="M47" s="233"/>
      <c r="N47" s="235" t="str">
        <f>IF(ISERROR(VLOOKUP(CONCATENATE($N$39,"_",M47),選手名簿!$A:$E,5,FALSE))=TRUE,"",VLOOKUP(CONCATENATE($N$39,"_",M47),選手名簿!$A:$E,5,FALSE))</f>
        <v/>
      </c>
      <c r="T47" s="231" t="s">
        <v>343</v>
      </c>
      <c r="U47" s="232" t="str">
        <f>IF(ISERROR(VLOOKUP(CONCATENATE($U$39,"_",V47),選手名簿!$A:$E,5,FALSE))=TRUE,"",VLOOKUP(CONCATENATE($U$39,"_",V47),選手名簿!$A:$E,5,FALSE))</f>
        <v/>
      </c>
      <c r="V47" s="233"/>
      <c r="W47" s="233"/>
      <c r="X47" s="233"/>
      <c r="Y47" s="234"/>
      <c r="Z47" s="233"/>
      <c r="AA47" s="233"/>
      <c r="AB47" s="233"/>
      <c r="AC47" s="235" t="str">
        <f>IF(ISERROR(VLOOKUP(CONCATENATE($AC$39,"_",AB47),選手名簿!$A:$E,5,FALSE))=TRUE,"",VLOOKUP(CONCATENATE($AC$39,"_",AB47),選手名簿!$A:$E,5,FALSE))</f>
        <v/>
      </c>
    </row>
    <row r="48" spans="1:29" ht="20.25" hidden="1" customHeight="1" x14ac:dyDescent="0.15">
      <c r="E48" s="231" t="s">
        <v>343</v>
      </c>
      <c r="F48" s="232" t="str">
        <f>IF(ISERROR(VLOOKUP(CONCATENATE($F$39,"_",G48),選手名簿!$A:$E,5,FALSE))=TRUE,"",VLOOKUP(CONCATENATE($F$39,"_",G48),選手名簿!$A:$E,5,FALSE))</f>
        <v/>
      </c>
      <c r="G48" s="233"/>
      <c r="H48" s="233"/>
      <c r="I48" s="233"/>
      <c r="J48" s="234"/>
      <c r="K48" s="233"/>
      <c r="L48" s="233"/>
      <c r="M48" s="233"/>
      <c r="N48" s="235" t="str">
        <f>IF(ISERROR(VLOOKUP(CONCATENATE($N$39,"_",M48),選手名簿!$A:$E,5,FALSE))=TRUE,"",VLOOKUP(CONCATENATE($N$39,"_",M48),選手名簿!$A:$E,5,FALSE))</f>
        <v/>
      </c>
      <c r="T48" s="231" t="s">
        <v>343</v>
      </c>
      <c r="U48" s="232" t="str">
        <f>IF(ISERROR(VLOOKUP(CONCATENATE($U$39,"_",V48),選手名簿!$A:$E,5,FALSE))=TRUE,"",VLOOKUP(CONCATENATE($U$39,"_",V48),選手名簿!$A:$E,5,FALSE))</f>
        <v/>
      </c>
      <c r="V48" s="233"/>
      <c r="W48" s="233"/>
      <c r="X48" s="233"/>
      <c r="Y48" s="234"/>
      <c r="Z48" s="233"/>
      <c r="AA48" s="233"/>
      <c r="AB48" s="233"/>
      <c r="AC48" s="235" t="str">
        <f>IF(ISERROR(VLOOKUP(CONCATENATE($AC$39,"_",AB48),選手名簿!$A:$E,5,FALSE))=TRUE,"",VLOOKUP(CONCATENATE($AC$39,"_",AB48),選手名簿!$A:$E,5,FALSE))</f>
        <v/>
      </c>
    </row>
    <row r="49" spans="1:29" ht="20.25" hidden="1" customHeight="1" x14ac:dyDescent="0.15">
      <c r="E49" s="231" t="s">
        <v>343</v>
      </c>
      <c r="F49" s="232" t="str">
        <f>IF(ISERROR(VLOOKUP(CONCATENATE($F$39,"_",G49),選手名簿!$A:$E,5,FALSE))=TRUE,"",VLOOKUP(CONCATENATE($F$39,"_",G49),選手名簿!$A:$E,5,FALSE))</f>
        <v/>
      </c>
      <c r="G49" s="233"/>
      <c r="H49" s="233"/>
      <c r="I49" s="233"/>
      <c r="J49" s="234"/>
      <c r="K49" s="233"/>
      <c r="L49" s="233"/>
      <c r="M49" s="233"/>
      <c r="N49" s="235" t="str">
        <f>IF(ISERROR(VLOOKUP(CONCATENATE($N$39,"_",M49),選手名簿!$A:$E,5,FALSE))=TRUE,"",VLOOKUP(CONCATENATE($N$39,"_",M49),選手名簿!$A:$E,5,FALSE))</f>
        <v/>
      </c>
      <c r="T49" s="231" t="s">
        <v>343</v>
      </c>
      <c r="U49" s="232" t="str">
        <f>IF(ISERROR(VLOOKUP(CONCATENATE($U$39,"_",V49),選手名簿!$A:$E,5,FALSE))=TRUE,"",VLOOKUP(CONCATENATE($U$39,"_",V49),選手名簿!$A:$E,5,FALSE))</f>
        <v/>
      </c>
      <c r="V49" s="233"/>
      <c r="W49" s="233"/>
      <c r="X49" s="233"/>
      <c r="Y49" s="234"/>
      <c r="Z49" s="233"/>
      <c r="AA49" s="233"/>
      <c r="AB49" s="233"/>
      <c r="AC49" s="235" t="str">
        <f>IF(ISERROR(VLOOKUP(CONCATENATE($AC$39,"_",AB49),選手名簿!$A:$E,5,FALSE))=TRUE,"",VLOOKUP(CONCATENATE($AC$39,"_",AB49),選手名簿!$A:$E,5,FALSE))</f>
        <v/>
      </c>
    </row>
    <row r="50" spans="1:29" ht="20.25" hidden="1" customHeight="1" x14ac:dyDescent="0.15">
      <c r="E50" s="231" t="s">
        <v>343</v>
      </c>
      <c r="F50" s="232" t="str">
        <f>IF(ISERROR(VLOOKUP(CONCATENATE($F$39,"_",G50),選手名簿!$A:$E,5,FALSE))=TRUE,"",VLOOKUP(CONCATENATE($F$39,"_",G50),選手名簿!$A:$E,5,FALSE))</f>
        <v/>
      </c>
      <c r="G50" s="233"/>
      <c r="H50" s="233"/>
      <c r="I50" s="233"/>
      <c r="J50" s="234"/>
      <c r="K50" s="233"/>
      <c r="L50" s="233"/>
      <c r="M50" s="233"/>
      <c r="N50" s="235" t="str">
        <f>IF(ISERROR(VLOOKUP(CONCATENATE($N$39,"_",M50),選手名簿!$A:$E,5,FALSE))=TRUE,"",VLOOKUP(CONCATENATE($N$39,"_",M50),選手名簿!$A:$E,5,FALSE))</f>
        <v/>
      </c>
      <c r="T50" s="231" t="s">
        <v>343</v>
      </c>
      <c r="U50" s="232" t="str">
        <f>IF(ISERROR(VLOOKUP(CONCATENATE($U$39,"_",V50),選手名簿!$A:$E,5,FALSE))=TRUE,"",VLOOKUP(CONCATENATE($U$39,"_",V50),選手名簿!$A:$E,5,FALSE))</f>
        <v/>
      </c>
      <c r="V50" s="233"/>
      <c r="W50" s="233"/>
      <c r="X50" s="233"/>
      <c r="Y50" s="234"/>
      <c r="Z50" s="233"/>
      <c r="AA50" s="233"/>
      <c r="AB50" s="233"/>
      <c r="AC50" s="235" t="str">
        <f>IF(ISERROR(VLOOKUP(CONCATENATE($AC$39,"_",AB50),選手名簿!$A:$E,5,FALSE))=TRUE,"",VLOOKUP(CONCATENATE($AC$39,"_",AB50),選手名簿!$A:$E,5,FALSE))</f>
        <v/>
      </c>
    </row>
    <row r="51" spans="1:29" ht="20.25" hidden="1" customHeight="1" x14ac:dyDescent="0.15">
      <c r="E51" s="231" t="s">
        <v>343</v>
      </c>
      <c r="F51" s="232" t="str">
        <f>IF(ISERROR(VLOOKUP(CONCATENATE($F$39,"_",G51),選手名簿!$A:$E,5,FALSE))=TRUE,"",VLOOKUP(CONCATENATE($F$39,"_",G51),選手名簿!$A:$E,5,FALSE))</f>
        <v/>
      </c>
      <c r="G51" s="233"/>
      <c r="H51" s="233"/>
      <c r="I51" s="233"/>
      <c r="J51" s="234"/>
      <c r="K51" s="233"/>
      <c r="L51" s="233"/>
      <c r="M51" s="233"/>
      <c r="N51" s="235" t="str">
        <f>IF(ISERROR(VLOOKUP(CONCATENATE($N$39,"_",M51),選手名簿!$A:$E,5,FALSE))=TRUE,"",VLOOKUP(CONCATENATE($N$39,"_",M51),選手名簿!$A:$E,5,FALSE))</f>
        <v/>
      </c>
      <c r="T51" s="231" t="s">
        <v>343</v>
      </c>
      <c r="U51" s="232" t="str">
        <f>IF(ISERROR(VLOOKUP(CONCATENATE($U$39,"_",V51),選手名簿!$A:$E,5,FALSE))=TRUE,"",VLOOKUP(CONCATENATE($U$39,"_",V51),選手名簿!$A:$E,5,FALSE))</f>
        <v/>
      </c>
      <c r="V51" s="233"/>
      <c r="W51" s="233"/>
      <c r="X51" s="233"/>
      <c r="Y51" s="234"/>
      <c r="Z51" s="233"/>
      <c r="AA51" s="233"/>
      <c r="AB51" s="233"/>
      <c r="AC51" s="235" t="str">
        <f>IF(ISERROR(VLOOKUP(CONCATENATE($AC$39,"_",AB51),選手名簿!$A:$E,5,FALSE))=TRUE,"",VLOOKUP(CONCATENATE($AC$39,"_",AB51),選手名簿!$A:$E,5,FALSE))</f>
        <v/>
      </c>
    </row>
    <row r="52" spans="1:29" ht="20.25" hidden="1" customHeight="1" x14ac:dyDescent="0.15">
      <c r="E52" s="236" t="s">
        <v>343</v>
      </c>
      <c r="F52" s="237" t="str">
        <f>IF(ISERROR(VLOOKUP(CONCATENATE($F$39,"_",G52),選手名簿!$A:$E,5,FALSE))=TRUE,"",VLOOKUP(CONCATENATE($F$39,"_",G52),選手名簿!$A:$E,5,FALSE))</f>
        <v/>
      </c>
      <c r="G52" s="238"/>
      <c r="H52" s="238"/>
      <c r="I52" s="238"/>
      <c r="J52" s="239"/>
      <c r="K52" s="238"/>
      <c r="L52" s="238"/>
      <c r="M52" s="238"/>
      <c r="N52" s="240" t="str">
        <f>IF(ISERROR(VLOOKUP(CONCATENATE($N$39,"_",M52),選手名簿!$A:$E,5,FALSE))=TRUE,"",VLOOKUP(CONCATENATE($N$39,"_",M52),選手名簿!$A:$E,5,FALSE))</f>
        <v/>
      </c>
      <c r="T52" s="236" t="s">
        <v>343</v>
      </c>
      <c r="U52" s="237" t="str">
        <f>IF(ISERROR(VLOOKUP(CONCATENATE($U$39,"_",V52),選手名簿!$A:$E,5,FALSE))=TRUE,"",VLOOKUP(CONCATENATE($U$39,"_",V52),選手名簿!$A:$E,5,FALSE))</f>
        <v/>
      </c>
      <c r="V52" s="238"/>
      <c r="W52" s="238"/>
      <c r="X52" s="238"/>
      <c r="Y52" s="239"/>
      <c r="Z52" s="238"/>
      <c r="AA52" s="238"/>
      <c r="AB52" s="238"/>
      <c r="AC52" s="240" t="str">
        <f>IF(ISERROR(VLOOKUP(CONCATENATE($AC$39,"_",AB52),選手名簿!$A:$E,5,FALSE))=TRUE,"",VLOOKUP(CONCATENATE($AC$39,"_",AB52),選手名簿!$A:$E,5,FALSE))</f>
        <v/>
      </c>
    </row>
    <row r="53" spans="1:29" ht="20.25" customHeight="1" x14ac:dyDescent="0.15">
      <c r="A53" s="241" t="s">
        <v>342</v>
      </c>
      <c r="B53" s="789"/>
      <c r="C53" s="789"/>
      <c r="D53" s="789"/>
      <c r="E53" s="231" t="s">
        <v>243</v>
      </c>
      <c r="F53" s="232" t="str">
        <f>IF(ISERROR(VLOOKUP(CONCATENATE($F$39,"_",G53),選手名簿!$A:$E,5,FALSE))=TRUE,"",VLOOKUP(CONCATENATE($F$39,"_",G53),選手名簿!$A:$E,5,FALSE))</f>
        <v/>
      </c>
      <c r="G53" s="233"/>
      <c r="H53" s="233"/>
      <c r="I53" s="233"/>
      <c r="J53" s="234"/>
      <c r="K53" s="233"/>
      <c r="L53" s="233"/>
      <c r="M53" s="233"/>
      <c r="N53" s="235" t="str">
        <f>IF(ISERROR(VLOOKUP(CONCATENATE($N$39,"_",M53),選手名簿!$A:$E,5,FALSE))=TRUE,"",VLOOKUP(CONCATENATE($N$39,"_",M53),選手名簿!$A:$E,5,FALSE))</f>
        <v/>
      </c>
      <c r="P53" s="241" t="s">
        <v>342</v>
      </c>
      <c r="Q53" s="789"/>
      <c r="R53" s="789"/>
      <c r="S53" s="789"/>
      <c r="T53" s="231" t="s">
        <v>243</v>
      </c>
      <c r="U53" s="232" t="str">
        <f>IF(ISERROR(VLOOKUP(CONCATENATE($U$39,"_",V53),選手名簿!$A:$E,5,FALSE))=TRUE,"",VLOOKUP(CONCATENATE($U$39,"_",V53),選手名簿!$A:$E,5,FALSE))</f>
        <v/>
      </c>
      <c r="V53" s="233"/>
      <c r="W53" s="233"/>
      <c r="X53" s="233"/>
      <c r="Y53" s="234"/>
      <c r="Z53" s="233"/>
      <c r="AA53" s="233"/>
      <c r="AB53" s="233"/>
      <c r="AC53" s="235" t="str">
        <f>IF(ISERROR(VLOOKUP(CONCATENATE($AC$39,"_",AB53),選手名簿!$A:$E,5,FALSE))=TRUE,"",VLOOKUP(CONCATENATE($AC$39,"_",AB53),選手名簿!$A:$E,5,FALSE))</f>
        <v/>
      </c>
    </row>
    <row r="54" spans="1:29" ht="20.25" customHeight="1" x14ac:dyDescent="0.15">
      <c r="A54" s="242" t="s">
        <v>344</v>
      </c>
      <c r="B54" s="790" t="str">
        <f>IF(ISERROR(VLOOKUP(B53,審判員!$A:$C,2,FALSE))=TRUE,"",VLOOKUP(B53,審判員!$A:$C,2,FALSE))</f>
        <v/>
      </c>
      <c r="C54" s="791"/>
      <c r="D54" s="242" t="str">
        <f>IF(ISERROR(VLOOKUP(B53,審判員!$A:$C,3,FALSE))=TRUE,"",VLOOKUP(B53,審判員!$A:$C,3,FALSE))</f>
        <v/>
      </c>
      <c r="E54" s="244" t="s">
        <v>243</v>
      </c>
      <c r="F54" s="245" t="str">
        <f>IF(ISERROR(VLOOKUP(CONCATENATE($F$39,"_",G54),選手名簿!$A:$E,5,FALSE))=TRUE,"",VLOOKUP(CONCATENATE($F$39,"_",G54),選手名簿!$A:$E,5,FALSE))</f>
        <v/>
      </c>
      <c r="G54" s="246"/>
      <c r="H54" s="246"/>
      <c r="I54" s="246"/>
      <c r="J54" s="234"/>
      <c r="K54" s="246"/>
      <c r="L54" s="246"/>
      <c r="M54" s="246"/>
      <c r="N54" s="247" t="str">
        <f>IF(ISERROR(VLOOKUP(CONCATENATE($N$39,"_",M54),選手名簿!$A:$E,5,FALSE))=TRUE,"",VLOOKUP(CONCATENATE($N$39,"_",M54),選手名簿!$A:$E,5,FALSE))</f>
        <v/>
      </c>
      <c r="P54" s="242" t="s">
        <v>344</v>
      </c>
      <c r="Q54" s="790" t="str">
        <f>IF(ISERROR(VLOOKUP(Q53,審判員!$A:$C,2,FALSE))=TRUE,"",VLOOKUP(Q53,審判員!$A:$C,2,FALSE))</f>
        <v/>
      </c>
      <c r="R54" s="791"/>
      <c r="S54" s="242" t="str">
        <f>IF(ISERROR(VLOOKUP(Q53,審判員!$A:$C,3,FALSE))=TRUE,"",VLOOKUP(Q53,審判員!$A:$C,3,FALSE))</f>
        <v/>
      </c>
      <c r="T54" s="244" t="s">
        <v>243</v>
      </c>
      <c r="U54" s="245" t="str">
        <f>IF(ISERROR(VLOOKUP(CONCATENATE($U$39,"_",V54),選手名簿!$A:$E,5,FALSE))=TRUE,"",VLOOKUP(CONCATENATE($U$39,"_",V54),選手名簿!$A:$E,5,FALSE))</f>
        <v/>
      </c>
      <c r="V54" s="246"/>
      <c r="W54" s="246"/>
      <c r="X54" s="246"/>
      <c r="Y54" s="234"/>
      <c r="Z54" s="246"/>
      <c r="AA54" s="246"/>
      <c r="AB54" s="246"/>
      <c r="AC54" s="247" t="str">
        <f>IF(ISERROR(VLOOKUP(CONCATENATE($AC$39,"_",AB54),選手名簿!$A:$E,5,FALSE))=TRUE,"",VLOOKUP(CONCATENATE($AC$39,"_",AB54),選手名簿!$A:$E,5,FALSE))</f>
        <v/>
      </c>
    </row>
    <row r="55" spans="1:29" ht="20.25" customHeight="1" x14ac:dyDescent="0.15">
      <c r="A55" s="430" t="s">
        <v>342</v>
      </c>
      <c r="B55" s="792"/>
      <c r="C55" s="792"/>
      <c r="D55" s="793"/>
      <c r="E55" s="244" t="s">
        <v>243</v>
      </c>
      <c r="F55" s="245" t="str">
        <f>IF(ISERROR(VLOOKUP(CONCATENATE($F$39,"_",G55),選手名簿!$A:$E,5,FALSE))=TRUE,"",VLOOKUP(CONCATENATE($F$39,"_",G55),選手名簿!$A:$E,5,FALSE))</f>
        <v/>
      </c>
      <c r="G55" s="246"/>
      <c r="H55" s="246"/>
      <c r="I55" s="246"/>
      <c r="J55" s="234"/>
      <c r="K55" s="246"/>
      <c r="L55" s="246"/>
      <c r="M55" s="246"/>
      <c r="N55" s="247" t="str">
        <f>IF(ISERROR(VLOOKUP(CONCATENATE($N$39,"_",M55),選手名簿!$A:$E,5,FALSE))=TRUE,"",VLOOKUP(CONCATENATE($N$39,"_",M55),選手名簿!$A:$E,5,FALSE))</f>
        <v/>
      </c>
      <c r="P55" s="430" t="s">
        <v>342</v>
      </c>
      <c r="Q55" s="792"/>
      <c r="R55" s="792"/>
      <c r="S55" s="793"/>
      <c r="T55" s="244" t="s">
        <v>243</v>
      </c>
      <c r="U55" s="245" t="str">
        <f>IF(ISERROR(VLOOKUP(CONCATENATE($U$39,"_",V55),選手名簿!$A:$E,5,FALSE))=TRUE,"",VLOOKUP(CONCATENATE($U$39,"_",V55),選手名簿!$A:$E,5,FALSE))</f>
        <v/>
      </c>
      <c r="V55" s="246"/>
      <c r="W55" s="246"/>
      <c r="X55" s="246"/>
      <c r="Y55" s="234"/>
      <c r="Z55" s="246"/>
      <c r="AA55" s="246"/>
      <c r="AB55" s="246"/>
      <c r="AC55" s="247" t="str">
        <f>IF(ISERROR(VLOOKUP(CONCATENATE($AC$39,"_",AB55),選手名簿!$A:$E,5,FALSE))=TRUE,"",VLOOKUP(CONCATENATE($AC$39,"_",AB55),選手名簿!$A:$E,5,FALSE))</f>
        <v/>
      </c>
    </row>
    <row r="56" spans="1:29" ht="20.25" customHeight="1" x14ac:dyDescent="0.15">
      <c r="A56" s="430" t="s">
        <v>345</v>
      </c>
      <c r="B56" s="796" t="str">
        <f>IF(ISERROR(VLOOKUP(B55,審判員!$A:$C,2,FALSE))=TRUE,"",VLOOKUP(B55,審判員!$A:$C,2,FALSE))</f>
        <v/>
      </c>
      <c r="C56" s="797"/>
      <c r="D56" s="430" t="str">
        <f>IF(ISERROR(VLOOKUP(B55,審判員!$A:$C,3,FALSE))=TRUE,"",VLOOKUP(B55,審判員!$A:$C,3,FALSE))</f>
        <v/>
      </c>
      <c r="E56" s="244" t="s">
        <v>243</v>
      </c>
      <c r="F56" s="245" t="str">
        <f>IF(ISERROR(VLOOKUP(CONCATENATE($F$39,"_",G56),選手名簿!$A:$E,5,FALSE))=TRUE,"",VLOOKUP(CONCATENATE($F$39,"_",G56),選手名簿!$A:$E,5,FALSE))</f>
        <v/>
      </c>
      <c r="G56" s="246"/>
      <c r="H56" s="246"/>
      <c r="I56" s="246"/>
      <c r="J56" s="234"/>
      <c r="K56" s="246"/>
      <c r="L56" s="246"/>
      <c r="M56" s="246"/>
      <c r="N56" s="247" t="str">
        <f>IF(ISERROR(VLOOKUP(CONCATENATE($N$39,"_",M56),選手名簿!$A:$E,5,FALSE))=TRUE,"",VLOOKUP(CONCATENATE($N$39,"_",M56),選手名簿!$A:$E,5,FALSE))</f>
        <v/>
      </c>
      <c r="P56" s="430" t="s">
        <v>345</v>
      </c>
      <c r="Q56" s="796" t="str">
        <f>IF(ISERROR(VLOOKUP(Q55,審判員!$A:$C,2,FALSE))=TRUE,"",VLOOKUP(Q55,審判員!$A:$C,2,FALSE))</f>
        <v/>
      </c>
      <c r="R56" s="797"/>
      <c r="S56" s="430" t="str">
        <f>IF(ISERROR(VLOOKUP(Q55,審判員!$A:$C,3,FALSE))=TRUE,"",VLOOKUP(Q55,審判員!$A:$C,3,FALSE))</f>
        <v/>
      </c>
      <c r="T56" s="244" t="s">
        <v>243</v>
      </c>
      <c r="U56" s="245" t="str">
        <f>IF(ISERROR(VLOOKUP(CONCATENATE($U$39,"_",V56),選手名簿!$A:$E,5,FALSE))=TRUE,"",VLOOKUP(CONCATENATE($U$39,"_",V56),選手名簿!$A:$E,5,FALSE))</f>
        <v/>
      </c>
      <c r="V56" s="246"/>
      <c r="W56" s="246"/>
      <c r="X56" s="246"/>
      <c r="Y56" s="234"/>
      <c r="Z56" s="246"/>
      <c r="AA56" s="246"/>
      <c r="AB56" s="246"/>
      <c r="AC56" s="247" t="str">
        <f>IF(ISERROR(VLOOKUP(CONCATENATE($AC$39,"_",AB56),選手名簿!$A:$E,5,FALSE))=TRUE,"",VLOOKUP(CONCATENATE($AC$39,"_",AB56),選手名簿!$A:$E,5,FALSE))</f>
        <v/>
      </c>
    </row>
    <row r="57" spans="1:29" ht="20.25" customHeight="1" x14ac:dyDescent="0.15">
      <c r="A57" s="430" t="s">
        <v>342</v>
      </c>
      <c r="B57" s="792"/>
      <c r="C57" s="792"/>
      <c r="D57" s="793"/>
      <c r="E57" s="244" t="s">
        <v>243</v>
      </c>
      <c r="F57" s="245" t="str">
        <f>IF(ISERROR(VLOOKUP(CONCATENATE($F$39,"_",G57),選手名簿!$A:$E,5,FALSE))=TRUE,"",VLOOKUP(CONCATENATE($F$39,"_",G57),選手名簿!$A:$E,5,FALSE))</f>
        <v/>
      </c>
      <c r="G57" s="246"/>
      <c r="H57" s="246"/>
      <c r="I57" s="246"/>
      <c r="J57" s="234"/>
      <c r="K57" s="246"/>
      <c r="L57" s="246"/>
      <c r="M57" s="246"/>
      <c r="N57" s="247" t="str">
        <f>IF(ISERROR(VLOOKUP(CONCATENATE($N$39,"_",M57),選手名簿!$A:$E,5,FALSE))=TRUE,"",VLOOKUP(CONCATENATE($N$39,"_",M57),選手名簿!$A:$E,5,FALSE))</f>
        <v/>
      </c>
      <c r="P57" s="430" t="s">
        <v>342</v>
      </c>
      <c r="Q57" s="792"/>
      <c r="R57" s="792"/>
      <c r="S57" s="793"/>
      <c r="T57" s="244" t="s">
        <v>243</v>
      </c>
      <c r="U57" s="245" t="str">
        <f>IF(ISERROR(VLOOKUP(CONCATENATE($U$39,"_",V57),選手名簿!$A:$E,5,FALSE))=TRUE,"",VLOOKUP(CONCATENATE($U$39,"_",V57),選手名簿!$A:$E,5,FALSE))</f>
        <v/>
      </c>
      <c r="V57" s="246"/>
      <c r="W57" s="246"/>
      <c r="X57" s="246"/>
      <c r="Y57" s="234"/>
      <c r="Z57" s="246"/>
      <c r="AA57" s="246"/>
      <c r="AB57" s="246"/>
      <c r="AC57" s="247" t="str">
        <f>IF(ISERROR(VLOOKUP(CONCATENATE($AC$39,"_",AB57),選手名簿!$A:$E,5,FALSE))=TRUE,"",VLOOKUP(CONCATENATE($AC$39,"_",AB57),選手名簿!$A:$E,5,FALSE))</f>
        <v/>
      </c>
    </row>
    <row r="58" spans="1:29" ht="20.25" customHeight="1" x14ac:dyDescent="0.15">
      <c r="A58" s="430" t="s">
        <v>346</v>
      </c>
      <c r="B58" s="796" t="str">
        <f>IF(ISERROR(VLOOKUP(B57,審判員!$A:$C,2,FALSE))=TRUE,"",VLOOKUP(B57,審判員!$A:$C,2,FALSE))</f>
        <v/>
      </c>
      <c r="C58" s="797"/>
      <c r="D58" s="430" t="str">
        <f>IF(ISERROR(VLOOKUP(B57,審判員!$A:$C,3,FALSE))=TRUE,"",VLOOKUP(B57,審判員!$A:$C,3,FALSE))</f>
        <v/>
      </c>
      <c r="E58" s="244" t="s">
        <v>243</v>
      </c>
      <c r="F58" s="245" t="str">
        <f>IF(ISERROR(VLOOKUP(CONCATENATE($F$39,"_",G58),選手名簿!$A:$E,5,FALSE))=TRUE,"",VLOOKUP(CONCATENATE($F$39,"_",G58),選手名簿!$A:$E,5,FALSE))</f>
        <v/>
      </c>
      <c r="G58" s="246"/>
      <c r="H58" s="246"/>
      <c r="I58" s="246"/>
      <c r="J58" s="234"/>
      <c r="K58" s="246"/>
      <c r="L58" s="246"/>
      <c r="M58" s="246"/>
      <c r="N58" s="247" t="str">
        <f>IF(ISERROR(VLOOKUP(CONCATENATE($N$39,"_",M58),選手名簿!$A:$E,5,FALSE))=TRUE,"",VLOOKUP(CONCATENATE($N$39,"_",M58),選手名簿!$A:$E,5,FALSE))</f>
        <v/>
      </c>
      <c r="P58" s="430" t="s">
        <v>346</v>
      </c>
      <c r="Q58" s="796" t="str">
        <f>IF(ISERROR(VLOOKUP(Q57,審判員!$A:$C,2,FALSE))=TRUE,"",VLOOKUP(Q57,審判員!$A:$C,2,FALSE))</f>
        <v/>
      </c>
      <c r="R58" s="797"/>
      <c r="S58" s="430" t="str">
        <f>IF(ISERROR(VLOOKUP(Q57,審判員!$A:$C,3,FALSE))=TRUE,"",VLOOKUP(Q57,審判員!$A:$C,3,FALSE))</f>
        <v/>
      </c>
      <c r="T58" s="244" t="s">
        <v>243</v>
      </c>
      <c r="U58" s="245" t="str">
        <f>IF(ISERROR(VLOOKUP(CONCATENATE($U$39,"_",V58),選手名簿!$A:$E,5,FALSE))=TRUE,"",VLOOKUP(CONCATENATE($U$39,"_",V58),選手名簿!$A:$E,5,FALSE))</f>
        <v/>
      </c>
      <c r="V58" s="246"/>
      <c r="W58" s="246"/>
      <c r="X58" s="246"/>
      <c r="Y58" s="234"/>
      <c r="Z58" s="246"/>
      <c r="AA58" s="246"/>
      <c r="AB58" s="246"/>
      <c r="AC58" s="247" t="str">
        <f>IF(ISERROR(VLOOKUP(CONCATENATE($AC$39,"_",AB58),選手名簿!$A:$E,5,FALSE))=TRUE,"",VLOOKUP(CONCATENATE($AC$39,"_",AB58),選手名簿!$A:$E,5,FALSE))</f>
        <v/>
      </c>
    </row>
    <row r="59" spans="1:29" ht="20.25" customHeight="1" x14ac:dyDescent="0.15">
      <c r="A59" s="241" t="s">
        <v>342</v>
      </c>
      <c r="B59" s="789"/>
      <c r="C59" s="789"/>
      <c r="D59" s="789"/>
      <c r="E59" s="244" t="s">
        <v>243</v>
      </c>
      <c r="F59" s="245" t="str">
        <f>IF(ISERROR(VLOOKUP(CONCATENATE($F$39,"_",G59),選手名簿!$A:$E,5,FALSE))=TRUE,"",VLOOKUP(CONCATENATE($F$39,"_",G59),選手名簿!$A:$E,5,FALSE))</f>
        <v/>
      </c>
      <c r="G59" s="246"/>
      <c r="H59" s="246"/>
      <c r="I59" s="246"/>
      <c r="J59" s="234"/>
      <c r="K59" s="246"/>
      <c r="L59" s="246"/>
      <c r="M59" s="246"/>
      <c r="N59" s="247" t="str">
        <f>IF(ISERROR(VLOOKUP(CONCATENATE($N$39,"_",M59),選手名簿!$A:$E,5,FALSE))=TRUE,"",VLOOKUP(CONCATENATE($N$39,"_",M59),選手名簿!$A:$E,5,FALSE))</f>
        <v/>
      </c>
      <c r="P59" s="241" t="s">
        <v>342</v>
      </c>
      <c r="Q59" s="789"/>
      <c r="R59" s="789"/>
      <c r="S59" s="789"/>
      <c r="T59" s="244" t="s">
        <v>243</v>
      </c>
      <c r="U59" s="245" t="str">
        <f>IF(ISERROR(VLOOKUP(CONCATENATE($U$39,"_",V59),選手名簿!$A:$E,5,FALSE))=TRUE,"",VLOOKUP(CONCATENATE($U$39,"_",V59),選手名簿!$A:$E,5,FALSE))</f>
        <v/>
      </c>
      <c r="V59" s="246"/>
      <c r="W59" s="246"/>
      <c r="X59" s="246"/>
      <c r="Y59" s="234"/>
      <c r="Z59" s="246"/>
      <c r="AA59" s="246"/>
      <c r="AB59" s="246"/>
      <c r="AC59" s="247" t="str">
        <f>IF(ISERROR(VLOOKUP(CONCATENATE($AC$39,"_",AB59),選手名簿!$A:$E,5,FALSE))=TRUE,"",VLOOKUP(CONCATENATE($AC$39,"_",AB59),選手名簿!$A:$E,5,FALSE))</f>
        <v/>
      </c>
    </row>
    <row r="60" spans="1:29" ht="20.25" customHeight="1" x14ac:dyDescent="0.15">
      <c r="A60" s="242" t="s">
        <v>347</v>
      </c>
      <c r="B60" s="790" t="str">
        <f>IF(ISERROR(VLOOKUP(B59,審判員!$A:$C,2,FALSE))=TRUE,"",VLOOKUP(B59,審判員!$A:$C,2,FALSE))</f>
        <v/>
      </c>
      <c r="C60" s="791"/>
      <c r="D60" s="242" t="str">
        <f>IF(ISERROR(VLOOKUP(B59,審判員!$A:$C,3,FALSE))=TRUE,"",VLOOKUP(B59,審判員!$A:$C,3,FALSE))</f>
        <v/>
      </c>
      <c r="E60" s="248" t="s">
        <v>243</v>
      </c>
      <c r="F60" s="249" t="str">
        <f>IF(ISERROR(VLOOKUP(CONCATENATE($F$39,"_",G60),選手名簿!$A:$E,5,FALSE))=TRUE,"",VLOOKUP(CONCATENATE($F$39,"_",G60),選手名簿!$A:$E,5,FALSE))</f>
        <v/>
      </c>
      <c r="G60" s="250"/>
      <c r="H60" s="250"/>
      <c r="I60" s="250"/>
      <c r="J60" s="239"/>
      <c r="K60" s="250"/>
      <c r="L60" s="250"/>
      <c r="M60" s="250"/>
      <c r="N60" s="251" t="str">
        <f>IF(ISERROR(VLOOKUP(CONCATENATE($N$39,"_",M60),選手名簿!$A:$E,5,FALSE))=TRUE,"",VLOOKUP(CONCATENATE($N$39,"_",M60),選手名簿!$A:$E,5,FALSE))</f>
        <v/>
      </c>
      <c r="P60" s="242" t="s">
        <v>347</v>
      </c>
      <c r="Q60" s="790" t="str">
        <f>IF(ISERROR(VLOOKUP(Q59,審判員!$A:$C,2,FALSE))=TRUE,"",VLOOKUP(Q59,審判員!$A:$C,2,FALSE))</f>
        <v/>
      </c>
      <c r="R60" s="791"/>
      <c r="S60" s="242" t="str">
        <f>IF(ISERROR(VLOOKUP(Q59,審判員!$A:$C,3,FALSE))=TRUE,"",VLOOKUP(Q59,審判員!$A:$C,3,FALSE))</f>
        <v/>
      </c>
      <c r="T60" s="248" t="s">
        <v>243</v>
      </c>
      <c r="U60" s="249" t="str">
        <f>IF(ISERROR(VLOOKUP(CONCATENATE($U$39,"_",V60),選手名簿!$A:$E,5,FALSE))=TRUE,"",VLOOKUP(CONCATENATE($U$39,"_",V60),選手名簿!$A:$E,5,FALSE))</f>
        <v/>
      </c>
      <c r="V60" s="250"/>
      <c r="W60" s="250"/>
      <c r="X60" s="250"/>
      <c r="Y60" s="239"/>
      <c r="Z60" s="250"/>
      <c r="AA60" s="250"/>
      <c r="AB60" s="250"/>
      <c r="AC60" s="251" t="str">
        <f>IF(ISERROR(VLOOKUP(CONCATENATE($AC$39,"_",AB60),選手名簿!$A:$E,5,FALSE))=TRUE,"",VLOOKUP(CONCATENATE($AC$39,"_",AB60),選手名簿!$A:$E,5,FALSE))</f>
        <v/>
      </c>
    </row>
    <row r="61" spans="1:29" ht="9.9499999999999993" customHeight="1" x14ac:dyDescent="0.15">
      <c r="E61" s="252"/>
      <c r="T61" s="252"/>
    </row>
    <row r="62" spans="1:29" ht="9.9499999999999993" customHeight="1" x14ac:dyDescent="0.15">
      <c r="E62" s="252"/>
      <c r="T62" s="252"/>
    </row>
    <row r="63" spans="1:29" ht="9.9499999999999993" customHeight="1" x14ac:dyDescent="0.15"/>
    <row r="64" spans="1:29" ht="9.9499999999999993" customHeight="1" x14ac:dyDescent="0.15"/>
    <row r="65" spans="1:29" ht="9.9499999999999993" customHeight="1" x14ac:dyDescent="0.15"/>
    <row r="66" spans="1:29" ht="9.9499999999999993" customHeight="1" x14ac:dyDescent="0.15"/>
    <row r="67" spans="1:29" ht="9.9499999999999993" customHeight="1" x14ac:dyDescent="0.15">
      <c r="E67" s="252"/>
      <c r="T67" s="252"/>
    </row>
    <row r="68" spans="1:29" ht="27.4" customHeight="1" x14ac:dyDescent="0.15">
      <c r="A68" s="223" t="s">
        <v>334</v>
      </c>
      <c r="B68" s="768"/>
      <c r="C68" s="769"/>
      <c r="D68" s="770"/>
      <c r="E68" s="771">
        <f>予選リーグ!B29</f>
        <v>0.57638888888888895</v>
      </c>
      <c r="F68" s="774" t="str">
        <f>F7</f>
        <v>四日市南ＳＳＣ</v>
      </c>
      <c r="G68" s="777" t="str">
        <f>IF(I68="","",SUM(I68:I69))</f>
        <v/>
      </c>
      <c r="H68" s="780" t="s">
        <v>123</v>
      </c>
      <c r="I68" s="224"/>
      <c r="J68" s="224" t="s">
        <v>335</v>
      </c>
      <c r="K68" s="224"/>
      <c r="L68" s="780" t="s">
        <v>336</v>
      </c>
      <c r="M68" s="777" t="str">
        <f>IF(K68="","",SUM(K68:K69))</f>
        <v/>
      </c>
      <c r="N68" s="783" t="str">
        <f>F5</f>
        <v>ＦＣリーベル</v>
      </c>
      <c r="P68" s="223" t="s">
        <v>334</v>
      </c>
      <c r="Q68" s="768"/>
      <c r="R68" s="769"/>
      <c r="S68" s="770"/>
      <c r="T68" s="771">
        <f>予選リーグ!B31</f>
        <v>0.61111111111111105</v>
      </c>
      <c r="U68" s="774" t="str">
        <f>U7</f>
        <v>ＦＣアリアーレ</v>
      </c>
      <c r="V68" s="777" t="str">
        <f>IF(X68="","",SUM(X68:X69))</f>
        <v/>
      </c>
      <c r="W68" s="780" t="s">
        <v>123</v>
      </c>
      <c r="X68" s="224"/>
      <c r="Y68" s="224" t="s">
        <v>335</v>
      </c>
      <c r="Z68" s="224"/>
      <c r="AA68" s="780" t="s">
        <v>336</v>
      </c>
      <c r="AB68" s="777" t="str">
        <f>IF(Z68="","",SUM(Z68:Z69))</f>
        <v/>
      </c>
      <c r="AC68" s="783" t="str">
        <f>U5</f>
        <v>朝日ＦＣ</v>
      </c>
    </row>
    <row r="69" spans="1:29" ht="27.4" customHeight="1" x14ac:dyDescent="0.15">
      <c r="A69" s="225" t="s">
        <v>337</v>
      </c>
      <c r="B69" s="786" t="s">
        <v>313</v>
      </c>
      <c r="C69" s="786"/>
      <c r="D69" s="768"/>
      <c r="E69" s="772"/>
      <c r="F69" s="775"/>
      <c r="G69" s="778"/>
      <c r="H69" s="781"/>
      <c r="J69" s="214" t="s">
        <v>338</v>
      </c>
      <c r="L69" s="781"/>
      <c r="M69" s="778"/>
      <c r="N69" s="784"/>
      <c r="P69" s="225" t="s">
        <v>337</v>
      </c>
      <c r="Q69" s="786" t="s">
        <v>313</v>
      </c>
      <c r="R69" s="786"/>
      <c r="S69" s="768"/>
      <c r="T69" s="772"/>
      <c r="U69" s="775"/>
      <c r="V69" s="778"/>
      <c r="W69" s="781"/>
      <c r="Y69" s="214" t="s">
        <v>338</v>
      </c>
      <c r="AA69" s="781"/>
      <c r="AB69" s="778"/>
      <c r="AC69" s="784"/>
    </row>
    <row r="70" spans="1:29" ht="27.4" customHeight="1" x14ac:dyDescent="0.15">
      <c r="A70" s="225" t="s">
        <v>339</v>
      </c>
      <c r="B70" s="786"/>
      <c r="C70" s="786"/>
      <c r="D70" s="768"/>
      <c r="E70" s="773"/>
      <c r="F70" s="776"/>
      <c r="G70" s="779"/>
      <c r="H70" s="782"/>
      <c r="I70" s="226"/>
      <c r="J70" s="226" t="s">
        <v>340</v>
      </c>
      <c r="K70" s="226"/>
      <c r="L70" s="782"/>
      <c r="M70" s="779"/>
      <c r="N70" s="785"/>
      <c r="P70" s="225" t="s">
        <v>339</v>
      </c>
      <c r="Q70" s="786"/>
      <c r="R70" s="786"/>
      <c r="S70" s="768"/>
      <c r="T70" s="773"/>
      <c r="U70" s="776"/>
      <c r="V70" s="779"/>
      <c r="W70" s="782"/>
      <c r="X70" s="226"/>
      <c r="Y70" s="226" t="s">
        <v>340</v>
      </c>
      <c r="Z70" s="226"/>
      <c r="AA70" s="782"/>
      <c r="AB70" s="779"/>
      <c r="AC70" s="785"/>
    </row>
    <row r="71" spans="1:29" ht="20.25" customHeight="1" x14ac:dyDescent="0.15">
      <c r="A71" s="787" t="s">
        <v>341</v>
      </c>
      <c r="B71" s="787"/>
      <c r="C71" s="787"/>
      <c r="D71" s="788"/>
      <c r="E71" s="227"/>
      <c r="F71" s="228" t="s">
        <v>242</v>
      </c>
      <c r="G71" s="228" t="s">
        <v>342</v>
      </c>
      <c r="H71" s="228" t="s">
        <v>317</v>
      </c>
      <c r="I71" s="228"/>
      <c r="J71" s="229"/>
      <c r="K71" s="228"/>
      <c r="L71" s="228" t="s">
        <v>317</v>
      </c>
      <c r="M71" s="228" t="s">
        <v>342</v>
      </c>
      <c r="N71" s="230" t="s">
        <v>242</v>
      </c>
      <c r="P71" s="787" t="s">
        <v>341</v>
      </c>
      <c r="Q71" s="787"/>
      <c r="R71" s="787"/>
      <c r="S71" s="788"/>
      <c r="T71" s="227"/>
      <c r="U71" s="228" t="s">
        <v>242</v>
      </c>
      <c r="V71" s="228" t="s">
        <v>342</v>
      </c>
      <c r="W71" s="228" t="s">
        <v>317</v>
      </c>
      <c r="X71" s="228"/>
      <c r="Y71" s="229"/>
      <c r="Z71" s="228"/>
      <c r="AA71" s="228" t="s">
        <v>317</v>
      </c>
      <c r="AB71" s="228" t="s">
        <v>342</v>
      </c>
      <c r="AC71" s="230" t="s">
        <v>242</v>
      </c>
    </row>
    <row r="72" spans="1:29" ht="20.25" hidden="1" customHeight="1" x14ac:dyDescent="0.15">
      <c r="E72" s="231" t="s">
        <v>343</v>
      </c>
      <c r="F72" s="232" t="str">
        <f>IF(ISERROR(VLOOKUP(CONCATENATE($F$68,"_",G72),選手名簿!$A:$E,5,FALSE))=TRUE,"",VLOOKUP(CONCATENATE($F$68,"_",G72),選手名簿!$A:$E,5,FALSE))</f>
        <v/>
      </c>
      <c r="G72" s="233"/>
      <c r="H72" s="233"/>
      <c r="I72" s="233"/>
      <c r="J72" s="234"/>
      <c r="K72" s="233"/>
      <c r="L72" s="233"/>
      <c r="M72" s="233"/>
      <c r="N72" s="235" t="str">
        <f>IF(ISERROR(VLOOKUP(CONCATENATE($N$68,"_",M72),選手名簿!$A:$E,5,FALSE))=TRUE,"",VLOOKUP(CONCATENATE($N$68,"_",M72),選手名簿!$A:$E,5,FALSE))</f>
        <v/>
      </c>
      <c r="T72" s="231" t="s">
        <v>343</v>
      </c>
      <c r="U72" s="232" t="str">
        <f>IF(ISERROR(VLOOKUP(CONCATENATE($U$68,"_",V72),選手名簿!$A:$E,5,FALSE))=TRUE,"",VLOOKUP(CONCATENATE($U$68,"_",V72),選手名簿!$A:$E,5,FALSE))</f>
        <v/>
      </c>
      <c r="V72" s="233"/>
      <c r="W72" s="233"/>
      <c r="X72" s="233"/>
      <c r="Y72" s="234"/>
      <c r="Z72" s="233"/>
      <c r="AA72" s="233"/>
      <c r="AB72" s="233"/>
      <c r="AC72" s="235" t="str">
        <f>IF(ISERROR(VLOOKUP(CONCATENATE($AC$68,"_",AB72),選手名簿!$A:$E,5,FALSE))=TRUE,"",VLOOKUP(CONCATENATE($AC$68,"_",AB72),選手名簿!$A:$E,5,FALSE))</f>
        <v/>
      </c>
    </row>
    <row r="73" spans="1:29" ht="20.25" hidden="1" customHeight="1" x14ac:dyDescent="0.15">
      <c r="E73" s="231" t="s">
        <v>343</v>
      </c>
      <c r="F73" s="232" t="str">
        <f>IF(ISERROR(VLOOKUP(CONCATENATE($F$68,"_",G73),選手名簿!$A:$E,5,FALSE))=TRUE,"",VLOOKUP(CONCATENATE($F$68,"_",G73),選手名簿!$A:$E,5,FALSE))</f>
        <v/>
      </c>
      <c r="G73" s="233"/>
      <c r="H73" s="233"/>
      <c r="I73" s="233"/>
      <c r="J73" s="234"/>
      <c r="K73" s="233"/>
      <c r="L73" s="233"/>
      <c r="M73" s="233"/>
      <c r="N73" s="235" t="str">
        <f>IF(ISERROR(VLOOKUP(CONCATENATE($N$68,"_",M73),選手名簿!$A:$E,5,FALSE))=TRUE,"",VLOOKUP(CONCATENATE($N$68,"_",M73),選手名簿!$A:$E,5,FALSE))</f>
        <v/>
      </c>
      <c r="T73" s="231" t="s">
        <v>343</v>
      </c>
      <c r="U73" s="232" t="str">
        <f>IF(ISERROR(VLOOKUP(CONCATENATE($U$68,"_",V73),選手名簿!$A:$E,5,FALSE))=TRUE,"",VLOOKUP(CONCATENATE($U$68,"_",V73),選手名簿!$A:$E,5,FALSE))</f>
        <v/>
      </c>
      <c r="V73" s="233"/>
      <c r="W73" s="233"/>
      <c r="X73" s="233"/>
      <c r="Y73" s="234"/>
      <c r="Z73" s="233"/>
      <c r="AA73" s="233"/>
      <c r="AB73" s="233"/>
      <c r="AC73" s="235" t="str">
        <f>IF(ISERROR(VLOOKUP(CONCATENATE($AC$68,"_",AB73),選手名簿!$A:$E,5,FALSE))=TRUE,"",VLOOKUP(CONCATENATE($AC$68,"_",AB73),選手名簿!$A:$E,5,FALSE))</f>
        <v/>
      </c>
    </row>
    <row r="74" spans="1:29" ht="20.25" hidden="1" customHeight="1" x14ac:dyDescent="0.15">
      <c r="E74" s="231" t="s">
        <v>343</v>
      </c>
      <c r="F74" s="232" t="str">
        <f>IF(ISERROR(VLOOKUP(CONCATENATE($F$68,"_",G74),選手名簿!$A:$E,5,FALSE))=TRUE,"",VLOOKUP(CONCATENATE($F$68,"_",G74),選手名簿!$A:$E,5,FALSE))</f>
        <v/>
      </c>
      <c r="G74" s="233"/>
      <c r="H74" s="233"/>
      <c r="I74" s="233"/>
      <c r="J74" s="234"/>
      <c r="K74" s="233"/>
      <c r="L74" s="233"/>
      <c r="M74" s="233"/>
      <c r="N74" s="235" t="str">
        <f>IF(ISERROR(VLOOKUP(CONCATENATE($N$68,"_",M74),選手名簿!$A:$E,5,FALSE))=TRUE,"",VLOOKUP(CONCATENATE($N$68,"_",M74),選手名簿!$A:$E,5,FALSE))</f>
        <v/>
      </c>
      <c r="T74" s="231" t="s">
        <v>343</v>
      </c>
      <c r="U74" s="232" t="str">
        <f>IF(ISERROR(VLOOKUP(CONCATENATE($U$68,"_",V74),選手名簿!$A:$E,5,FALSE))=TRUE,"",VLOOKUP(CONCATENATE($U$68,"_",V74),選手名簿!$A:$E,5,FALSE))</f>
        <v/>
      </c>
      <c r="V74" s="233"/>
      <c r="W74" s="233"/>
      <c r="X74" s="233"/>
      <c r="Y74" s="234"/>
      <c r="Z74" s="233"/>
      <c r="AA74" s="233"/>
      <c r="AB74" s="233"/>
      <c r="AC74" s="235" t="str">
        <f>IF(ISERROR(VLOOKUP(CONCATENATE($AC$68,"_",AB74),選手名簿!$A:$E,5,FALSE))=TRUE,"",VLOOKUP(CONCATENATE($AC$68,"_",AB74),選手名簿!$A:$E,5,FALSE))</f>
        <v/>
      </c>
    </row>
    <row r="75" spans="1:29" ht="20.25" hidden="1" customHeight="1" x14ac:dyDescent="0.15">
      <c r="E75" s="231" t="s">
        <v>343</v>
      </c>
      <c r="F75" s="232" t="str">
        <f>IF(ISERROR(VLOOKUP(CONCATENATE($F$68,"_",G75),選手名簿!$A:$E,5,FALSE))=TRUE,"",VLOOKUP(CONCATENATE($F$68,"_",G75),選手名簿!$A:$E,5,FALSE))</f>
        <v/>
      </c>
      <c r="G75" s="233"/>
      <c r="H75" s="233"/>
      <c r="I75" s="233"/>
      <c r="J75" s="234"/>
      <c r="K75" s="233"/>
      <c r="L75" s="233"/>
      <c r="M75" s="233"/>
      <c r="N75" s="235" t="str">
        <f>IF(ISERROR(VLOOKUP(CONCATENATE($N$68,"_",M75),選手名簿!$A:$E,5,FALSE))=TRUE,"",VLOOKUP(CONCATENATE($N$68,"_",M75),選手名簿!$A:$E,5,FALSE))</f>
        <v/>
      </c>
      <c r="T75" s="231" t="s">
        <v>343</v>
      </c>
      <c r="U75" s="232" t="str">
        <f>IF(ISERROR(VLOOKUP(CONCATENATE($U$68,"_",V75),選手名簿!$A:$E,5,FALSE))=TRUE,"",VLOOKUP(CONCATENATE($U$68,"_",V75),選手名簿!$A:$E,5,FALSE))</f>
        <v/>
      </c>
      <c r="V75" s="233"/>
      <c r="W75" s="233"/>
      <c r="X75" s="233"/>
      <c r="Y75" s="234"/>
      <c r="Z75" s="233"/>
      <c r="AA75" s="233"/>
      <c r="AB75" s="233"/>
      <c r="AC75" s="235" t="str">
        <f>IF(ISERROR(VLOOKUP(CONCATENATE($AC$68,"_",AB75),選手名簿!$A:$E,5,FALSE))=TRUE,"",VLOOKUP(CONCATENATE($AC$68,"_",AB75),選手名簿!$A:$E,5,FALSE))</f>
        <v/>
      </c>
    </row>
    <row r="76" spans="1:29" ht="20.25" hidden="1" customHeight="1" x14ac:dyDescent="0.15">
      <c r="E76" s="231" t="s">
        <v>343</v>
      </c>
      <c r="F76" s="232" t="str">
        <f>IF(ISERROR(VLOOKUP(CONCATENATE($F$68,"_",G76),選手名簿!$A:$E,5,FALSE))=TRUE,"",VLOOKUP(CONCATENATE($F$68,"_",G76),選手名簿!$A:$E,5,FALSE))</f>
        <v/>
      </c>
      <c r="G76" s="233"/>
      <c r="H76" s="233"/>
      <c r="I76" s="233"/>
      <c r="J76" s="234"/>
      <c r="K76" s="233"/>
      <c r="L76" s="233"/>
      <c r="M76" s="233"/>
      <c r="N76" s="235" t="str">
        <f>IF(ISERROR(VLOOKUP(CONCATENATE($N$68,"_",M76),選手名簿!$A:$E,5,FALSE))=TRUE,"",VLOOKUP(CONCATENATE($N$68,"_",M76),選手名簿!$A:$E,5,FALSE))</f>
        <v/>
      </c>
      <c r="T76" s="231" t="s">
        <v>343</v>
      </c>
      <c r="U76" s="232" t="str">
        <f>IF(ISERROR(VLOOKUP(CONCATENATE($U$68,"_",V76),選手名簿!$A:$E,5,FALSE))=TRUE,"",VLOOKUP(CONCATENATE($U$68,"_",V76),選手名簿!$A:$E,5,FALSE))</f>
        <v/>
      </c>
      <c r="V76" s="233"/>
      <c r="W76" s="233"/>
      <c r="X76" s="233"/>
      <c r="Y76" s="234"/>
      <c r="Z76" s="233"/>
      <c r="AA76" s="233"/>
      <c r="AB76" s="233"/>
      <c r="AC76" s="235" t="str">
        <f>IF(ISERROR(VLOOKUP(CONCATENATE($AC$68,"_",AB76),選手名簿!$A:$E,5,FALSE))=TRUE,"",VLOOKUP(CONCATENATE($AC$68,"_",AB76),選手名簿!$A:$E,5,FALSE))</f>
        <v/>
      </c>
    </row>
    <row r="77" spans="1:29" ht="20.25" hidden="1" customHeight="1" x14ac:dyDescent="0.15">
      <c r="E77" s="231" t="s">
        <v>343</v>
      </c>
      <c r="F77" s="232" t="str">
        <f>IF(ISERROR(VLOOKUP(CONCATENATE($F$68,"_",G77),選手名簿!$A:$E,5,FALSE))=TRUE,"",VLOOKUP(CONCATENATE($F$68,"_",G77),選手名簿!$A:$E,5,FALSE))</f>
        <v/>
      </c>
      <c r="G77" s="233"/>
      <c r="H77" s="233"/>
      <c r="I77" s="233"/>
      <c r="J77" s="234"/>
      <c r="K77" s="233"/>
      <c r="L77" s="233"/>
      <c r="M77" s="233"/>
      <c r="N77" s="235" t="str">
        <f>IF(ISERROR(VLOOKUP(CONCATENATE($N$68,"_",M77),選手名簿!$A:$E,5,FALSE))=TRUE,"",VLOOKUP(CONCATENATE($N$68,"_",M77),選手名簿!$A:$E,5,FALSE))</f>
        <v/>
      </c>
      <c r="T77" s="231" t="s">
        <v>343</v>
      </c>
      <c r="U77" s="232" t="str">
        <f>IF(ISERROR(VLOOKUP(CONCATENATE($U$68,"_",V77),選手名簿!$A:$E,5,FALSE))=TRUE,"",VLOOKUP(CONCATENATE($U$68,"_",V77),選手名簿!$A:$E,5,FALSE))</f>
        <v/>
      </c>
      <c r="V77" s="233"/>
      <c r="W77" s="233"/>
      <c r="X77" s="233"/>
      <c r="Y77" s="234"/>
      <c r="Z77" s="233"/>
      <c r="AA77" s="233"/>
      <c r="AB77" s="233"/>
      <c r="AC77" s="235" t="str">
        <f>IF(ISERROR(VLOOKUP(CONCATENATE($AC$68,"_",AB77),選手名簿!$A:$E,5,FALSE))=TRUE,"",VLOOKUP(CONCATENATE($AC$68,"_",AB77),選手名簿!$A:$E,5,FALSE))</f>
        <v/>
      </c>
    </row>
    <row r="78" spans="1:29" ht="20.25" hidden="1" customHeight="1" x14ac:dyDescent="0.15">
      <c r="E78" s="231" t="s">
        <v>343</v>
      </c>
      <c r="F78" s="232" t="str">
        <f>IF(ISERROR(VLOOKUP(CONCATENATE($F$68,"_",G78),選手名簿!$A:$E,5,FALSE))=TRUE,"",VLOOKUP(CONCATENATE($F$68,"_",G78),選手名簿!$A:$E,5,FALSE))</f>
        <v/>
      </c>
      <c r="G78" s="233"/>
      <c r="H78" s="233"/>
      <c r="I78" s="233"/>
      <c r="J78" s="234"/>
      <c r="K78" s="233"/>
      <c r="L78" s="233"/>
      <c r="M78" s="233"/>
      <c r="N78" s="235" t="str">
        <f>IF(ISERROR(VLOOKUP(CONCATENATE($N$68,"_",M78),選手名簿!$A:$E,5,FALSE))=TRUE,"",VLOOKUP(CONCATENATE($N$68,"_",M78),選手名簿!$A:$E,5,FALSE))</f>
        <v/>
      </c>
      <c r="T78" s="231" t="s">
        <v>343</v>
      </c>
      <c r="U78" s="232" t="str">
        <f>IF(ISERROR(VLOOKUP(CONCATENATE($U$68,"_",V78),選手名簿!$A:$E,5,FALSE))=TRUE,"",VLOOKUP(CONCATENATE($U$68,"_",V78),選手名簿!$A:$E,5,FALSE))</f>
        <v/>
      </c>
      <c r="V78" s="233"/>
      <c r="W78" s="233"/>
      <c r="X78" s="233"/>
      <c r="Y78" s="234"/>
      <c r="Z78" s="233"/>
      <c r="AA78" s="233"/>
      <c r="AB78" s="233"/>
      <c r="AC78" s="235" t="str">
        <f>IF(ISERROR(VLOOKUP(CONCATENATE($AC$68,"_",AB78),選手名簿!$A:$E,5,FALSE))=TRUE,"",VLOOKUP(CONCATENATE($AC$68,"_",AB78),選手名簿!$A:$E,5,FALSE))</f>
        <v/>
      </c>
    </row>
    <row r="79" spans="1:29" ht="20.25" hidden="1" customHeight="1" x14ac:dyDescent="0.15">
      <c r="E79" s="231" t="s">
        <v>343</v>
      </c>
      <c r="F79" s="232" t="str">
        <f>IF(ISERROR(VLOOKUP(CONCATENATE($F$68,"_",G79),選手名簿!$A:$E,5,FALSE))=TRUE,"",VLOOKUP(CONCATENATE($F$68,"_",G79),選手名簿!$A:$E,5,FALSE))</f>
        <v/>
      </c>
      <c r="G79" s="233"/>
      <c r="H79" s="233"/>
      <c r="I79" s="233"/>
      <c r="J79" s="234"/>
      <c r="K79" s="233"/>
      <c r="L79" s="233"/>
      <c r="M79" s="233"/>
      <c r="N79" s="235" t="str">
        <f>IF(ISERROR(VLOOKUP(CONCATENATE($N$68,"_",M79),選手名簿!$A:$E,5,FALSE))=TRUE,"",VLOOKUP(CONCATENATE($N$68,"_",M79),選手名簿!$A:$E,5,FALSE))</f>
        <v/>
      </c>
      <c r="T79" s="231" t="s">
        <v>343</v>
      </c>
      <c r="U79" s="232" t="str">
        <f>IF(ISERROR(VLOOKUP(CONCATENATE($U$68,"_",V79),選手名簿!$A:$E,5,FALSE))=TRUE,"",VLOOKUP(CONCATENATE($U$68,"_",V79),選手名簿!$A:$E,5,FALSE))</f>
        <v/>
      </c>
      <c r="V79" s="233"/>
      <c r="W79" s="233"/>
      <c r="X79" s="233"/>
      <c r="Y79" s="234"/>
      <c r="Z79" s="233"/>
      <c r="AA79" s="233"/>
      <c r="AB79" s="233"/>
      <c r="AC79" s="235" t="str">
        <f>IF(ISERROR(VLOOKUP(CONCATENATE($AC$68,"_",AB79),選手名簿!$A:$E,5,FALSE))=TRUE,"",VLOOKUP(CONCATENATE($AC$68,"_",AB79),選手名簿!$A:$E,5,FALSE))</f>
        <v/>
      </c>
    </row>
    <row r="80" spans="1:29" ht="20.25" hidden="1" customHeight="1" x14ac:dyDescent="0.15">
      <c r="E80" s="231" t="s">
        <v>343</v>
      </c>
      <c r="F80" s="232" t="str">
        <f>IF(ISERROR(VLOOKUP(CONCATENATE($F$68,"_",G80),選手名簿!$A:$E,5,FALSE))=TRUE,"",VLOOKUP(CONCATENATE($F$68,"_",G80),選手名簿!$A:$E,5,FALSE))</f>
        <v/>
      </c>
      <c r="G80" s="233"/>
      <c r="H80" s="233"/>
      <c r="I80" s="233"/>
      <c r="J80" s="234"/>
      <c r="K80" s="233"/>
      <c r="L80" s="233"/>
      <c r="M80" s="233"/>
      <c r="N80" s="235" t="str">
        <f>IF(ISERROR(VLOOKUP(CONCATENATE($N$68,"_",M80),選手名簿!$A:$E,5,FALSE))=TRUE,"",VLOOKUP(CONCATENATE($N$68,"_",M80),選手名簿!$A:$E,5,FALSE))</f>
        <v/>
      </c>
      <c r="T80" s="231" t="s">
        <v>343</v>
      </c>
      <c r="U80" s="232" t="str">
        <f>IF(ISERROR(VLOOKUP(CONCATENATE($U$68,"_",V80),選手名簿!$A:$E,5,FALSE))=TRUE,"",VLOOKUP(CONCATENATE($U$68,"_",V80),選手名簿!$A:$E,5,FALSE))</f>
        <v/>
      </c>
      <c r="V80" s="233"/>
      <c r="W80" s="233"/>
      <c r="X80" s="233"/>
      <c r="Y80" s="234"/>
      <c r="Z80" s="233"/>
      <c r="AA80" s="233"/>
      <c r="AB80" s="233"/>
      <c r="AC80" s="235" t="str">
        <f>IF(ISERROR(VLOOKUP(CONCATENATE($AC$68,"_",AB80),選手名簿!$A:$E,5,FALSE))=TRUE,"",VLOOKUP(CONCATENATE($AC$68,"_",AB80),選手名簿!$A:$E,5,FALSE))</f>
        <v/>
      </c>
    </row>
    <row r="81" spans="1:29" ht="20.25" hidden="1" customHeight="1" x14ac:dyDescent="0.15">
      <c r="E81" s="236" t="s">
        <v>343</v>
      </c>
      <c r="F81" s="237" t="str">
        <f>IF(ISERROR(VLOOKUP(CONCATENATE($F$68,"_",G81),選手名簿!$A:$E,5,FALSE))=TRUE,"",VLOOKUP(CONCATENATE($F$68,"_",G81),選手名簿!$A:$E,5,FALSE))</f>
        <v/>
      </c>
      <c r="G81" s="238"/>
      <c r="H81" s="238"/>
      <c r="I81" s="238"/>
      <c r="J81" s="239"/>
      <c r="K81" s="238"/>
      <c r="L81" s="238"/>
      <c r="M81" s="238"/>
      <c r="N81" s="240" t="str">
        <f>IF(ISERROR(VLOOKUP(CONCATENATE($N$68,"_",M81),選手名簿!$A:$E,5,FALSE))=TRUE,"",VLOOKUP(CONCATENATE($N$68,"_",M81),選手名簿!$A:$E,5,FALSE))</f>
        <v/>
      </c>
      <c r="T81" s="236" t="s">
        <v>343</v>
      </c>
      <c r="U81" s="237" t="str">
        <f>IF(ISERROR(VLOOKUP(CONCATENATE($U$68,"_",V81),選手名簿!$A:$E,5,FALSE))=TRUE,"",VLOOKUP(CONCATENATE($U$68,"_",V81),選手名簿!$A:$E,5,FALSE))</f>
        <v/>
      </c>
      <c r="V81" s="238"/>
      <c r="W81" s="238"/>
      <c r="X81" s="238"/>
      <c r="Y81" s="239"/>
      <c r="Z81" s="238"/>
      <c r="AA81" s="238"/>
      <c r="AB81" s="238"/>
      <c r="AC81" s="240" t="str">
        <f>IF(ISERROR(VLOOKUP(CONCATENATE($AC$68,"_",AB81),選手名簿!$A:$E,5,FALSE))=TRUE,"",VLOOKUP(CONCATENATE($AC$68,"_",AB81),選手名簿!$A:$E,5,FALSE))</f>
        <v/>
      </c>
    </row>
    <row r="82" spans="1:29" ht="20.25" customHeight="1" x14ac:dyDescent="0.15">
      <c r="A82" s="241" t="s">
        <v>342</v>
      </c>
      <c r="B82" s="789"/>
      <c r="C82" s="789"/>
      <c r="D82" s="789"/>
      <c r="E82" s="231" t="s">
        <v>243</v>
      </c>
      <c r="F82" s="232" t="str">
        <f>IF(ISERROR(VLOOKUP(CONCATENATE($F$68,"_",G82),選手名簿!$A:$E,5,FALSE))=TRUE,"",VLOOKUP(CONCATENATE($F$68,"_",G82),選手名簿!$A:$E,5,FALSE))</f>
        <v/>
      </c>
      <c r="G82" s="233"/>
      <c r="H82" s="233"/>
      <c r="I82" s="233"/>
      <c r="J82" s="234"/>
      <c r="K82" s="233"/>
      <c r="L82" s="233"/>
      <c r="M82" s="233"/>
      <c r="N82" s="235" t="str">
        <f>IF(ISERROR(VLOOKUP(CONCATENATE($N$68,"_",M82),選手名簿!$A:$E,5,FALSE))=TRUE,"",VLOOKUP(CONCATENATE($N$68,"_",M82),選手名簿!$A:$E,5,FALSE))</f>
        <v/>
      </c>
      <c r="P82" s="241" t="s">
        <v>342</v>
      </c>
      <c r="Q82" s="786"/>
      <c r="R82" s="786"/>
      <c r="S82" s="786"/>
      <c r="T82" s="231" t="s">
        <v>243</v>
      </c>
      <c r="U82" s="232" t="str">
        <f>IF(ISERROR(VLOOKUP(CONCATENATE($U$68,"_",V82),選手名簿!$A:$E,5,FALSE))=TRUE,"",VLOOKUP(CONCATENATE($U$68,"_",V82),選手名簿!$A:$E,5,FALSE))</f>
        <v/>
      </c>
      <c r="V82" s="233"/>
      <c r="W82" s="233"/>
      <c r="X82" s="233"/>
      <c r="Y82" s="234"/>
      <c r="Z82" s="233"/>
      <c r="AA82" s="233"/>
      <c r="AB82" s="233"/>
      <c r="AC82" s="235" t="str">
        <f>IF(ISERROR(VLOOKUP(CONCATENATE($AC$68,"_",AB82),選手名簿!$A:$E,5,FALSE))=TRUE,"",VLOOKUP(CONCATENATE($AC$68,"_",AB82),選手名簿!$A:$E,5,FALSE))</f>
        <v/>
      </c>
    </row>
    <row r="83" spans="1:29" ht="20.25" customHeight="1" x14ac:dyDescent="0.15">
      <c r="A83" s="242" t="s">
        <v>344</v>
      </c>
      <c r="B83" s="790" t="str">
        <f>IF(ISERROR(VLOOKUP(B82,審判員!$A:$C,2,FALSE))=TRUE,"",VLOOKUP(B82,審判員!$A:$C,2,FALSE))</f>
        <v/>
      </c>
      <c r="C83" s="791"/>
      <c r="D83" s="242" t="str">
        <f>IF(ISERROR(VLOOKUP(B82,審判員!$A:$C,3,FALSE))=TRUE,"",VLOOKUP(B82,審判員!$A:$C,3,FALSE))</f>
        <v/>
      </c>
      <c r="E83" s="244" t="s">
        <v>243</v>
      </c>
      <c r="F83" s="245" t="str">
        <f>IF(ISERROR(VLOOKUP(CONCATENATE($F$68,"_",G83),選手名簿!$A:$E,5,FALSE))=TRUE,"",VLOOKUP(CONCATENATE($F$68,"_",G83),選手名簿!$A:$E,5,FALSE))</f>
        <v/>
      </c>
      <c r="G83" s="246"/>
      <c r="H83" s="246"/>
      <c r="I83" s="246"/>
      <c r="J83" s="234"/>
      <c r="K83" s="246"/>
      <c r="L83" s="246"/>
      <c r="M83" s="246"/>
      <c r="N83" s="247" t="str">
        <f>IF(ISERROR(VLOOKUP(CONCATENATE($N$68,"_",M83),選手名簿!$A:$E,5,FALSE))=TRUE,"",VLOOKUP(CONCATENATE($N$68,"_",M83),選手名簿!$A:$E,5,FALSE))</f>
        <v/>
      </c>
      <c r="P83" s="242" t="s">
        <v>344</v>
      </c>
      <c r="Q83" s="790" t="str">
        <f>IF(ISERROR(VLOOKUP(Q82,審判員!$A:$C,2,FALSE))=TRUE,"",VLOOKUP(Q82,審判員!$A:$C,2,FALSE))</f>
        <v/>
      </c>
      <c r="R83" s="791"/>
      <c r="S83" s="242" t="str">
        <f>IF(ISERROR(VLOOKUP(Q82,審判員!$A:$C,3,FALSE))=TRUE,"",VLOOKUP(Q82,審判員!$A:$C,3,FALSE))</f>
        <v/>
      </c>
      <c r="T83" s="244" t="s">
        <v>243</v>
      </c>
      <c r="U83" s="245" t="str">
        <f>IF(ISERROR(VLOOKUP(CONCATENATE($U$68,"_",V83),選手名簿!$A:$E,5,FALSE))=TRUE,"",VLOOKUP(CONCATENATE($U$68,"_",V83),選手名簿!$A:$E,5,FALSE))</f>
        <v/>
      </c>
      <c r="V83" s="246"/>
      <c r="W83" s="246"/>
      <c r="X83" s="246"/>
      <c r="Y83" s="234"/>
      <c r="Z83" s="246"/>
      <c r="AA83" s="246"/>
      <c r="AB83" s="246"/>
      <c r="AC83" s="247" t="str">
        <f>IF(ISERROR(VLOOKUP(CONCATENATE($AC$68,"_",AB83),選手名簿!$A:$E,5,FALSE))=TRUE,"",VLOOKUP(CONCATENATE($AC$68,"_",AB83),選手名簿!$A:$E,5,FALSE))</f>
        <v/>
      </c>
    </row>
    <row r="84" spans="1:29" ht="20.25" customHeight="1" x14ac:dyDescent="0.15">
      <c r="A84" s="430" t="s">
        <v>342</v>
      </c>
      <c r="B84" s="792"/>
      <c r="C84" s="792"/>
      <c r="D84" s="793"/>
      <c r="E84" s="244" t="s">
        <v>243</v>
      </c>
      <c r="F84" s="245" t="str">
        <f>IF(ISERROR(VLOOKUP(CONCATENATE($F$68,"_",G84),選手名簿!$A:$E,5,FALSE))=TRUE,"",VLOOKUP(CONCATENATE($F$68,"_",G84),選手名簿!$A:$E,5,FALSE))</f>
        <v/>
      </c>
      <c r="G84" s="246"/>
      <c r="H84" s="246"/>
      <c r="I84" s="246"/>
      <c r="J84" s="234"/>
      <c r="K84" s="246"/>
      <c r="L84" s="246"/>
      <c r="M84" s="246"/>
      <c r="N84" s="247" t="str">
        <f>IF(ISERROR(VLOOKUP(CONCATENATE($N$68,"_",M84),選手名簿!$A:$E,5,FALSE))=TRUE,"",VLOOKUP(CONCATENATE($N$68,"_",M84),選手名簿!$A:$E,5,FALSE))</f>
        <v/>
      </c>
      <c r="P84" s="430" t="s">
        <v>342</v>
      </c>
      <c r="Q84" s="792"/>
      <c r="R84" s="792"/>
      <c r="S84" s="793"/>
      <c r="T84" s="244" t="s">
        <v>243</v>
      </c>
      <c r="U84" s="245" t="str">
        <f>IF(ISERROR(VLOOKUP(CONCATENATE($U$68,"_",V84),選手名簿!$A:$E,5,FALSE))=TRUE,"",VLOOKUP(CONCATENATE($U$68,"_",V84),選手名簿!$A:$E,5,FALSE))</f>
        <v/>
      </c>
      <c r="V84" s="246"/>
      <c r="W84" s="246"/>
      <c r="X84" s="246"/>
      <c r="Y84" s="234"/>
      <c r="Z84" s="246"/>
      <c r="AA84" s="246"/>
      <c r="AB84" s="246"/>
      <c r="AC84" s="247" t="str">
        <f>IF(ISERROR(VLOOKUP(CONCATENATE($AC$68,"_",AB84),選手名簿!$A:$E,5,FALSE))=TRUE,"",VLOOKUP(CONCATENATE($AC$68,"_",AB84),選手名簿!$A:$E,5,FALSE))</f>
        <v/>
      </c>
    </row>
    <row r="85" spans="1:29" ht="20.25" customHeight="1" x14ac:dyDescent="0.15">
      <c r="A85" s="430" t="s">
        <v>345</v>
      </c>
      <c r="B85" s="796" t="str">
        <f>IF(ISERROR(VLOOKUP(B84,審判員!$A:$C,2,FALSE))=TRUE,"",VLOOKUP(B84,審判員!$A:$C,2,FALSE))</f>
        <v/>
      </c>
      <c r="C85" s="797"/>
      <c r="D85" s="430" t="str">
        <f>IF(ISERROR(VLOOKUP(B84,審判員!$A:$C,3,FALSE))=TRUE,"",VLOOKUP(B84,審判員!$A:$C,3,FALSE))</f>
        <v/>
      </c>
      <c r="E85" s="244" t="s">
        <v>243</v>
      </c>
      <c r="F85" s="245" t="str">
        <f>IF(ISERROR(VLOOKUP(CONCATENATE($F$68,"_",G85),選手名簿!$A:$E,5,FALSE))=TRUE,"",VLOOKUP(CONCATENATE($F$68,"_",G85),選手名簿!$A:$E,5,FALSE))</f>
        <v/>
      </c>
      <c r="G85" s="246"/>
      <c r="H85" s="246"/>
      <c r="I85" s="246"/>
      <c r="J85" s="234"/>
      <c r="K85" s="246"/>
      <c r="L85" s="246"/>
      <c r="M85" s="246"/>
      <c r="N85" s="247" t="str">
        <f>IF(ISERROR(VLOOKUP(CONCATENATE($N$68,"_",M85),選手名簿!$A:$E,5,FALSE))=TRUE,"",VLOOKUP(CONCATENATE($N$68,"_",M85),選手名簿!$A:$E,5,FALSE))</f>
        <v/>
      </c>
      <c r="P85" s="430" t="s">
        <v>345</v>
      </c>
      <c r="Q85" s="796" t="str">
        <f>IF(ISERROR(VLOOKUP(Q84,審判員!$A:$C,2,FALSE))=TRUE,"",VLOOKUP(Q84,審判員!$A:$C,2,FALSE))</f>
        <v/>
      </c>
      <c r="R85" s="797"/>
      <c r="S85" s="430" t="str">
        <f>IF(ISERROR(VLOOKUP(Q84,審判員!$A:$C,3,FALSE))=TRUE,"",VLOOKUP(Q84,審判員!$A:$C,3,FALSE))</f>
        <v/>
      </c>
      <c r="T85" s="244" t="s">
        <v>243</v>
      </c>
      <c r="U85" s="245" t="str">
        <f>IF(ISERROR(VLOOKUP(CONCATENATE($U$68,"_",V85),選手名簿!$A:$E,5,FALSE))=TRUE,"",VLOOKUP(CONCATENATE($U$68,"_",V85),選手名簿!$A:$E,5,FALSE))</f>
        <v/>
      </c>
      <c r="V85" s="246"/>
      <c r="W85" s="246"/>
      <c r="X85" s="246"/>
      <c r="Y85" s="234"/>
      <c r="Z85" s="246"/>
      <c r="AA85" s="246"/>
      <c r="AB85" s="246"/>
      <c r="AC85" s="247" t="str">
        <f>IF(ISERROR(VLOOKUP(CONCATENATE($AC$68,"_",AB85),選手名簿!$A:$E,5,FALSE))=TRUE,"",VLOOKUP(CONCATENATE($AC$68,"_",AB85),選手名簿!$A:$E,5,FALSE))</f>
        <v/>
      </c>
    </row>
    <row r="86" spans="1:29" ht="20.25" customHeight="1" x14ac:dyDescent="0.15">
      <c r="A86" s="430" t="s">
        <v>342</v>
      </c>
      <c r="B86" s="792"/>
      <c r="C86" s="792"/>
      <c r="D86" s="793"/>
      <c r="E86" s="244" t="s">
        <v>243</v>
      </c>
      <c r="F86" s="245" t="str">
        <f>IF(ISERROR(VLOOKUP(CONCATENATE($F$68,"_",G86),選手名簿!$A:$E,5,FALSE))=TRUE,"",VLOOKUP(CONCATENATE($F$68,"_",G86),選手名簿!$A:$E,5,FALSE))</f>
        <v/>
      </c>
      <c r="G86" s="246"/>
      <c r="H86" s="246"/>
      <c r="I86" s="246"/>
      <c r="J86" s="234"/>
      <c r="K86" s="246"/>
      <c r="L86" s="246"/>
      <c r="M86" s="246"/>
      <c r="N86" s="247" t="str">
        <f>IF(ISERROR(VLOOKUP(CONCATENATE($N$68,"_",M86),選手名簿!$A:$E,5,FALSE))=TRUE,"",VLOOKUP(CONCATENATE($N$68,"_",M86),選手名簿!$A:$E,5,FALSE))</f>
        <v/>
      </c>
      <c r="P86" s="430" t="s">
        <v>342</v>
      </c>
      <c r="Q86" s="792"/>
      <c r="R86" s="792"/>
      <c r="S86" s="793"/>
      <c r="T86" s="244" t="s">
        <v>243</v>
      </c>
      <c r="U86" s="245" t="str">
        <f>IF(ISERROR(VLOOKUP(CONCATENATE($U$68,"_",V86),選手名簿!$A:$E,5,FALSE))=TRUE,"",VLOOKUP(CONCATENATE($U$68,"_",V86),選手名簿!$A:$E,5,FALSE))</f>
        <v/>
      </c>
      <c r="V86" s="246"/>
      <c r="W86" s="246"/>
      <c r="X86" s="246"/>
      <c r="Y86" s="234"/>
      <c r="Z86" s="246"/>
      <c r="AA86" s="246"/>
      <c r="AB86" s="246"/>
      <c r="AC86" s="247" t="str">
        <f>IF(ISERROR(VLOOKUP(CONCATENATE($AC$68,"_",AB86),選手名簿!$A:$E,5,FALSE))=TRUE,"",VLOOKUP(CONCATENATE($AC$68,"_",AB86),選手名簿!$A:$E,5,FALSE))</f>
        <v/>
      </c>
    </row>
    <row r="87" spans="1:29" ht="20.25" customHeight="1" x14ac:dyDescent="0.15">
      <c r="A87" s="430" t="s">
        <v>346</v>
      </c>
      <c r="B87" s="796" t="str">
        <f>IF(ISERROR(VLOOKUP(B86,審判員!$A:$C,2,FALSE))=TRUE,"",VLOOKUP(B86,審判員!$A:$C,2,FALSE))</f>
        <v/>
      </c>
      <c r="C87" s="797"/>
      <c r="D87" s="430" t="str">
        <f>IF(ISERROR(VLOOKUP(B86,審判員!$A:$C,3,FALSE))=TRUE,"",VLOOKUP(B86,審判員!$A:$C,3,FALSE))</f>
        <v/>
      </c>
      <c r="E87" s="244" t="s">
        <v>243</v>
      </c>
      <c r="F87" s="245" t="str">
        <f>IF(ISERROR(VLOOKUP(CONCATENATE($F$68,"_",G87),選手名簿!$A:$E,5,FALSE))=TRUE,"",VLOOKUP(CONCATENATE($F$68,"_",G87),選手名簿!$A:$E,5,FALSE))</f>
        <v/>
      </c>
      <c r="G87" s="246"/>
      <c r="H87" s="246"/>
      <c r="I87" s="246"/>
      <c r="J87" s="234"/>
      <c r="K87" s="246"/>
      <c r="L87" s="246"/>
      <c r="M87" s="246"/>
      <c r="N87" s="247" t="str">
        <f>IF(ISERROR(VLOOKUP(CONCATENATE($N$68,"_",M87),選手名簿!$A:$E,5,FALSE))=TRUE,"",VLOOKUP(CONCATENATE($N$68,"_",M87),選手名簿!$A:$E,5,FALSE))</f>
        <v/>
      </c>
      <c r="P87" s="430" t="s">
        <v>346</v>
      </c>
      <c r="Q87" s="796" t="str">
        <f>IF(ISERROR(VLOOKUP(Q86,審判員!$A:$C,2,FALSE))=TRUE,"",VLOOKUP(Q86,審判員!$A:$C,2,FALSE))</f>
        <v/>
      </c>
      <c r="R87" s="797"/>
      <c r="S87" s="430" t="str">
        <f>IF(ISERROR(VLOOKUP(Q86,審判員!$A:$C,3,FALSE))=TRUE,"",VLOOKUP(Q86,審判員!$A:$C,3,FALSE))</f>
        <v/>
      </c>
      <c r="T87" s="244" t="s">
        <v>243</v>
      </c>
      <c r="U87" s="245" t="str">
        <f>IF(ISERROR(VLOOKUP(CONCATENATE($U$68,"_",V87),選手名簿!$A:$E,5,FALSE))=TRUE,"",VLOOKUP(CONCATENATE($U$68,"_",V87),選手名簿!$A:$E,5,FALSE))</f>
        <v/>
      </c>
      <c r="V87" s="246"/>
      <c r="W87" s="246"/>
      <c r="X87" s="246"/>
      <c r="Y87" s="234"/>
      <c r="Z87" s="246"/>
      <c r="AA87" s="246"/>
      <c r="AB87" s="246"/>
      <c r="AC87" s="247" t="str">
        <f>IF(ISERROR(VLOOKUP(CONCATENATE($AC$68,"_",AB87),選手名簿!$A:$E,5,FALSE))=TRUE,"",VLOOKUP(CONCATENATE($AC$68,"_",AB87),選手名簿!$A:$E,5,FALSE))</f>
        <v/>
      </c>
    </row>
    <row r="88" spans="1:29" ht="20.25" customHeight="1" x14ac:dyDescent="0.15">
      <c r="A88" s="241" t="s">
        <v>342</v>
      </c>
      <c r="B88" s="789"/>
      <c r="C88" s="789"/>
      <c r="D88" s="789"/>
      <c r="E88" s="244" t="s">
        <v>243</v>
      </c>
      <c r="F88" s="245" t="str">
        <f>IF(ISERROR(VLOOKUP(CONCATENATE($F$68,"_",G88),選手名簿!$A:$E,5,FALSE))=TRUE,"",VLOOKUP(CONCATENATE($F$68,"_",G88),選手名簿!$A:$E,5,FALSE))</f>
        <v/>
      </c>
      <c r="G88" s="246"/>
      <c r="H88" s="246"/>
      <c r="I88" s="246"/>
      <c r="J88" s="234"/>
      <c r="K88" s="246"/>
      <c r="L88" s="246"/>
      <c r="M88" s="246"/>
      <c r="N88" s="247" t="str">
        <f>IF(ISERROR(VLOOKUP(CONCATENATE($N$68,"_",M88),選手名簿!$A:$E,5,FALSE))=TRUE,"",VLOOKUP(CONCATENATE($N$68,"_",M88),選手名簿!$A:$E,5,FALSE))</f>
        <v/>
      </c>
      <c r="P88" s="241" t="s">
        <v>342</v>
      </c>
      <c r="Q88" s="789"/>
      <c r="R88" s="789"/>
      <c r="S88" s="789"/>
      <c r="T88" s="244" t="s">
        <v>243</v>
      </c>
      <c r="U88" s="245" t="str">
        <f>IF(ISERROR(VLOOKUP(CONCATENATE($U$68,"_",V88),選手名簿!$A:$E,5,FALSE))=TRUE,"",VLOOKUP(CONCATENATE($U$68,"_",V88),選手名簿!$A:$E,5,FALSE))</f>
        <v/>
      </c>
      <c r="V88" s="246"/>
      <c r="W88" s="246"/>
      <c r="X88" s="246"/>
      <c r="Y88" s="234"/>
      <c r="Z88" s="246"/>
      <c r="AA88" s="246"/>
      <c r="AB88" s="246"/>
      <c r="AC88" s="247" t="str">
        <f>IF(ISERROR(VLOOKUP(CONCATENATE($AC$68,"_",AB88),選手名簿!$A:$E,5,FALSE))=TRUE,"",VLOOKUP(CONCATENATE($AC$68,"_",AB88),選手名簿!$A:$E,5,FALSE))</f>
        <v/>
      </c>
    </row>
    <row r="89" spans="1:29" ht="20.25" customHeight="1" x14ac:dyDescent="0.15">
      <c r="A89" s="242" t="s">
        <v>347</v>
      </c>
      <c r="B89" s="790" t="str">
        <f>IF(ISERROR(VLOOKUP(B88,審判員!$A:$C,2,FALSE))=TRUE,"",VLOOKUP(B88,審判員!$A:$C,2,FALSE))</f>
        <v/>
      </c>
      <c r="C89" s="791"/>
      <c r="D89" s="242" t="str">
        <f>IF(ISERROR(VLOOKUP(B88,審判員!$A:$C,3,FALSE))=TRUE,"",VLOOKUP(B88,審判員!$A:$C,3,FALSE))</f>
        <v/>
      </c>
      <c r="E89" s="248" t="s">
        <v>243</v>
      </c>
      <c r="F89" s="249" t="str">
        <f>IF(ISERROR(VLOOKUP(CONCATENATE($F$68,"_",G89),選手名簿!$A:$E,5,FALSE))=TRUE,"",VLOOKUP(CONCATENATE($F$68,"_",G89),選手名簿!$A:$E,5,FALSE))</f>
        <v/>
      </c>
      <c r="G89" s="250"/>
      <c r="H89" s="250"/>
      <c r="I89" s="250"/>
      <c r="J89" s="239"/>
      <c r="K89" s="250"/>
      <c r="L89" s="250"/>
      <c r="M89" s="250"/>
      <c r="N89" s="251" t="str">
        <f>IF(ISERROR(VLOOKUP(CONCATENATE($N$68,"_",M89),選手名簿!$A:$E,5,FALSE))=TRUE,"",VLOOKUP(CONCATENATE($N$68,"_",M89),選手名簿!$A:$E,5,FALSE))</f>
        <v/>
      </c>
      <c r="P89" s="242" t="s">
        <v>347</v>
      </c>
      <c r="Q89" s="790" t="str">
        <f>IF(ISERROR(VLOOKUP(Q88,審判員!$A:$C,2,FALSE))=TRUE,"",VLOOKUP(Q88,審判員!$A:$C,2,FALSE))</f>
        <v/>
      </c>
      <c r="R89" s="791"/>
      <c r="S89" s="242" t="str">
        <f>IF(ISERROR(VLOOKUP(Q88,審判員!$A:$C,3,FALSE))=TRUE,"",VLOOKUP(Q88,審判員!$A:$C,3,FALSE))</f>
        <v/>
      </c>
      <c r="T89" s="248" t="s">
        <v>243</v>
      </c>
      <c r="U89" s="249" t="str">
        <f>IF(ISERROR(VLOOKUP(CONCATENATE($U$68,"_",V89),選手名簿!$A:$E,5,FALSE))=TRUE,"",VLOOKUP(CONCATENATE($U$68,"_",V89),選手名簿!$A:$E,5,FALSE))</f>
        <v/>
      </c>
      <c r="V89" s="250"/>
      <c r="W89" s="250"/>
      <c r="X89" s="250"/>
      <c r="Y89" s="239"/>
      <c r="Z89" s="250"/>
      <c r="AA89" s="250"/>
      <c r="AB89" s="250"/>
      <c r="AC89" s="251" t="str">
        <f>IF(ISERROR(VLOOKUP(CONCATENATE($AC$68,"_",AB89),選手名簿!$A:$E,5,FALSE))=TRUE,"",VLOOKUP(CONCATENATE($AC$68,"_",AB89),選手名簿!$A:$E,5,FALSE))</f>
        <v/>
      </c>
    </row>
  </sheetData>
  <mergeCells count="130">
    <mergeCell ref="B86:D86"/>
    <mergeCell ref="Q86:S86"/>
    <mergeCell ref="B87:C87"/>
    <mergeCell ref="Q87:R87"/>
    <mergeCell ref="B88:D88"/>
    <mergeCell ref="Q88:S88"/>
    <mergeCell ref="B89:C89"/>
    <mergeCell ref="Q89:R89"/>
    <mergeCell ref="A71:D71"/>
    <mergeCell ref="P71:S71"/>
    <mergeCell ref="B82:D82"/>
    <mergeCell ref="Q82:S82"/>
    <mergeCell ref="B83:C83"/>
    <mergeCell ref="Q83:R83"/>
    <mergeCell ref="B84:D84"/>
    <mergeCell ref="Q84:S84"/>
    <mergeCell ref="B85:C85"/>
    <mergeCell ref="Q85:R85"/>
    <mergeCell ref="T68:T70"/>
    <mergeCell ref="U68:U70"/>
    <mergeCell ref="V68:V70"/>
    <mergeCell ref="W68:W70"/>
    <mergeCell ref="AA68:AA70"/>
    <mergeCell ref="AB68:AB70"/>
    <mergeCell ref="AC68:AC70"/>
    <mergeCell ref="B69:D69"/>
    <mergeCell ref="Q69:S69"/>
    <mergeCell ref="B70:D70"/>
    <mergeCell ref="Q70:S70"/>
    <mergeCell ref="B57:D57"/>
    <mergeCell ref="Q57:S57"/>
    <mergeCell ref="B58:C58"/>
    <mergeCell ref="Q58:R58"/>
    <mergeCell ref="B59:D59"/>
    <mergeCell ref="Q59:S59"/>
    <mergeCell ref="B60:C60"/>
    <mergeCell ref="Q60:R60"/>
    <mergeCell ref="B68:D68"/>
    <mergeCell ref="E68:E70"/>
    <mergeCell ref="F68:F70"/>
    <mergeCell ref="G68:G70"/>
    <mergeCell ref="H68:H70"/>
    <mergeCell ref="L68:L70"/>
    <mergeCell ref="M68:M70"/>
    <mergeCell ref="N68:N70"/>
    <mergeCell ref="Q68:S68"/>
    <mergeCell ref="A42:D42"/>
    <mergeCell ref="P42:S42"/>
    <mergeCell ref="B53:D53"/>
    <mergeCell ref="Q53:S53"/>
    <mergeCell ref="B54:C54"/>
    <mergeCell ref="Q54:R54"/>
    <mergeCell ref="B55:D55"/>
    <mergeCell ref="Q55:S55"/>
    <mergeCell ref="B56:C56"/>
    <mergeCell ref="Q56:R56"/>
    <mergeCell ref="T39:T41"/>
    <mergeCell ref="U39:U41"/>
    <mergeCell ref="V39:V41"/>
    <mergeCell ref="W39:W41"/>
    <mergeCell ref="AA39:AA41"/>
    <mergeCell ref="AB39:AB41"/>
    <mergeCell ref="AC39:AC41"/>
    <mergeCell ref="B40:D40"/>
    <mergeCell ref="Q40:S40"/>
    <mergeCell ref="B41:D41"/>
    <mergeCell ref="Q41:S41"/>
    <mergeCell ref="B28:D28"/>
    <mergeCell ref="Q28:S28"/>
    <mergeCell ref="B29:C29"/>
    <mergeCell ref="Q29:R29"/>
    <mergeCell ref="B30:D30"/>
    <mergeCell ref="Q30:S30"/>
    <mergeCell ref="B31:C31"/>
    <mergeCell ref="Q31:R31"/>
    <mergeCell ref="B39:D39"/>
    <mergeCell ref="E39:E41"/>
    <mergeCell ref="F39:F41"/>
    <mergeCell ref="G39:G41"/>
    <mergeCell ref="H39:H41"/>
    <mergeCell ref="L39:L41"/>
    <mergeCell ref="M39:M41"/>
    <mergeCell ref="N39:N41"/>
    <mergeCell ref="Q39:S39"/>
    <mergeCell ref="A13:D13"/>
    <mergeCell ref="P13:S13"/>
    <mergeCell ref="B24:D24"/>
    <mergeCell ref="Q24:S24"/>
    <mergeCell ref="B25:C25"/>
    <mergeCell ref="Q25:R25"/>
    <mergeCell ref="B26:D26"/>
    <mergeCell ref="Q26:S26"/>
    <mergeCell ref="B27:C27"/>
    <mergeCell ref="Q27:R27"/>
    <mergeCell ref="F7:L7"/>
    <mergeCell ref="M7:N7"/>
    <mergeCell ref="U7:AA7"/>
    <mergeCell ref="AB7:AC7"/>
    <mergeCell ref="B10:D10"/>
    <mergeCell ref="E10:E12"/>
    <mergeCell ref="F10:F12"/>
    <mergeCell ref="G10:G12"/>
    <mergeCell ref="H10:H12"/>
    <mergeCell ref="L10:L12"/>
    <mergeCell ref="M10:M12"/>
    <mergeCell ref="N10:N12"/>
    <mergeCell ref="Q10:S10"/>
    <mergeCell ref="T10:T12"/>
    <mergeCell ref="U10:U12"/>
    <mergeCell ref="V10:V12"/>
    <mergeCell ref="W10:W12"/>
    <mergeCell ref="AA10:AA12"/>
    <mergeCell ref="AB10:AB12"/>
    <mergeCell ref="AC10:AC12"/>
    <mergeCell ref="B11:D11"/>
    <mergeCell ref="Q11:S11"/>
    <mergeCell ref="B12:D12"/>
    <mergeCell ref="Q12:S12"/>
    <mergeCell ref="A1:J1"/>
    <mergeCell ref="K1:N1"/>
    <mergeCell ref="P1:Y1"/>
    <mergeCell ref="Z1:AC1"/>
    <mergeCell ref="F5:L5"/>
    <mergeCell ref="M5:N5"/>
    <mergeCell ref="U5:AA5"/>
    <mergeCell ref="AB5:AC5"/>
    <mergeCell ref="F6:L6"/>
    <mergeCell ref="M6:N6"/>
    <mergeCell ref="U6:AA6"/>
    <mergeCell ref="AB6:AC6"/>
  </mergeCells>
  <phoneticPr fontId="77"/>
  <pageMargins left="0" right="0" top="0" bottom="0" header="0.51181102362204722" footer="0.51181102362204722"/>
  <pageSetup paperSize="9" orientation="landscape"/>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900-000000000000}">
          <x14:formula1>
            <xm:f>項目!$G$1:$G$33</xm:f>
          </x14:formula1>
          <xm:sqref>B10:D12 B39:D41 B68:D70 Q10:S12 Q68:S70 Q39:S41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5">
    <pageSetUpPr fitToPage="1"/>
  </sheetPr>
  <dimension ref="A1:AC89"/>
  <sheetViews>
    <sheetView zoomScale="70" workbookViewId="0">
      <selection activeCell="A2" sqref="A2"/>
    </sheetView>
  </sheetViews>
  <sheetFormatPr defaultColWidth="9" defaultRowHeight="20.25" customHeight="1" x14ac:dyDescent="0.15"/>
  <cols>
    <col min="1" max="1" width="12.125" style="214" customWidth="1"/>
    <col min="2" max="2" width="11.875" style="214" bestFit="1" customWidth="1"/>
    <col min="3" max="3" width="3.125" style="214" customWidth="1"/>
    <col min="4" max="4" width="6.75" style="214" bestFit="1" customWidth="1"/>
    <col min="5" max="5" width="10.125" style="214" bestFit="1" customWidth="1"/>
    <col min="6" max="6" width="20.625" style="214" customWidth="1"/>
    <col min="7" max="7" width="7.625" style="214" customWidth="1"/>
    <col min="8" max="9" width="4.875" style="214" customWidth="1"/>
    <col min="10" max="10" width="5.25" style="214" customWidth="1"/>
    <col min="11" max="12" width="4.875" style="214" customWidth="1"/>
    <col min="13" max="13" width="7.625" style="214" customWidth="1"/>
    <col min="14" max="14" width="20.625" style="214" customWidth="1"/>
    <col min="15" max="15" width="5" style="214" bestFit="1" customWidth="1"/>
    <col min="16" max="16" width="12.125" style="214" customWidth="1"/>
    <col min="17" max="17" width="11.875" style="214" bestFit="1" customWidth="1"/>
    <col min="18" max="18" width="3.125" style="214" customWidth="1"/>
    <col min="19" max="19" width="6.75" style="214" bestFit="1" customWidth="1"/>
    <col min="20" max="20" width="10.125" style="214" bestFit="1" customWidth="1"/>
    <col min="21" max="21" width="20.625" style="214" customWidth="1"/>
    <col min="22" max="22" width="7.625" style="214" customWidth="1"/>
    <col min="23" max="24" width="4.875" style="214" customWidth="1"/>
    <col min="25" max="25" width="5.25" style="214" customWidth="1"/>
    <col min="26" max="27" width="4.875" style="214" customWidth="1"/>
    <col min="28" max="28" width="7.625" style="214" customWidth="1"/>
    <col min="29" max="29" width="20.625" style="214" customWidth="1"/>
    <col min="30" max="16384" width="9" style="214"/>
  </cols>
  <sheetData>
    <row r="1" spans="1:29" s="215" customFormat="1" ht="20.25" customHeight="1" x14ac:dyDescent="0.15">
      <c r="A1" s="761" t="str">
        <f>大会要項!$B$3</f>
        <v>第15回 全日本不動産協会杯争奪U-12サッカー大会【ラビットカップ】大分県大会</v>
      </c>
      <c r="B1" s="761"/>
      <c r="C1" s="761"/>
      <c r="D1" s="761"/>
      <c r="E1" s="761"/>
      <c r="F1" s="761"/>
      <c r="G1" s="761"/>
      <c r="H1" s="761"/>
      <c r="I1" s="761"/>
      <c r="J1" s="761"/>
      <c r="K1" s="761" t="s">
        <v>333</v>
      </c>
      <c r="L1" s="761"/>
      <c r="M1" s="761"/>
      <c r="N1" s="761"/>
      <c r="O1" s="216"/>
      <c r="P1" s="761" t="str">
        <f>大会要項!$B$3</f>
        <v>第15回 全日本不動産協会杯争奪U-12サッカー大会【ラビットカップ】大分県大会</v>
      </c>
      <c r="Q1" s="761"/>
      <c r="R1" s="761"/>
      <c r="S1" s="761"/>
      <c r="T1" s="761"/>
      <c r="U1" s="761"/>
      <c r="V1" s="761"/>
      <c r="W1" s="761"/>
      <c r="X1" s="761"/>
      <c r="Y1" s="761"/>
      <c r="Z1" s="761" t="s">
        <v>333</v>
      </c>
      <c r="AA1" s="761"/>
      <c r="AB1" s="761"/>
      <c r="AC1" s="761"/>
    </row>
    <row r="2" spans="1:29" ht="20.25" customHeight="1" x14ac:dyDescent="0.15">
      <c r="P2" s="217"/>
      <c r="Q2" s="217"/>
      <c r="R2" s="217"/>
      <c r="S2" s="217"/>
      <c r="T2" s="217"/>
      <c r="U2" s="217"/>
      <c r="V2" s="217"/>
      <c r="W2" s="217"/>
      <c r="X2" s="217"/>
      <c r="Y2" s="217"/>
      <c r="Z2" s="217"/>
      <c r="AA2" s="217"/>
      <c r="AB2" s="217"/>
      <c r="AC2" s="217"/>
    </row>
    <row r="3" spans="1:29" ht="20.25" customHeight="1" x14ac:dyDescent="0.15">
      <c r="A3" s="214" t="s">
        <v>36</v>
      </c>
      <c r="B3" s="218" t="str">
        <f>予選リーグ!I14</f>
        <v>クラサス サッカー・ラグビー場　サブB</v>
      </c>
      <c r="C3" s="218"/>
      <c r="D3" s="218"/>
      <c r="E3" s="218"/>
      <c r="G3" s="218" t="str">
        <f>予選リーグ!L15</f>
        <v>「D」コート</v>
      </c>
      <c r="H3" s="218"/>
      <c r="I3" s="218"/>
      <c r="J3" s="218"/>
      <c r="K3" s="218"/>
      <c r="L3" s="218"/>
      <c r="P3" s="214" t="s">
        <v>36</v>
      </c>
      <c r="Q3" s="218" t="str">
        <f>予選リーグ!I14</f>
        <v>クラサス サッカー・ラグビー場　サブB</v>
      </c>
      <c r="R3" s="218"/>
      <c r="S3" s="218"/>
      <c r="T3" s="218"/>
      <c r="V3" s="253" t="str">
        <f>予選リーグ!L15</f>
        <v>「D」コート</v>
      </c>
      <c r="W3" s="219"/>
      <c r="X3" s="219"/>
      <c r="Y3" s="219"/>
      <c r="Z3" s="219"/>
      <c r="AA3" s="219"/>
      <c r="AB3" s="219"/>
      <c r="AC3" s="219"/>
    </row>
    <row r="4" spans="1:29" ht="20.25" customHeight="1" x14ac:dyDescent="0.15">
      <c r="P4" s="217"/>
      <c r="Q4" s="217"/>
      <c r="R4" s="217"/>
      <c r="S4" s="217"/>
      <c r="T4" s="217"/>
      <c r="U4" s="217"/>
      <c r="V4" s="217"/>
      <c r="W4" s="217"/>
      <c r="X4" s="217"/>
      <c r="Y4" s="217"/>
      <c r="Z4" s="217"/>
      <c r="AA4" s="217"/>
      <c r="AB4" s="217"/>
      <c r="AC4" s="217"/>
    </row>
    <row r="5" spans="1:29" ht="20.25" customHeight="1" x14ac:dyDescent="0.15">
      <c r="E5" s="220" t="s">
        <v>270</v>
      </c>
      <c r="F5" s="762" t="str">
        <f>VLOOKUP(E5,組合せ抽選用!$Q:$U,5,FALSE)</f>
        <v>ＦＣ　ＷＡＹＳ</v>
      </c>
      <c r="G5" s="762"/>
      <c r="H5" s="762"/>
      <c r="I5" s="762"/>
      <c r="J5" s="762"/>
      <c r="K5" s="762"/>
      <c r="L5" s="762"/>
      <c r="M5" s="762" t="str">
        <f>VLOOKUP(E5,組合せ抽選用!$Q:$V,6,FALSE)</f>
        <v>宇佐高田</v>
      </c>
      <c r="N5" s="763"/>
      <c r="R5" s="217"/>
      <c r="S5" s="217"/>
      <c r="T5" s="220" t="s">
        <v>275</v>
      </c>
      <c r="U5" s="762" t="str">
        <f>VLOOKUP(T5,組合せ抽選用!$Q:$U,5,FALSE)</f>
        <v>鶴岡Ｓ―ｐｌａｙ・ＭＩＮＡＭＩ</v>
      </c>
      <c r="V5" s="762"/>
      <c r="W5" s="762"/>
      <c r="X5" s="762"/>
      <c r="Y5" s="762"/>
      <c r="Z5" s="762"/>
      <c r="AA5" s="762"/>
      <c r="AB5" s="762" t="str">
        <f>VLOOKUP(T5,組合せ抽選用!$Q:$V,6,FALSE)</f>
        <v>佐伯</v>
      </c>
      <c r="AC5" s="763"/>
    </row>
    <row r="6" spans="1:29" ht="20.25" customHeight="1" x14ac:dyDescent="0.15">
      <c r="E6" s="221" t="s">
        <v>271</v>
      </c>
      <c r="F6" s="764" t="str">
        <f>VLOOKUP(E6,組合せ抽選用!$Q:$U,5,FALSE)</f>
        <v>日出サッカースポーツ少年団</v>
      </c>
      <c r="G6" s="764"/>
      <c r="H6" s="764"/>
      <c r="I6" s="764"/>
      <c r="J6" s="764"/>
      <c r="K6" s="764"/>
      <c r="L6" s="764"/>
      <c r="M6" s="764" t="str">
        <f>VLOOKUP(E6,組合せ抽選用!$Q:$V,6,FALSE)</f>
        <v>速杵国東</v>
      </c>
      <c r="N6" s="765"/>
      <c r="P6" s="217"/>
      <c r="Q6" s="217"/>
      <c r="R6" s="217"/>
      <c r="S6" s="217"/>
      <c r="T6" s="221" t="s">
        <v>276</v>
      </c>
      <c r="U6" s="764" t="str">
        <f>VLOOKUP(T6,組合せ抽選用!$Q:$U,5,FALSE)</f>
        <v>ＦＣ大野</v>
      </c>
      <c r="V6" s="764"/>
      <c r="W6" s="764"/>
      <c r="X6" s="764"/>
      <c r="Y6" s="764"/>
      <c r="Z6" s="764"/>
      <c r="AA6" s="764"/>
      <c r="AB6" s="764" t="str">
        <f>VLOOKUP(T6,組合せ抽選用!$Q:$V,6,FALSE)</f>
        <v>豊肥</v>
      </c>
      <c r="AC6" s="765"/>
    </row>
    <row r="7" spans="1:29" ht="20.25" customHeight="1" x14ac:dyDescent="0.15">
      <c r="E7" s="222" t="s">
        <v>272</v>
      </c>
      <c r="F7" s="766" t="str">
        <f>VLOOKUP(E7,組合せ抽選用!$Q:$U,5,FALSE)</f>
        <v>国東ジュニアサッカークラブ</v>
      </c>
      <c r="G7" s="766"/>
      <c r="H7" s="766"/>
      <c r="I7" s="766"/>
      <c r="J7" s="766"/>
      <c r="K7" s="766"/>
      <c r="L7" s="766"/>
      <c r="M7" s="766" t="str">
        <f>VLOOKUP(E7,組合せ抽選用!$Q:$V,6,FALSE)</f>
        <v>速杵国東</v>
      </c>
      <c r="N7" s="767"/>
      <c r="P7" s="217"/>
      <c r="Q7" s="217"/>
      <c r="R7" s="217"/>
      <c r="S7" s="217"/>
      <c r="T7" s="222" t="s">
        <v>277</v>
      </c>
      <c r="U7" s="766" t="str">
        <f>VLOOKUP(T7,組合せ抽選用!$Q:$U,5,FALSE)</f>
        <v>野津ＦＣ</v>
      </c>
      <c r="V7" s="766"/>
      <c r="W7" s="766"/>
      <c r="X7" s="766"/>
      <c r="Y7" s="766"/>
      <c r="Z7" s="766"/>
      <c r="AA7" s="766"/>
      <c r="AB7" s="766" t="str">
        <f>VLOOKUP(T7,組合せ抽選用!$Q:$V,6,FALSE)</f>
        <v>臼杵/津久見</v>
      </c>
      <c r="AC7" s="767"/>
    </row>
    <row r="8" spans="1:29" ht="20.25" customHeight="1" x14ac:dyDescent="0.15">
      <c r="P8" s="217"/>
      <c r="Q8" s="217"/>
      <c r="R8" s="217"/>
      <c r="S8" s="217"/>
      <c r="T8" s="217"/>
      <c r="U8" s="217"/>
      <c r="V8" s="217"/>
      <c r="W8" s="217"/>
      <c r="X8" s="217"/>
      <c r="Y8" s="217"/>
      <c r="Z8" s="217"/>
      <c r="AA8" s="217"/>
      <c r="AB8" s="217"/>
      <c r="AC8" s="217"/>
    </row>
    <row r="10" spans="1:29" ht="27.4" customHeight="1" x14ac:dyDescent="0.15">
      <c r="A10" s="223" t="s">
        <v>334</v>
      </c>
      <c r="B10" s="768"/>
      <c r="C10" s="769"/>
      <c r="D10" s="770"/>
      <c r="E10" s="771">
        <f>予選リーグ!B19</f>
        <v>0.4375</v>
      </c>
      <c r="F10" s="774" t="str">
        <f>F5</f>
        <v>ＦＣ　ＷＡＹＳ</v>
      </c>
      <c r="G10" s="777" t="str">
        <f>IF(I10="","",SUM(I10:I11))</f>
        <v/>
      </c>
      <c r="H10" s="780" t="s">
        <v>123</v>
      </c>
      <c r="I10" s="224"/>
      <c r="J10" s="224" t="s">
        <v>335</v>
      </c>
      <c r="K10" s="224"/>
      <c r="L10" s="780" t="s">
        <v>336</v>
      </c>
      <c r="M10" s="777" t="str">
        <f>IF(K10="","",SUM(K10:K11))</f>
        <v/>
      </c>
      <c r="N10" s="783" t="str">
        <f>F6</f>
        <v>日出サッカースポーツ少年団</v>
      </c>
      <c r="P10" s="223" t="s">
        <v>334</v>
      </c>
      <c r="Q10" s="768"/>
      <c r="R10" s="769"/>
      <c r="S10" s="770"/>
      <c r="T10" s="771">
        <f>予選リーグ!B21</f>
        <v>0.47222222222222227</v>
      </c>
      <c r="U10" s="774" t="str">
        <f>U5</f>
        <v>鶴岡Ｓ―ｐｌａｙ・ＭＩＮＡＭＩ</v>
      </c>
      <c r="V10" s="777" t="str">
        <f>IF(X10="","",SUM(X10:X11))</f>
        <v/>
      </c>
      <c r="W10" s="780" t="s">
        <v>123</v>
      </c>
      <c r="X10" s="224"/>
      <c r="Y10" s="224" t="s">
        <v>335</v>
      </c>
      <c r="Z10" s="224"/>
      <c r="AA10" s="780" t="s">
        <v>336</v>
      </c>
      <c r="AB10" s="777" t="str">
        <f>IF(Z10="","",SUM(Z10:Z11))</f>
        <v/>
      </c>
      <c r="AC10" s="783" t="str">
        <f>U6</f>
        <v>ＦＣ大野</v>
      </c>
    </row>
    <row r="11" spans="1:29" ht="27.4" customHeight="1" x14ac:dyDescent="0.15">
      <c r="A11" s="225" t="s">
        <v>337</v>
      </c>
      <c r="B11" s="786" t="s">
        <v>313</v>
      </c>
      <c r="C11" s="786"/>
      <c r="D11" s="768"/>
      <c r="E11" s="772"/>
      <c r="F11" s="775"/>
      <c r="G11" s="778"/>
      <c r="H11" s="781"/>
      <c r="J11" s="214" t="s">
        <v>338</v>
      </c>
      <c r="L11" s="781"/>
      <c r="M11" s="778"/>
      <c r="N11" s="784"/>
      <c r="P11" s="225" t="s">
        <v>337</v>
      </c>
      <c r="Q11" s="786" t="s">
        <v>313</v>
      </c>
      <c r="R11" s="786"/>
      <c r="S11" s="768"/>
      <c r="T11" s="772"/>
      <c r="U11" s="775"/>
      <c r="V11" s="778"/>
      <c r="W11" s="781"/>
      <c r="Y11" s="214" t="s">
        <v>338</v>
      </c>
      <c r="AA11" s="781"/>
      <c r="AB11" s="778"/>
      <c r="AC11" s="784"/>
    </row>
    <row r="12" spans="1:29" ht="27.4" customHeight="1" x14ac:dyDescent="0.15">
      <c r="A12" s="225" t="s">
        <v>339</v>
      </c>
      <c r="B12" s="786"/>
      <c r="C12" s="786"/>
      <c r="D12" s="768"/>
      <c r="E12" s="773"/>
      <c r="F12" s="776"/>
      <c r="G12" s="779"/>
      <c r="H12" s="782"/>
      <c r="I12" s="226"/>
      <c r="J12" s="226" t="s">
        <v>340</v>
      </c>
      <c r="K12" s="226"/>
      <c r="L12" s="782"/>
      <c r="M12" s="779"/>
      <c r="N12" s="785"/>
      <c r="P12" s="225" t="s">
        <v>339</v>
      </c>
      <c r="Q12" s="786"/>
      <c r="R12" s="786"/>
      <c r="S12" s="768"/>
      <c r="T12" s="773"/>
      <c r="U12" s="776"/>
      <c r="V12" s="779"/>
      <c r="W12" s="782"/>
      <c r="X12" s="226"/>
      <c r="Y12" s="226" t="s">
        <v>340</v>
      </c>
      <c r="Z12" s="226"/>
      <c r="AA12" s="782"/>
      <c r="AB12" s="779"/>
      <c r="AC12" s="785"/>
    </row>
    <row r="13" spans="1:29" ht="20.25" customHeight="1" x14ac:dyDescent="0.15">
      <c r="A13" s="787" t="s">
        <v>341</v>
      </c>
      <c r="B13" s="787"/>
      <c r="C13" s="787"/>
      <c r="D13" s="787"/>
      <c r="E13" s="227"/>
      <c r="F13" s="228" t="s">
        <v>242</v>
      </c>
      <c r="G13" s="228" t="s">
        <v>342</v>
      </c>
      <c r="H13" s="228" t="s">
        <v>317</v>
      </c>
      <c r="I13" s="228"/>
      <c r="J13" s="229"/>
      <c r="K13" s="228"/>
      <c r="L13" s="228" t="s">
        <v>317</v>
      </c>
      <c r="M13" s="228" t="s">
        <v>342</v>
      </c>
      <c r="N13" s="230" t="s">
        <v>242</v>
      </c>
      <c r="P13" s="787" t="s">
        <v>341</v>
      </c>
      <c r="Q13" s="787"/>
      <c r="R13" s="787"/>
      <c r="S13" s="788"/>
      <c r="T13" s="227"/>
      <c r="U13" s="228" t="s">
        <v>242</v>
      </c>
      <c r="V13" s="228" t="s">
        <v>342</v>
      </c>
      <c r="W13" s="228" t="s">
        <v>317</v>
      </c>
      <c r="X13" s="228"/>
      <c r="Y13" s="229"/>
      <c r="Z13" s="228"/>
      <c r="AA13" s="228" t="s">
        <v>317</v>
      </c>
      <c r="AB13" s="228" t="s">
        <v>342</v>
      </c>
      <c r="AC13" s="230" t="s">
        <v>242</v>
      </c>
    </row>
    <row r="14" spans="1:29" ht="20.25" hidden="1" customHeight="1" x14ac:dyDescent="0.15">
      <c r="E14" s="231" t="s">
        <v>343</v>
      </c>
      <c r="F14" s="232" t="str">
        <f>IF(ISERROR(VLOOKUP(CONCATENATE($F$10,"_",G14),選手名簿!$A:$E,5,FALSE))=TRUE,"",VLOOKUP(CONCATENATE($F$10,"_",G14),選手名簿!$A:$E,5,FALSE))</f>
        <v/>
      </c>
      <c r="G14" s="233"/>
      <c r="H14" s="233"/>
      <c r="I14" s="233"/>
      <c r="J14" s="234"/>
      <c r="K14" s="233"/>
      <c r="L14" s="233"/>
      <c r="M14" s="233"/>
      <c r="N14" s="235" t="str">
        <f>IF(ISERROR(VLOOKUP(CONCATENATE($N$10,"_",M14),選手名簿!$A:$E,5,FALSE))=TRUE,"",VLOOKUP(CONCATENATE($N$10,"_",M14),選手名簿!$A:$E,5,FALSE))</f>
        <v/>
      </c>
      <c r="T14" s="231" t="s">
        <v>343</v>
      </c>
      <c r="U14" s="232" t="str">
        <f>IF(ISERROR(VLOOKUP(CONCATENATE($U$10,"_",V14),選手名簿!$A:$E,5,FALSE))=TRUE,"",VLOOKUP(CONCATENATE($U$10,"_",V14),選手名簿!$A:$E,5,FALSE))</f>
        <v/>
      </c>
      <c r="V14" s="233"/>
      <c r="W14" s="233"/>
      <c r="X14" s="233"/>
      <c r="Y14" s="234"/>
      <c r="Z14" s="233"/>
      <c r="AA14" s="233"/>
      <c r="AB14" s="233"/>
      <c r="AC14" s="235" t="str">
        <f>IF(ISERROR(VLOOKUP(CONCATENATE($AC$10,"_",AB14),選手名簿!$A:$E,5,FALSE))=TRUE,"",VLOOKUP(CONCATENATE($AC$10,"_",AB14),選手名簿!$A:$E,5,FALSE))</f>
        <v/>
      </c>
    </row>
    <row r="15" spans="1:29" ht="20.25" hidden="1" customHeight="1" x14ac:dyDescent="0.15">
      <c r="E15" s="231" t="s">
        <v>343</v>
      </c>
      <c r="F15" s="232" t="str">
        <f>IF(ISERROR(VLOOKUP(CONCATENATE($F$10,"_",G15),選手名簿!$A:$E,5,FALSE))=TRUE,"",VLOOKUP(CONCATENATE($F$10,"_",G15),選手名簿!$A:$E,5,FALSE))</f>
        <v/>
      </c>
      <c r="G15" s="233"/>
      <c r="H15" s="233"/>
      <c r="I15" s="233"/>
      <c r="J15" s="234"/>
      <c r="K15" s="233"/>
      <c r="L15" s="233"/>
      <c r="M15" s="233"/>
      <c r="N15" s="235" t="str">
        <f>IF(ISERROR(VLOOKUP(CONCATENATE($N$10,"_",M15),選手名簿!$A:$E,5,FALSE))=TRUE,"",VLOOKUP(CONCATENATE($N$10,"_",M15),選手名簿!$A:$E,5,FALSE))</f>
        <v/>
      </c>
      <c r="T15" s="231" t="s">
        <v>343</v>
      </c>
      <c r="U15" s="232" t="str">
        <f>IF(ISERROR(VLOOKUP(CONCATENATE($U$10,"_",V15),選手名簿!$A:$E,5,FALSE))=TRUE,"",VLOOKUP(CONCATENATE($U$10,"_",V15),選手名簿!$A:$E,5,FALSE))</f>
        <v/>
      </c>
      <c r="V15" s="233"/>
      <c r="W15" s="233"/>
      <c r="X15" s="233"/>
      <c r="Y15" s="234"/>
      <c r="Z15" s="233"/>
      <c r="AA15" s="233"/>
      <c r="AB15" s="233"/>
      <c r="AC15" s="235" t="str">
        <f>IF(ISERROR(VLOOKUP(CONCATENATE($AC$10,"_",AB15),選手名簿!$A:$E,5,FALSE))=TRUE,"",VLOOKUP(CONCATENATE($AC$10,"_",AB15),選手名簿!$A:$E,5,FALSE))</f>
        <v/>
      </c>
    </row>
    <row r="16" spans="1:29" ht="20.25" hidden="1" customHeight="1" x14ac:dyDescent="0.15">
      <c r="E16" s="231" t="s">
        <v>343</v>
      </c>
      <c r="F16" s="232" t="str">
        <f>IF(ISERROR(VLOOKUP(CONCATENATE($F$10,"_",G16),選手名簿!$A:$E,5,FALSE))=TRUE,"",VLOOKUP(CONCATENATE($F$10,"_",G16),選手名簿!$A:$E,5,FALSE))</f>
        <v/>
      </c>
      <c r="G16" s="233"/>
      <c r="H16" s="233"/>
      <c r="I16" s="233"/>
      <c r="J16" s="234"/>
      <c r="K16" s="233"/>
      <c r="L16" s="233"/>
      <c r="M16" s="233"/>
      <c r="N16" s="235" t="str">
        <f>IF(ISERROR(VLOOKUP(CONCATENATE($N$10,"_",M16),選手名簿!$A:$E,5,FALSE))=TRUE,"",VLOOKUP(CONCATENATE($N$10,"_",M16),選手名簿!$A:$E,5,FALSE))</f>
        <v/>
      </c>
      <c r="T16" s="231" t="s">
        <v>343</v>
      </c>
      <c r="U16" s="232" t="str">
        <f>IF(ISERROR(VLOOKUP(CONCATENATE($U$10,"_",V16),選手名簿!$A:$E,5,FALSE))=TRUE,"",VLOOKUP(CONCATENATE($U$10,"_",V16),選手名簿!$A:$E,5,FALSE))</f>
        <v/>
      </c>
      <c r="V16" s="233"/>
      <c r="W16" s="233"/>
      <c r="X16" s="233"/>
      <c r="Y16" s="234"/>
      <c r="Z16" s="233"/>
      <c r="AA16" s="233"/>
      <c r="AB16" s="233"/>
      <c r="AC16" s="235" t="str">
        <f>IF(ISERROR(VLOOKUP(CONCATENATE($AC$10,"_",AB16),選手名簿!$A:$E,5,FALSE))=TRUE,"",VLOOKUP(CONCATENATE($AC$10,"_",AB16),選手名簿!$A:$E,5,FALSE))</f>
        <v/>
      </c>
    </row>
    <row r="17" spans="1:29" ht="20.25" hidden="1" customHeight="1" x14ac:dyDescent="0.15">
      <c r="E17" s="231" t="s">
        <v>343</v>
      </c>
      <c r="F17" s="232" t="str">
        <f>IF(ISERROR(VLOOKUP(CONCATENATE($F$10,"_",G17),選手名簿!$A:$E,5,FALSE))=TRUE,"",VLOOKUP(CONCATENATE($F$10,"_",G17),選手名簿!$A:$E,5,FALSE))</f>
        <v/>
      </c>
      <c r="G17" s="233"/>
      <c r="H17" s="233"/>
      <c r="I17" s="233"/>
      <c r="J17" s="234"/>
      <c r="K17" s="233"/>
      <c r="L17" s="233"/>
      <c r="M17" s="233"/>
      <c r="N17" s="235" t="str">
        <f>IF(ISERROR(VLOOKUP(CONCATENATE($N$10,"_",M17),選手名簿!$A:$E,5,FALSE))=TRUE,"",VLOOKUP(CONCATENATE($N$10,"_",M17),選手名簿!$A:$E,5,FALSE))</f>
        <v/>
      </c>
      <c r="T17" s="231" t="s">
        <v>343</v>
      </c>
      <c r="U17" s="232" t="str">
        <f>IF(ISERROR(VLOOKUP(CONCATENATE($U$10,"_",V17),選手名簿!$A:$E,5,FALSE))=TRUE,"",VLOOKUP(CONCATENATE($U$10,"_",V17),選手名簿!$A:$E,5,FALSE))</f>
        <v/>
      </c>
      <c r="V17" s="233"/>
      <c r="W17" s="233"/>
      <c r="X17" s="233"/>
      <c r="Y17" s="234"/>
      <c r="Z17" s="233"/>
      <c r="AA17" s="233"/>
      <c r="AB17" s="233"/>
      <c r="AC17" s="235" t="str">
        <f>IF(ISERROR(VLOOKUP(CONCATENATE($AC$10,"_",AB17),選手名簿!$A:$E,5,FALSE))=TRUE,"",VLOOKUP(CONCATENATE($AC$10,"_",AB17),選手名簿!$A:$E,5,FALSE))</f>
        <v/>
      </c>
    </row>
    <row r="18" spans="1:29" ht="20.25" hidden="1" customHeight="1" x14ac:dyDescent="0.15">
      <c r="E18" s="231" t="s">
        <v>343</v>
      </c>
      <c r="F18" s="232" t="str">
        <f>IF(ISERROR(VLOOKUP(CONCATENATE($F$10,"_",G18),選手名簿!$A:$E,5,FALSE))=TRUE,"",VLOOKUP(CONCATENATE($F$10,"_",G18),選手名簿!$A:$E,5,FALSE))</f>
        <v/>
      </c>
      <c r="G18" s="233"/>
      <c r="H18" s="233"/>
      <c r="I18" s="233"/>
      <c r="J18" s="234"/>
      <c r="K18" s="233"/>
      <c r="L18" s="233"/>
      <c r="M18" s="233"/>
      <c r="N18" s="235" t="str">
        <f>IF(ISERROR(VLOOKUP(CONCATENATE($N$10,"_",M18),選手名簿!$A:$E,5,FALSE))=TRUE,"",VLOOKUP(CONCATENATE($N$10,"_",M18),選手名簿!$A:$E,5,FALSE))</f>
        <v/>
      </c>
      <c r="T18" s="231" t="s">
        <v>343</v>
      </c>
      <c r="U18" s="232" t="str">
        <f>IF(ISERROR(VLOOKUP(CONCATENATE($U$10,"_",V18),選手名簿!$A:$E,5,FALSE))=TRUE,"",VLOOKUP(CONCATENATE($U$10,"_",V18),選手名簿!$A:$E,5,FALSE))</f>
        <v/>
      </c>
      <c r="V18" s="233"/>
      <c r="W18" s="233"/>
      <c r="X18" s="233"/>
      <c r="Y18" s="234"/>
      <c r="Z18" s="233"/>
      <c r="AA18" s="233"/>
      <c r="AB18" s="233"/>
      <c r="AC18" s="235" t="str">
        <f>IF(ISERROR(VLOOKUP(CONCATENATE($AC$10,"_",AB18),選手名簿!$A:$E,5,FALSE))=TRUE,"",VLOOKUP(CONCATENATE($AC$10,"_",AB18),選手名簿!$A:$E,5,FALSE))</f>
        <v/>
      </c>
    </row>
    <row r="19" spans="1:29" ht="20.25" hidden="1" customHeight="1" x14ac:dyDescent="0.15">
      <c r="E19" s="231" t="s">
        <v>343</v>
      </c>
      <c r="F19" s="232" t="str">
        <f>IF(ISERROR(VLOOKUP(CONCATENATE($F$10,"_",G19),選手名簿!$A:$E,5,FALSE))=TRUE,"",VLOOKUP(CONCATENATE($F$10,"_",G19),選手名簿!$A:$E,5,FALSE))</f>
        <v/>
      </c>
      <c r="G19" s="233"/>
      <c r="H19" s="233"/>
      <c r="I19" s="233"/>
      <c r="J19" s="234"/>
      <c r="K19" s="233"/>
      <c r="L19" s="233"/>
      <c r="M19" s="233"/>
      <c r="N19" s="235" t="str">
        <f>IF(ISERROR(VLOOKUP(CONCATENATE($N$10,"_",M19),選手名簿!$A:$E,5,FALSE))=TRUE,"",VLOOKUP(CONCATENATE($N$10,"_",M19),選手名簿!$A:$E,5,FALSE))</f>
        <v/>
      </c>
      <c r="T19" s="231" t="s">
        <v>343</v>
      </c>
      <c r="U19" s="232" t="str">
        <f>IF(ISERROR(VLOOKUP(CONCATENATE($U$10,"_",V19),選手名簿!$A:$E,5,FALSE))=TRUE,"",VLOOKUP(CONCATENATE($U$10,"_",V19),選手名簿!$A:$E,5,FALSE))</f>
        <v/>
      </c>
      <c r="V19" s="233"/>
      <c r="W19" s="233"/>
      <c r="X19" s="233"/>
      <c r="Y19" s="234"/>
      <c r="Z19" s="233"/>
      <c r="AA19" s="233"/>
      <c r="AB19" s="233"/>
      <c r="AC19" s="235" t="str">
        <f>IF(ISERROR(VLOOKUP(CONCATENATE($AC$10,"_",AB19),選手名簿!$A:$E,5,FALSE))=TRUE,"",VLOOKUP(CONCATENATE($AC$10,"_",AB19),選手名簿!$A:$E,5,FALSE))</f>
        <v/>
      </c>
    </row>
    <row r="20" spans="1:29" ht="20.25" hidden="1" customHeight="1" x14ac:dyDescent="0.15">
      <c r="E20" s="231" t="s">
        <v>343</v>
      </c>
      <c r="F20" s="232" t="str">
        <f>IF(ISERROR(VLOOKUP(CONCATENATE($F$10,"_",G20),選手名簿!$A:$E,5,FALSE))=TRUE,"",VLOOKUP(CONCATENATE($F$10,"_",G20),選手名簿!$A:$E,5,FALSE))</f>
        <v/>
      </c>
      <c r="G20" s="233"/>
      <c r="H20" s="233"/>
      <c r="I20" s="233"/>
      <c r="J20" s="234"/>
      <c r="K20" s="233"/>
      <c r="L20" s="233"/>
      <c r="M20" s="233"/>
      <c r="N20" s="235" t="str">
        <f>IF(ISERROR(VLOOKUP(CONCATENATE($N$10,"_",M20),選手名簿!$A:$E,5,FALSE))=TRUE,"",VLOOKUP(CONCATENATE($N$10,"_",M20),選手名簿!$A:$E,5,FALSE))</f>
        <v/>
      </c>
      <c r="T20" s="231" t="s">
        <v>343</v>
      </c>
      <c r="U20" s="232" t="str">
        <f>IF(ISERROR(VLOOKUP(CONCATENATE($U$10,"_",V20),選手名簿!$A:$E,5,FALSE))=TRUE,"",VLOOKUP(CONCATENATE($U$10,"_",V20),選手名簿!$A:$E,5,FALSE))</f>
        <v/>
      </c>
      <c r="V20" s="233"/>
      <c r="W20" s="233"/>
      <c r="X20" s="233"/>
      <c r="Y20" s="234"/>
      <c r="Z20" s="233"/>
      <c r="AA20" s="233"/>
      <c r="AB20" s="233"/>
      <c r="AC20" s="235" t="str">
        <f>IF(ISERROR(VLOOKUP(CONCATENATE($AC$10,"_",AB20),選手名簿!$A:$E,5,FALSE))=TRUE,"",VLOOKUP(CONCATENATE($AC$10,"_",AB20),選手名簿!$A:$E,5,FALSE))</f>
        <v/>
      </c>
    </row>
    <row r="21" spans="1:29" ht="20.25" hidden="1" customHeight="1" x14ac:dyDescent="0.15">
      <c r="E21" s="231" t="s">
        <v>343</v>
      </c>
      <c r="F21" s="232" t="str">
        <f>IF(ISERROR(VLOOKUP(CONCATENATE($F$10,"_",G21),選手名簿!$A:$E,5,FALSE))=TRUE,"",VLOOKUP(CONCATENATE($F$10,"_",G21),選手名簿!$A:$E,5,FALSE))</f>
        <v/>
      </c>
      <c r="G21" s="233"/>
      <c r="H21" s="233"/>
      <c r="I21" s="233"/>
      <c r="J21" s="234"/>
      <c r="K21" s="233"/>
      <c r="L21" s="233"/>
      <c r="M21" s="233"/>
      <c r="N21" s="235" t="str">
        <f>IF(ISERROR(VLOOKUP(CONCATENATE($N$10,"_",M21),選手名簿!$A:$E,5,FALSE))=TRUE,"",VLOOKUP(CONCATENATE($N$10,"_",M21),選手名簿!$A:$E,5,FALSE))</f>
        <v/>
      </c>
      <c r="T21" s="231" t="s">
        <v>343</v>
      </c>
      <c r="U21" s="232" t="str">
        <f>IF(ISERROR(VLOOKUP(CONCATENATE($U$10,"_",V21),選手名簿!$A:$E,5,FALSE))=TRUE,"",VLOOKUP(CONCATENATE($U$10,"_",V21),選手名簿!$A:$E,5,FALSE))</f>
        <v/>
      </c>
      <c r="V21" s="233"/>
      <c r="W21" s="233"/>
      <c r="X21" s="233"/>
      <c r="Y21" s="234"/>
      <c r="Z21" s="233"/>
      <c r="AA21" s="233"/>
      <c r="AB21" s="233"/>
      <c r="AC21" s="235" t="str">
        <f>IF(ISERROR(VLOOKUP(CONCATENATE($AC$10,"_",AB21),選手名簿!$A:$E,5,FALSE))=TRUE,"",VLOOKUP(CONCATENATE($AC$10,"_",AB21),選手名簿!$A:$E,5,FALSE))</f>
        <v/>
      </c>
    </row>
    <row r="22" spans="1:29" ht="20.25" hidden="1" customHeight="1" x14ac:dyDescent="0.15">
      <c r="E22" s="231" t="s">
        <v>343</v>
      </c>
      <c r="F22" s="232" t="str">
        <f>IF(ISERROR(VLOOKUP(CONCATENATE($F$10,"_",G22),選手名簿!$A:$E,5,FALSE))=TRUE,"",VLOOKUP(CONCATENATE($F$10,"_",G22),選手名簿!$A:$E,5,FALSE))</f>
        <v/>
      </c>
      <c r="G22" s="233"/>
      <c r="H22" s="233"/>
      <c r="I22" s="233"/>
      <c r="J22" s="234"/>
      <c r="K22" s="233"/>
      <c r="L22" s="233"/>
      <c r="M22" s="233"/>
      <c r="N22" s="235" t="str">
        <f>IF(ISERROR(VLOOKUP(CONCATENATE($N$10,"_",M22),選手名簿!$A:$E,5,FALSE))=TRUE,"",VLOOKUP(CONCATENATE($N$10,"_",M22),選手名簿!$A:$E,5,FALSE))</f>
        <v/>
      </c>
      <c r="T22" s="231" t="s">
        <v>343</v>
      </c>
      <c r="U22" s="232" t="str">
        <f>IF(ISERROR(VLOOKUP(CONCATENATE($U$10,"_",V22),選手名簿!$A:$E,5,FALSE))=TRUE,"",VLOOKUP(CONCATENATE($U$10,"_",V22),選手名簿!$A:$E,5,FALSE))</f>
        <v/>
      </c>
      <c r="V22" s="233"/>
      <c r="W22" s="233"/>
      <c r="X22" s="233"/>
      <c r="Y22" s="234"/>
      <c r="Z22" s="233"/>
      <c r="AA22" s="233"/>
      <c r="AB22" s="233"/>
      <c r="AC22" s="235" t="str">
        <f>IF(ISERROR(VLOOKUP(CONCATENATE($AC$10,"_",AB22),選手名簿!$A:$E,5,FALSE))=TRUE,"",VLOOKUP(CONCATENATE($AC$10,"_",AB22),選手名簿!$A:$E,5,FALSE))</f>
        <v/>
      </c>
    </row>
    <row r="23" spans="1:29" ht="20.25" hidden="1" customHeight="1" x14ac:dyDescent="0.15">
      <c r="E23" s="236" t="s">
        <v>343</v>
      </c>
      <c r="F23" s="237" t="str">
        <f>IF(ISERROR(VLOOKUP(CONCATENATE($F$10,"_",G23),選手名簿!$A:$E,5,FALSE))=TRUE,"",VLOOKUP(CONCATENATE($F$10,"_",G23),選手名簿!$A:$E,5,FALSE))</f>
        <v/>
      </c>
      <c r="G23" s="238"/>
      <c r="H23" s="238"/>
      <c r="I23" s="238"/>
      <c r="J23" s="239"/>
      <c r="K23" s="238"/>
      <c r="L23" s="238"/>
      <c r="M23" s="238"/>
      <c r="N23" s="240" t="str">
        <f>IF(ISERROR(VLOOKUP(CONCATENATE($N$10,"_",M23),選手名簿!$A:$E,5,FALSE))=TRUE,"",VLOOKUP(CONCATENATE($N$10,"_",M23),選手名簿!$A:$E,5,FALSE))</f>
        <v/>
      </c>
      <c r="T23" s="236" t="s">
        <v>343</v>
      </c>
      <c r="U23" s="237" t="str">
        <f>IF(ISERROR(VLOOKUP(CONCATENATE($U$10,"_",V23),選手名簿!$A:$E,5,FALSE))=TRUE,"",VLOOKUP(CONCATENATE($U$10,"_",V23),選手名簿!$A:$E,5,FALSE))</f>
        <v/>
      </c>
      <c r="V23" s="238"/>
      <c r="W23" s="238"/>
      <c r="X23" s="238"/>
      <c r="Y23" s="239"/>
      <c r="Z23" s="238"/>
      <c r="AA23" s="238"/>
      <c r="AB23" s="238"/>
      <c r="AC23" s="240" t="str">
        <f>IF(ISERROR(VLOOKUP(CONCATENATE($AC$10,"_",AB23),選手名簿!$A:$E,5,FALSE))=TRUE,"",VLOOKUP(CONCATENATE($AC$10,"_",AB23),選手名簿!$A:$E,5,FALSE))</f>
        <v/>
      </c>
    </row>
    <row r="24" spans="1:29" ht="20.25" customHeight="1" x14ac:dyDescent="0.15">
      <c r="A24" s="241" t="s">
        <v>342</v>
      </c>
      <c r="B24" s="789"/>
      <c r="C24" s="789"/>
      <c r="D24" s="789"/>
      <c r="E24" s="231" t="s">
        <v>243</v>
      </c>
      <c r="F24" s="232" t="str">
        <f>IF(ISERROR(VLOOKUP(CONCATENATE($F$10,"_",G24),選手名簿!$A:$E,5,FALSE))=TRUE,"",VLOOKUP(CONCATENATE($F$10,"_",G24),選手名簿!$A:$E,5,FALSE))</f>
        <v/>
      </c>
      <c r="G24" s="233"/>
      <c r="H24" s="233"/>
      <c r="I24" s="233"/>
      <c r="J24" s="234"/>
      <c r="K24" s="233"/>
      <c r="L24" s="233"/>
      <c r="M24" s="233"/>
      <c r="N24" s="235" t="str">
        <f>IF(ISERROR(VLOOKUP(CONCATENATE($N$10,"_",M24),選手名簿!$A:$E,5,FALSE))=TRUE,"",VLOOKUP(CONCATENATE($N$10,"_",M24),選手名簿!$A:$E,5,FALSE))</f>
        <v/>
      </c>
      <c r="P24" s="241" t="s">
        <v>342</v>
      </c>
      <c r="Q24" s="789"/>
      <c r="R24" s="789"/>
      <c r="S24" s="789"/>
      <c r="T24" s="231" t="s">
        <v>243</v>
      </c>
      <c r="U24" s="232" t="str">
        <f>IF(ISERROR(VLOOKUP(CONCATENATE($U$10,"_",V24),選手名簿!$A:$E,5,FALSE))=TRUE,"",VLOOKUP(CONCATENATE($U$10,"_",V24),選手名簿!$A:$E,5,FALSE))</f>
        <v/>
      </c>
      <c r="V24" s="233"/>
      <c r="W24" s="233"/>
      <c r="X24" s="233"/>
      <c r="Y24" s="234"/>
      <c r="Z24" s="233"/>
      <c r="AA24" s="233"/>
      <c r="AB24" s="233"/>
      <c r="AC24" s="235" t="str">
        <f>IF(ISERROR(VLOOKUP(CONCATENATE($AC$10,"_",AB24),選手名簿!$A:$E,5,FALSE))=TRUE,"",VLOOKUP(CONCATENATE($AC$10,"_",AB24),選手名簿!$A:$E,5,FALSE))</f>
        <v/>
      </c>
    </row>
    <row r="25" spans="1:29" ht="20.25" customHeight="1" x14ac:dyDescent="0.15">
      <c r="A25" s="242" t="s">
        <v>344</v>
      </c>
      <c r="B25" s="790" t="str">
        <f>IF(ISERROR(VLOOKUP(B24,審判員!$A:$C,2,FALSE))=TRUE,"",VLOOKUP(B24,審判員!$A:$C,2,FALSE))</f>
        <v/>
      </c>
      <c r="C25" s="791"/>
      <c r="D25" s="243" t="str">
        <f>IF(ISERROR(VLOOKUP(B24,審判員!$A:$C,3,FALSE))=TRUE,"",VLOOKUP(B24,審判員!$A:$C,3,FALSE))</f>
        <v/>
      </c>
      <c r="E25" s="244" t="s">
        <v>243</v>
      </c>
      <c r="F25" s="245" t="str">
        <f>IF(ISERROR(VLOOKUP(CONCATENATE($F$10,"_",G25),選手名簿!$A:$E,5,FALSE))=TRUE,"",VLOOKUP(CONCATENATE($F$10,"_",G25),選手名簿!$A:$E,5,FALSE))</f>
        <v/>
      </c>
      <c r="G25" s="246"/>
      <c r="H25" s="246"/>
      <c r="I25" s="246"/>
      <c r="J25" s="234"/>
      <c r="K25" s="246"/>
      <c r="L25" s="246"/>
      <c r="M25" s="246"/>
      <c r="N25" s="247" t="str">
        <f>IF(ISERROR(VLOOKUP(CONCATENATE($N$10,"_",M25),選手名簿!$A:$E,5,FALSE))=TRUE,"",VLOOKUP(CONCATENATE($N$10,"_",M25),選手名簿!$A:$E,5,FALSE))</f>
        <v/>
      </c>
      <c r="P25" s="242" t="s">
        <v>344</v>
      </c>
      <c r="Q25" s="790" t="str">
        <f>IF(ISERROR(VLOOKUP(Q24,審判員!$A:$C,2,FALSE))=TRUE,"",VLOOKUP(Q24,審判員!$A:$C,2,FALSE))</f>
        <v/>
      </c>
      <c r="R25" s="791"/>
      <c r="S25" s="242" t="str">
        <f>IF(ISERROR(VLOOKUP(Q24,審判員!$A:$C,3,FALSE))=TRUE,"",VLOOKUP(Q24,審判員!$A:$C,3,FALSE))</f>
        <v/>
      </c>
      <c r="T25" s="244" t="s">
        <v>243</v>
      </c>
      <c r="U25" s="245" t="str">
        <f>IF(ISERROR(VLOOKUP(CONCATENATE($U$10,"_",V25),選手名簿!$A:$E,5,FALSE))=TRUE,"",VLOOKUP(CONCATENATE($U$10,"_",V25),選手名簿!$A:$E,5,FALSE))</f>
        <v/>
      </c>
      <c r="V25" s="246"/>
      <c r="W25" s="246"/>
      <c r="X25" s="246"/>
      <c r="Y25" s="234"/>
      <c r="Z25" s="246"/>
      <c r="AA25" s="246"/>
      <c r="AB25" s="246"/>
      <c r="AC25" s="247" t="str">
        <f>IF(ISERROR(VLOOKUP(CONCATENATE($AC$10,"_",AB25),選手名簿!$A:$E,5,FALSE))=TRUE,"",VLOOKUP(CONCATENATE($AC$10,"_",AB25),選手名簿!$A:$E,5,FALSE))</f>
        <v/>
      </c>
    </row>
    <row r="26" spans="1:29" ht="20.25" customHeight="1" x14ac:dyDescent="0.15">
      <c r="A26" s="430" t="s">
        <v>342</v>
      </c>
      <c r="B26" s="792"/>
      <c r="C26" s="792"/>
      <c r="D26" s="792"/>
      <c r="E26" s="244" t="s">
        <v>243</v>
      </c>
      <c r="F26" s="245" t="str">
        <f>IF(ISERROR(VLOOKUP(CONCATENATE($F$10,"_",G26),選手名簿!$A:$E,5,FALSE))=TRUE,"",VLOOKUP(CONCATENATE($F$10,"_",G26),選手名簿!$A:$E,5,FALSE))</f>
        <v/>
      </c>
      <c r="G26" s="246"/>
      <c r="H26" s="246"/>
      <c r="I26" s="246"/>
      <c r="J26" s="234"/>
      <c r="K26" s="246"/>
      <c r="L26" s="246"/>
      <c r="M26" s="246"/>
      <c r="N26" s="247" t="str">
        <f>IF(ISERROR(VLOOKUP(CONCATENATE($N$10,"_",M26),選手名簿!$A:$E,5,FALSE))=TRUE,"",VLOOKUP(CONCATENATE($N$10,"_",M26),選手名簿!$A:$E,5,FALSE))</f>
        <v/>
      </c>
      <c r="P26" s="430" t="s">
        <v>342</v>
      </c>
      <c r="Q26" s="792"/>
      <c r="R26" s="792"/>
      <c r="S26" s="793"/>
      <c r="T26" s="244" t="s">
        <v>243</v>
      </c>
      <c r="U26" s="245" t="str">
        <f>IF(ISERROR(VLOOKUP(CONCATENATE($U$10,"_",V26),選手名簿!$A:$E,5,FALSE))=TRUE,"",VLOOKUP(CONCATENATE($U$10,"_",V26),選手名簿!$A:$E,5,FALSE))</f>
        <v/>
      </c>
      <c r="V26" s="246"/>
      <c r="W26" s="246"/>
      <c r="X26" s="246"/>
      <c r="Y26" s="234"/>
      <c r="Z26" s="246"/>
      <c r="AA26" s="246"/>
      <c r="AB26" s="246"/>
      <c r="AC26" s="247" t="str">
        <f>IF(ISERROR(VLOOKUP(CONCATENATE($AC$10,"_",AB26),選手名簿!$A:$E,5,FALSE))=TRUE,"",VLOOKUP(CONCATENATE($AC$10,"_",AB26),選手名簿!$A:$E,5,FALSE))</f>
        <v/>
      </c>
    </row>
    <row r="27" spans="1:29" ht="20.25" customHeight="1" x14ac:dyDescent="0.15">
      <c r="A27" s="430" t="s">
        <v>345</v>
      </c>
      <c r="B27" s="796" t="str">
        <f>IF(ISERROR(VLOOKUP(B26,審判員!$A:$C,2,FALSE))=TRUE,"",VLOOKUP(B26,審判員!$A:$C,2,FALSE))</f>
        <v/>
      </c>
      <c r="C27" s="797"/>
      <c r="D27" s="433" t="str">
        <f>IF(ISERROR(VLOOKUP(B26,審判員!$A:$C,3,FALSE))=TRUE,"",VLOOKUP(B26,審判員!$A:$C,3,FALSE))</f>
        <v/>
      </c>
      <c r="E27" s="244" t="s">
        <v>243</v>
      </c>
      <c r="F27" s="245" t="str">
        <f>IF(ISERROR(VLOOKUP(CONCATENATE($F$10,"_",G27),選手名簿!$A:$E,5,FALSE))=TRUE,"",VLOOKUP(CONCATENATE($F$10,"_",G27),選手名簿!$A:$E,5,FALSE))</f>
        <v/>
      </c>
      <c r="G27" s="246"/>
      <c r="H27" s="246"/>
      <c r="I27" s="246"/>
      <c r="J27" s="234"/>
      <c r="K27" s="246"/>
      <c r="L27" s="246"/>
      <c r="M27" s="246"/>
      <c r="N27" s="247" t="str">
        <f>IF(ISERROR(VLOOKUP(CONCATENATE($N$10,"_",M27),選手名簿!$A:$E,5,FALSE))=TRUE,"",VLOOKUP(CONCATENATE($N$10,"_",M27),選手名簿!$A:$E,5,FALSE))</f>
        <v/>
      </c>
      <c r="P27" s="430" t="s">
        <v>345</v>
      </c>
      <c r="Q27" s="796" t="str">
        <f>IF(ISERROR(VLOOKUP(Q26,審判員!$A:$C,2,FALSE))=TRUE,"",VLOOKUP(Q26,審判員!$A:$C,2,FALSE))</f>
        <v/>
      </c>
      <c r="R27" s="797"/>
      <c r="S27" s="430" t="str">
        <f>IF(ISERROR(VLOOKUP(Q26,審判員!$A:$C,3,FALSE))=TRUE,"",VLOOKUP(Q26,審判員!$A:$C,3,FALSE))</f>
        <v/>
      </c>
      <c r="T27" s="244" t="s">
        <v>243</v>
      </c>
      <c r="U27" s="245" t="str">
        <f>IF(ISERROR(VLOOKUP(CONCATENATE($U$10,"_",V27),選手名簿!$A:$E,5,FALSE))=TRUE,"",VLOOKUP(CONCATENATE($U$10,"_",V27),選手名簿!$A:$E,5,FALSE))</f>
        <v/>
      </c>
      <c r="V27" s="246"/>
      <c r="W27" s="246"/>
      <c r="X27" s="246"/>
      <c r="Y27" s="234"/>
      <c r="Z27" s="246"/>
      <c r="AA27" s="246"/>
      <c r="AB27" s="246"/>
      <c r="AC27" s="247" t="str">
        <f>IF(ISERROR(VLOOKUP(CONCATENATE($AC$10,"_",AB27),選手名簿!$A:$E,5,FALSE))=TRUE,"",VLOOKUP(CONCATENATE($AC$10,"_",AB27),選手名簿!$A:$E,5,FALSE))</f>
        <v/>
      </c>
    </row>
    <row r="28" spans="1:29" ht="20.25" customHeight="1" x14ac:dyDescent="0.15">
      <c r="A28" s="430" t="s">
        <v>342</v>
      </c>
      <c r="B28" s="792"/>
      <c r="C28" s="792"/>
      <c r="D28" s="792"/>
      <c r="E28" s="244" t="s">
        <v>243</v>
      </c>
      <c r="F28" s="245" t="str">
        <f>IF(ISERROR(VLOOKUP(CONCATENATE($F$10,"_",G28),選手名簿!$A:$E,5,FALSE))=TRUE,"",VLOOKUP(CONCATENATE($F$10,"_",G28),選手名簿!$A:$E,5,FALSE))</f>
        <v/>
      </c>
      <c r="G28" s="246"/>
      <c r="H28" s="246"/>
      <c r="I28" s="246"/>
      <c r="J28" s="234"/>
      <c r="K28" s="246"/>
      <c r="L28" s="246"/>
      <c r="M28" s="246"/>
      <c r="N28" s="247" t="str">
        <f>IF(ISERROR(VLOOKUP(CONCATENATE($N$10,"_",M28),選手名簿!$A:$E,5,FALSE))=TRUE,"",VLOOKUP(CONCATENATE($N$10,"_",M28),選手名簿!$A:$E,5,FALSE))</f>
        <v/>
      </c>
      <c r="P28" s="430" t="s">
        <v>342</v>
      </c>
      <c r="Q28" s="792"/>
      <c r="R28" s="792"/>
      <c r="S28" s="793"/>
      <c r="T28" s="244" t="s">
        <v>243</v>
      </c>
      <c r="U28" s="245" t="str">
        <f>IF(ISERROR(VLOOKUP(CONCATENATE($U$10,"_",V28),選手名簿!$A:$E,5,FALSE))=TRUE,"",VLOOKUP(CONCATENATE($U$10,"_",V28),選手名簿!$A:$E,5,FALSE))</f>
        <v/>
      </c>
      <c r="V28" s="246"/>
      <c r="W28" s="246"/>
      <c r="X28" s="246"/>
      <c r="Y28" s="234"/>
      <c r="Z28" s="246"/>
      <c r="AA28" s="246"/>
      <c r="AB28" s="246"/>
      <c r="AC28" s="247" t="str">
        <f>IF(ISERROR(VLOOKUP(CONCATENATE($AC$10,"_",AB28),選手名簿!$A:$E,5,FALSE))=TRUE,"",VLOOKUP(CONCATENATE($AC$10,"_",AB28),選手名簿!$A:$E,5,FALSE))</f>
        <v/>
      </c>
    </row>
    <row r="29" spans="1:29" ht="20.25" customHeight="1" x14ac:dyDescent="0.15">
      <c r="A29" s="430" t="s">
        <v>346</v>
      </c>
      <c r="B29" s="796" t="str">
        <f>IF(ISERROR(VLOOKUP(B28,審判員!$A:$C,2,FALSE))=TRUE,"",VLOOKUP(B28,審判員!$A:$C,2,FALSE))</f>
        <v/>
      </c>
      <c r="C29" s="797"/>
      <c r="D29" s="433" t="str">
        <f>IF(ISERROR(VLOOKUP(B28,審判員!$A:$C,3,FALSE))=TRUE,"",VLOOKUP(B28,審判員!$A:$C,3,FALSE))</f>
        <v/>
      </c>
      <c r="E29" s="244" t="s">
        <v>243</v>
      </c>
      <c r="F29" s="245" t="str">
        <f>IF(ISERROR(VLOOKUP(CONCATENATE($F$10,"_",G29),選手名簿!$A:$E,5,FALSE))=TRUE,"",VLOOKUP(CONCATENATE($F$10,"_",G29),選手名簿!$A:$E,5,FALSE))</f>
        <v/>
      </c>
      <c r="G29" s="246"/>
      <c r="H29" s="246"/>
      <c r="I29" s="246"/>
      <c r="J29" s="234"/>
      <c r="K29" s="246"/>
      <c r="L29" s="246"/>
      <c r="M29" s="246"/>
      <c r="N29" s="247" t="str">
        <f>IF(ISERROR(VLOOKUP(CONCATENATE($N$10,"_",M29),選手名簿!$A:$E,5,FALSE))=TRUE,"",VLOOKUP(CONCATENATE($N$10,"_",M29),選手名簿!$A:$E,5,FALSE))</f>
        <v/>
      </c>
      <c r="P29" s="430" t="s">
        <v>346</v>
      </c>
      <c r="Q29" s="796" t="str">
        <f>IF(ISERROR(VLOOKUP(Q28,審判員!$A:$C,2,FALSE))=TRUE,"",VLOOKUP(Q28,審判員!$A:$C,2,FALSE))</f>
        <v/>
      </c>
      <c r="R29" s="797"/>
      <c r="S29" s="430" t="str">
        <f>IF(ISERROR(VLOOKUP(Q28,審判員!$A:$C,3,FALSE))=TRUE,"",VLOOKUP(Q28,審判員!$A:$C,3,FALSE))</f>
        <v/>
      </c>
      <c r="T29" s="244" t="s">
        <v>243</v>
      </c>
      <c r="U29" s="245" t="str">
        <f>IF(ISERROR(VLOOKUP(CONCATENATE($U$10,"_",V29),選手名簿!$A:$E,5,FALSE))=TRUE,"",VLOOKUP(CONCATENATE($U$10,"_",V29),選手名簿!$A:$E,5,FALSE))</f>
        <v/>
      </c>
      <c r="V29" s="246"/>
      <c r="W29" s="246"/>
      <c r="X29" s="246"/>
      <c r="Y29" s="234"/>
      <c r="Z29" s="246"/>
      <c r="AA29" s="246"/>
      <c r="AB29" s="246"/>
      <c r="AC29" s="247" t="str">
        <f>IF(ISERROR(VLOOKUP(CONCATENATE($AC$10,"_",AB29),選手名簿!$A:$E,5,FALSE))=TRUE,"",VLOOKUP(CONCATENATE($AC$10,"_",AB29),選手名簿!$A:$E,5,FALSE))</f>
        <v/>
      </c>
    </row>
    <row r="30" spans="1:29" ht="20.25" customHeight="1" x14ac:dyDescent="0.15">
      <c r="A30" s="241" t="s">
        <v>342</v>
      </c>
      <c r="B30" s="789"/>
      <c r="C30" s="789"/>
      <c r="D30" s="789"/>
      <c r="E30" s="244" t="s">
        <v>243</v>
      </c>
      <c r="F30" s="245" t="str">
        <f>IF(ISERROR(VLOOKUP(CONCATENATE($F$10,"_",G30),選手名簿!$A:$E,5,FALSE))=TRUE,"",VLOOKUP(CONCATENATE($F$10,"_",G30),選手名簿!$A:$E,5,FALSE))</f>
        <v/>
      </c>
      <c r="G30" s="246"/>
      <c r="H30" s="246"/>
      <c r="I30" s="246"/>
      <c r="J30" s="234"/>
      <c r="K30" s="246"/>
      <c r="L30" s="246"/>
      <c r="M30" s="246"/>
      <c r="N30" s="247" t="str">
        <f>IF(ISERROR(VLOOKUP(CONCATENATE($N$10,"_",M30),選手名簿!$A:$E,5,FALSE))=TRUE,"",VLOOKUP(CONCATENATE($N$10,"_",M30),選手名簿!$A:$E,5,FALSE))</f>
        <v/>
      </c>
      <c r="P30" s="241" t="s">
        <v>342</v>
      </c>
      <c r="Q30" s="786"/>
      <c r="R30" s="786"/>
      <c r="S30" s="786"/>
      <c r="T30" s="244" t="s">
        <v>243</v>
      </c>
      <c r="U30" s="245" t="str">
        <f>IF(ISERROR(VLOOKUP(CONCATENATE($U$10,"_",V30),選手名簿!$A:$E,5,FALSE))=TRUE,"",VLOOKUP(CONCATENATE($U$10,"_",V30),選手名簿!$A:$E,5,FALSE))</f>
        <v/>
      </c>
      <c r="V30" s="246"/>
      <c r="W30" s="246"/>
      <c r="X30" s="246"/>
      <c r="Y30" s="234"/>
      <c r="Z30" s="246"/>
      <c r="AA30" s="246"/>
      <c r="AB30" s="246"/>
      <c r="AC30" s="247" t="str">
        <f>IF(ISERROR(VLOOKUP(CONCATENATE($AC$10,"_",AB30),選手名簿!$A:$E,5,FALSE))=TRUE,"",VLOOKUP(CONCATENATE($AC$10,"_",AB30),選手名簿!$A:$E,5,FALSE))</f>
        <v/>
      </c>
    </row>
    <row r="31" spans="1:29" ht="20.25" customHeight="1" x14ac:dyDescent="0.15">
      <c r="A31" s="242" t="s">
        <v>347</v>
      </c>
      <c r="B31" s="790" t="str">
        <f>IF(ISERROR(VLOOKUP(B30,審判員!$A:$C,2,FALSE))=TRUE,"",VLOOKUP(B30,審判員!$A:$C,2,FALSE))</f>
        <v/>
      </c>
      <c r="C31" s="791"/>
      <c r="D31" s="243" t="str">
        <f>IF(ISERROR(VLOOKUP(B30,審判員!$A:$C,3,FALSE))=TRUE,"",VLOOKUP(B30,審判員!$A:$C,3,FALSE))</f>
        <v/>
      </c>
      <c r="E31" s="248" t="s">
        <v>243</v>
      </c>
      <c r="F31" s="249" t="str">
        <f>IF(ISERROR(VLOOKUP(CONCATENATE($F$10,"_",G31),選手名簿!$A:$E,5,FALSE))=TRUE,"",VLOOKUP(CONCATENATE($F$10,"_",G31),選手名簿!$A:$E,5,FALSE))</f>
        <v/>
      </c>
      <c r="G31" s="250"/>
      <c r="H31" s="250"/>
      <c r="I31" s="250"/>
      <c r="J31" s="239"/>
      <c r="K31" s="250"/>
      <c r="L31" s="250"/>
      <c r="M31" s="250"/>
      <c r="N31" s="251" t="str">
        <f>IF(ISERROR(VLOOKUP(CONCATENATE($N$10,"_",M31),選手名簿!$A:$E,5,FALSE))=TRUE,"",VLOOKUP(CONCATENATE($N$10,"_",M31),選手名簿!$A:$E,5,FALSE))</f>
        <v/>
      </c>
      <c r="P31" s="242" t="s">
        <v>347</v>
      </c>
      <c r="Q31" s="790" t="str">
        <f>IF(ISERROR(VLOOKUP(Q30,審判員!$A:$C,2,FALSE))=TRUE,"",VLOOKUP(Q30,審判員!$A:$C,2,FALSE))</f>
        <v/>
      </c>
      <c r="R31" s="791"/>
      <c r="S31" s="242" t="str">
        <f>IF(ISERROR(VLOOKUP(Q30,審判員!$A:$C,3,FALSE))=TRUE,"",VLOOKUP(Q30,審判員!$A:$C,3,FALSE))</f>
        <v/>
      </c>
      <c r="T31" s="248" t="s">
        <v>243</v>
      </c>
      <c r="U31" s="249" t="str">
        <f>IF(ISERROR(VLOOKUP(CONCATENATE($U$10,"_",V31),選手名簿!$A:$E,5,FALSE))=TRUE,"",VLOOKUP(CONCATENATE($U$10,"_",V31),選手名簿!$A:$E,5,FALSE))</f>
        <v/>
      </c>
      <c r="V31" s="250"/>
      <c r="W31" s="250"/>
      <c r="X31" s="250"/>
      <c r="Y31" s="239"/>
      <c r="Z31" s="250"/>
      <c r="AA31" s="250"/>
      <c r="AB31" s="250"/>
      <c r="AC31" s="251" t="str">
        <f>IF(ISERROR(VLOOKUP(CONCATENATE($AC$10,"_",AB31),選手名簿!$A:$E,5,FALSE))=TRUE,"",VLOOKUP(CONCATENATE($AC$10,"_",AB31),選手名簿!$A:$E,5,FALSE))</f>
        <v/>
      </c>
    </row>
    <row r="32" spans="1:29" ht="9.9499999999999993" customHeight="1" x14ac:dyDescent="0.15">
      <c r="E32" s="252"/>
      <c r="T32" s="252"/>
    </row>
    <row r="33" spans="1:29" ht="9.9499999999999993" customHeight="1" x14ac:dyDescent="0.15">
      <c r="E33" s="252"/>
      <c r="T33" s="252"/>
    </row>
    <row r="34" spans="1:29" ht="9.9499999999999993" customHeight="1" x14ac:dyDescent="0.15"/>
    <row r="35" spans="1:29" ht="9.9499999999999993" customHeight="1" x14ac:dyDescent="0.15"/>
    <row r="36" spans="1:29" ht="9.9499999999999993" customHeight="1" x14ac:dyDescent="0.15"/>
    <row r="37" spans="1:29" ht="9.9499999999999993" customHeight="1" x14ac:dyDescent="0.15"/>
    <row r="38" spans="1:29" ht="9.9499999999999993" customHeight="1" x14ac:dyDescent="0.15">
      <c r="E38" s="252"/>
      <c r="T38" s="252"/>
    </row>
    <row r="39" spans="1:29" ht="27.4" customHeight="1" x14ac:dyDescent="0.15">
      <c r="A39" s="223" t="s">
        <v>334</v>
      </c>
      <c r="B39" s="768"/>
      <c r="C39" s="769"/>
      <c r="D39" s="770"/>
      <c r="E39" s="771">
        <f>予選リーグ!B23</f>
        <v>0.50694444444444442</v>
      </c>
      <c r="F39" s="774" t="str">
        <f>F6</f>
        <v>日出サッカースポーツ少年団</v>
      </c>
      <c r="G39" s="777" t="str">
        <f>IF(I39="","",SUM(I39:I40))</f>
        <v/>
      </c>
      <c r="H39" s="780" t="s">
        <v>123</v>
      </c>
      <c r="I39" s="224"/>
      <c r="J39" s="224" t="s">
        <v>335</v>
      </c>
      <c r="K39" s="224"/>
      <c r="L39" s="780" t="s">
        <v>336</v>
      </c>
      <c r="M39" s="777" t="str">
        <f>IF(K39="","",SUM(K39:K40))</f>
        <v/>
      </c>
      <c r="N39" s="783" t="str">
        <f>F7</f>
        <v>国東ジュニアサッカークラブ</v>
      </c>
      <c r="P39" s="223" t="s">
        <v>334</v>
      </c>
      <c r="Q39" s="768"/>
      <c r="R39" s="769"/>
      <c r="S39" s="770"/>
      <c r="T39" s="771">
        <f>予選リーグ!B27</f>
        <v>0.54166666666666663</v>
      </c>
      <c r="U39" s="774" t="str">
        <f>U6</f>
        <v>ＦＣ大野</v>
      </c>
      <c r="V39" s="777" t="str">
        <f>IF(X39="","",SUM(X39:X40))</f>
        <v/>
      </c>
      <c r="W39" s="780" t="s">
        <v>123</v>
      </c>
      <c r="X39" s="224"/>
      <c r="Y39" s="224" t="s">
        <v>335</v>
      </c>
      <c r="Z39" s="224"/>
      <c r="AA39" s="780" t="s">
        <v>336</v>
      </c>
      <c r="AB39" s="777" t="str">
        <f>IF(Z39="","",SUM(Z39:Z40))</f>
        <v/>
      </c>
      <c r="AC39" s="783" t="str">
        <f>U7</f>
        <v>野津ＦＣ</v>
      </c>
    </row>
    <row r="40" spans="1:29" ht="27.4" customHeight="1" x14ac:dyDescent="0.15">
      <c r="A40" s="225" t="s">
        <v>337</v>
      </c>
      <c r="B40" s="786" t="s">
        <v>313</v>
      </c>
      <c r="C40" s="786"/>
      <c r="D40" s="768"/>
      <c r="E40" s="772"/>
      <c r="F40" s="775"/>
      <c r="G40" s="778"/>
      <c r="H40" s="781"/>
      <c r="J40" s="214" t="s">
        <v>338</v>
      </c>
      <c r="L40" s="781"/>
      <c r="M40" s="778"/>
      <c r="N40" s="784"/>
      <c r="P40" s="225" t="s">
        <v>337</v>
      </c>
      <c r="Q40" s="786" t="s">
        <v>313</v>
      </c>
      <c r="R40" s="786"/>
      <c r="S40" s="768"/>
      <c r="T40" s="772"/>
      <c r="U40" s="775"/>
      <c r="V40" s="778"/>
      <c r="W40" s="781"/>
      <c r="Y40" s="214" t="s">
        <v>338</v>
      </c>
      <c r="AA40" s="781"/>
      <c r="AB40" s="778"/>
      <c r="AC40" s="784"/>
    </row>
    <row r="41" spans="1:29" ht="27.4" customHeight="1" x14ac:dyDescent="0.15">
      <c r="A41" s="225" t="s">
        <v>339</v>
      </c>
      <c r="B41" s="786"/>
      <c r="C41" s="786"/>
      <c r="D41" s="768"/>
      <c r="E41" s="773"/>
      <c r="F41" s="776"/>
      <c r="G41" s="779"/>
      <c r="H41" s="782"/>
      <c r="I41" s="226"/>
      <c r="J41" s="226" t="s">
        <v>340</v>
      </c>
      <c r="K41" s="226"/>
      <c r="L41" s="782"/>
      <c r="M41" s="779"/>
      <c r="N41" s="785"/>
      <c r="P41" s="225" t="s">
        <v>339</v>
      </c>
      <c r="Q41" s="786"/>
      <c r="R41" s="786"/>
      <c r="S41" s="768"/>
      <c r="T41" s="773"/>
      <c r="U41" s="776"/>
      <c r="V41" s="779"/>
      <c r="W41" s="782"/>
      <c r="X41" s="226"/>
      <c r="Y41" s="226" t="s">
        <v>340</v>
      </c>
      <c r="Z41" s="226"/>
      <c r="AA41" s="782"/>
      <c r="AB41" s="779"/>
      <c r="AC41" s="785"/>
    </row>
    <row r="42" spans="1:29" ht="20.25" customHeight="1" x14ac:dyDescent="0.15">
      <c r="A42" s="787" t="s">
        <v>341</v>
      </c>
      <c r="B42" s="787"/>
      <c r="C42" s="787"/>
      <c r="D42" s="788"/>
      <c r="E42" s="227"/>
      <c r="F42" s="228" t="s">
        <v>242</v>
      </c>
      <c r="G42" s="228" t="s">
        <v>342</v>
      </c>
      <c r="H42" s="228" t="s">
        <v>317</v>
      </c>
      <c r="I42" s="228"/>
      <c r="J42" s="229"/>
      <c r="K42" s="228"/>
      <c r="L42" s="228" t="s">
        <v>317</v>
      </c>
      <c r="M42" s="228" t="s">
        <v>342</v>
      </c>
      <c r="N42" s="230" t="s">
        <v>242</v>
      </c>
      <c r="P42" s="787" t="s">
        <v>341</v>
      </c>
      <c r="Q42" s="787"/>
      <c r="R42" s="787"/>
      <c r="S42" s="788"/>
      <c r="T42" s="227"/>
      <c r="U42" s="228" t="s">
        <v>242</v>
      </c>
      <c r="V42" s="228" t="s">
        <v>342</v>
      </c>
      <c r="W42" s="228" t="s">
        <v>317</v>
      </c>
      <c r="X42" s="228"/>
      <c r="Y42" s="229"/>
      <c r="Z42" s="228"/>
      <c r="AA42" s="228" t="s">
        <v>317</v>
      </c>
      <c r="AB42" s="228" t="s">
        <v>342</v>
      </c>
      <c r="AC42" s="230" t="s">
        <v>242</v>
      </c>
    </row>
    <row r="43" spans="1:29" ht="20.25" hidden="1" customHeight="1" x14ac:dyDescent="0.15">
      <c r="E43" s="231" t="s">
        <v>343</v>
      </c>
      <c r="F43" s="232" t="str">
        <f>IF(ISERROR(VLOOKUP(CONCATENATE($F$39,"_",G43),選手名簿!$A:$E,5,FALSE))=TRUE,"",VLOOKUP(CONCATENATE($F$39,"_",G43),選手名簿!$A:$E,5,FALSE))</f>
        <v/>
      </c>
      <c r="G43" s="233"/>
      <c r="H43" s="233"/>
      <c r="I43" s="233"/>
      <c r="J43" s="234"/>
      <c r="K43" s="233"/>
      <c r="L43" s="233"/>
      <c r="M43" s="233"/>
      <c r="N43" s="235" t="str">
        <f>IF(ISERROR(VLOOKUP(CONCATENATE($N$39,"_",M43),選手名簿!$A:$E,5,FALSE))=TRUE,"",VLOOKUP(CONCATENATE($N$39,"_",M43),選手名簿!$A:$E,5,FALSE))</f>
        <v/>
      </c>
      <c r="T43" s="231" t="s">
        <v>343</v>
      </c>
      <c r="U43" s="232" t="str">
        <f>IF(ISERROR(VLOOKUP(CONCATENATE($U$39,"_",V43),選手名簿!$A:$E,5,FALSE))=TRUE,"",VLOOKUP(CONCATENATE($U$39,"_",V43),選手名簿!$A:$E,5,FALSE))</f>
        <v/>
      </c>
      <c r="V43" s="233"/>
      <c r="W43" s="233"/>
      <c r="X43" s="233"/>
      <c r="Y43" s="234"/>
      <c r="Z43" s="233"/>
      <c r="AA43" s="233"/>
      <c r="AB43" s="233"/>
      <c r="AC43" s="235" t="str">
        <f>IF(ISERROR(VLOOKUP(CONCATENATE($AC$39,"_",AB43),選手名簿!$A:$E,5,FALSE))=TRUE,"",VLOOKUP(CONCATENATE($AC$39,"_",AB43),選手名簿!$A:$E,5,FALSE))</f>
        <v/>
      </c>
    </row>
    <row r="44" spans="1:29" ht="20.25" hidden="1" customHeight="1" x14ac:dyDescent="0.15">
      <c r="E44" s="231" t="s">
        <v>343</v>
      </c>
      <c r="F44" s="232" t="str">
        <f>IF(ISERROR(VLOOKUP(CONCATENATE($F$39,"_",G44),選手名簿!$A:$E,5,FALSE))=TRUE,"",VLOOKUP(CONCATENATE($F$39,"_",G44),選手名簿!$A:$E,5,FALSE))</f>
        <v/>
      </c>
      <c r="G44" s="233"/>
      <c r="H44" s="233"/>
      <c r="I44" s="233"/>
      <c r="J44" s="234"/>
      <c r="K44" s="233"/>
      <c r="L44" s="233"/>
      <c r="M44" s="233"/>
      <c r="N44" s="235" t="str">
        <f>IF(ISERROR(VLOOKUP(CONCATENATE($N$39,"_",M44),選手名簿!$A:$E,5,FALSE))=TRUE,"",VLOOKUP(CONCATENATE($N$39,"_",M44),選手名簿!$A:$E,5,FALSE))</f>
        <v/>
      </c>
      <c r="T44" s="231" t="s">
        <v>343</v>
      </c>
      <c r="U44" s="232" t="str">
        <f>IF(ISERROR(VLOOKUP(CONCATENATE($U$39,"_",V44),選手名簿!$A:$E,5,FALSE))=TRUE,"",VLOOKUP(CONCATENATE($U$39,"_",V44),選手名簿!$A:$E,5,FALSE))</f>
        <v/>
      </c>
      <c r="V44" s="233"/>
      <c r="W44" s="233"/>
      <c r="X44" s="233"/>
      <c r="Y44" s="234"/>
      <c r="Z44" s="233"/>
      <c r="AA44" s="233"/>
      <c r="AB44" s="233"/>
      <c r="AC44" s="235" t="str">
        <f>IF(ISERROR(VLOOKUP(CONCATENATE($AC$39,"_",AB44),選手名簿!$A:$E,5,FALSE))=TRUE,"",VLOOKUP(CONCATENATE($AC$39,"_",AB44),選手名簿!$A:$E,5,FALSE))</f>
        <v/>
      </c>
    </row>
    <row r="45" spans="1:29" ht="20.25" hidden="1" customHeight="1" x14ac:dyDescent="0.15">
      <c r="E45" s="231" t="s">
        <v>343</v>
      </c>
      <c r="F45" s="232" t="str">
        <f>IF(ISERROR(VLOOKUP(CONCATENATE($F$39,"_",G45),選手名簿!$A:$E,5,FALSE))=TRUE,"",VLOOKUP(CONCATENATE($F$39,"_",G45),選手名簿!$A:$E,5,FALSE))</f>
        <v/>
      </c>
      <c r="G45" s="233"/>
      <c r="H45" s="233"/>
      <c r="I45" s="233"/>
      <c r="J45" s="234"/>
      <c r="K45" s="233"/>
      <c r="L45" s="233"/>
      <c r="M45" s="233"/>
      <c r="N45" s="235" t="str">
        <f>IF(ISERROR(VLOOKUP(CONCATENATE($N$39,"_",M45),選手名簿!$A:$E,5,FALSE))=TRUE,"",VLOOKUP(CONCATENATE($N$39,"_",M45),選手名簿!$A:$E,5,FALSE))</f>
        <v/>
      </c>
      <c r="T45" s="231" t="s">
        <v>343</v>
      </c>
      <c r="U45" s="232" t="str">
        <f>IF(ISERROR(VLOOKUP(CONCATENATE($U$39,"_",V45),選手名簿!$A:$E,5,FALSE))=TRUE,"",VLOOKUP(CONCATENATE($U$39,"_",V45),選手名簿!$A:$E,5,FALSE))</f>
        <v/>
      </c>
      <c r="V45" s="233"/>
      <c r="W45" s="233"/>
      <c r="X45" s="233"/>
      <c r="Y45" s="234"/>
      <c r="Z45" s="233"/>
      <c r="AA45" s="233"/>
      <c r="AB45" s="233"/>
      <c r="AC45" s="235" t="str">
        <f>IF(ISERROR(VLOOKUP(CONCATENATE($AC$39,"_",AB45),選手名簿!$A:$E,5,FALSE))=TRUE,"",VLOOKUP(CONCATENATE($AC$39,"_",AB45),選手名簿!$A:$E,5,FALSE))</f>
        <v/>
      </c>
    </row>
    <row r="46" spans="1:29" ht="20.25" hidden="1" customHeight="1" x14ac:dyDescent="0.15">
      <c r="E46" s="231" t="s">
        <v>343</v>
      </c>
      <c r="F46" s="232" t="str">
        <f>IF(ISERROR(VLOOKUP(CONCATENATE($F$39,"_",G46),選手名簿!$A:$E,5,FALSE))=TRUE,"",VLOOKUP(CONCATENATE($F$39,"_",G46),選手名簿!$A:$E,5,FALSE))</f>
        <v/>
      </c>
      <c r="G46" s="233"/>
      <c r="H46" s="233"/>
      <c r="I46" s="233"/>
      <c r="J46" s="234"/>
      <c r="K46" s="233"/>
      <c r="L46" s="233"/>
      <c r="M46" s="233"/>
      <c r="N46" s="235" t="str">
        <f>IF(ISERROR(VLOOKUP(CONCATENATE($N$39,"_",M46),選手名簿!$A:$E,5,FALSE))=TRUE,"",VLOOKUP(CONCATENATE($N$39,"_",M46),選手名簿!$A:$E,5,FALSE))</f>
        <v/>
      </c>
      <c r="T46" s="231" t="s">
        <v>343</v>
      </c>
      <c r="U46" s="232" t="str">
        <f>IF(ISERROR(VLOOKUP(CONCATENATE($U$39,"_",V46),選手名簿!$A:$E,5,FALSE))=TRUE,"",VLOOKUP(CONCATENATE($U$39,"_",V46),選手名簿!$A:$E,5,FALSE))</f>
        <v/>
      </c>
      <c r="V46" s="233"/>
      <c r="W46" s="233"/>
      <c r="X46" s="233"/>
      <c r="Y46" s="234"/>
      <c r="Z46" s="233"/>
      <c r="AA46" s="233"/>
      <c r="AB46" s="233"/>
      <c r="AC46" s="235" t="str">
        <f>IF(ISERROR(VLOOKUP(CONCATENATE($AC$39,"_",AB46),選手名簿!$A:$E,5,FALSE))=TRUE,"",VLOOKUP(CONCATENATE($AC$39,"_",AB46),選手名簿!$A:$E,5,FALSE))</f>
        <v/>
      </c>
    </row>
    <row r="47" spans="1:29" ht="20.25" hidden="1" customHeight="1" x14ac:dyDescent="0.15">
      <c r="E47" s="231" t="s">
        <v>343</v>
      </c>
      <c r="F47" s="232" t="str">
        <f>IF(ISERROR(VLOOKUP(CONCATENATE($F$39,"_",G47),選手名簿!$A:$E,5,FALSE))=TRUE,"",VLOOKUP(CONCATENATE($F$39,"_",G47),選手名簿!$A:$E,5,FALSE))</f>
        <v/>
      </c>
      <c r="G47" s="233"/>
      <c r="H47" s="233"/>
      <c r="I47" s="233"/>
      <c r="J47" s="234"/>
      <c r="K47" s="233"/>
      <c r="L47" s="233"/>
      <c r="M47" s="233"/>
      <c r="N47" s="235" t="str">
        <f>IF(ISERROR(VLOOKUP(CONCATENATE($N$39,"_",M47),選手名簿!$A:$E,5,FALSE))=TRUE,"",VLOOKUP(CONCATENATE($N$39,"_",M47),選手名簿!$A:$E,5,FALSE))</f>
        <v/>
      </c>
      <c r="T47" s="231" t="s">
        <v>343</v>
      </c>
      <c r="U47" s="232" t="str">
        <f>IF(ISERROR(VLOOKUP(CONCATENATE($U$39,"_",V47),選手名簿!$A:$E,5,FALSE))=TRUE,"",VLOOKUP(CONCATENATE($U$39,"_",V47),選手名簿!$A:$E,5,FALSE))</f>
        <v/>
      </c>
      <c r="V47" s="233"/>
      <c r="W47" s="233"/>
      <c r="X47" s="233"/>
      <c r="Y47" s="234"/>
      <c r="Z47" s="233"/>
      <c r="AA47" s="233"/>
      <c r="AB47" s="233"/>
      <c r="AC47" s="235" t="str">
        <f>IF(ISERROR(VLOOKUP(CONCATENATE($AC$39,"_",AB47),選手名簿!$A:$E,5,FALSE))=TRUE,"",VLOOKUP(CONCATENATE($AC$39,"_",AB47),選手名簿!$A:$E,5,FALSE))</f>
        <v/>
      </c>
    </row>
    <row r="48" spans="1:29" ht="20.25" hidden="1" customHeight="1" x14ac:dyDescent="0.15">
      <c r="E48" s="231" t="s">
        <v>343</v>
      </c>
      <c r="F48" s="232" t="str">
        <f>IF(ISERROR(VLOOKUP(CONCATENATE($F$39,"_",G48),選手名簿!$A:$E,5,FALSE))=TRUE,"",VLOOKUP(CONCATENATE($F$39,"_",G48),選手名簿!$A:$E,5,FALSE))</f>
        <v/>
      </c>
      <c r="G48" s="233"/>
      <c r="H48" s="233"/>
      <c r="I48" s="233"/>
      <c r="J48" s="234"/>
      <c r="K48" s="233"/>
      <c r="L48" s="233"/>
      <c r="M48" s="233"/>
      <c r="N48" s="235" t="str">
        <f>IF(ISERROR(VLOOKUP(CONCATENATE($N$39,"_",M48),選手名簿!$A:$E,5,FALSE))=TRUE,"",VLOOKUP(CONCATENATE($N$39,"_",M48),選手名簿!$A:$E,5,FALSE))</f>
        <v/>
      </c>
      <c r="T48" s="231" t="s">
        <v>343</v>
      </c>
      <c r="U48" s="232" t="str">
        <f>IF(ISERROR(VLOOKUP(CONCATENATE($U$39,"_",V48),選手名簿!$A:$E,5,FALSE))=TRUE,"",VLOOKUP(CONCATENATE($U$39,"_",V48),選手名簿!$A:$E,5,FALSE))</f>
        <v/>
      </c>
      <c r="V48" s="233"/>
      <c r="W48" s="233"/>
      <c r="X48" s="233"/>
      <c r="Y48" s="234"/>
      <c r="Z48" s="233"/>
      <c r="AA48" s="233"/>
      <c r="AB48" s="233"/>
      <c r="AC48" s="235" t="str">
        <f>IF(ISERROR(VLOOKUP(CONCATENATE($AC$39,"_",AB48),選手名簿!$A:$E,5,FALSE))=TRUE,"",VLOOKUP(CONCATENATE($AC$39,"_",AB48),選手名簿!$A:$E,5,FALSE))</f>
        <v/>
      </c>
    </row>
    <row r="49" spans="1:29" ht="20.25" hidden="1" customHeight="1" x14ac:dyDescent="0.15">
      <c r="E49" s="231" t="s">
        <v>343</v>
      </c>
      <c r="F49" s="232" t="str">
        <f>IF(ISERROR(VLOOKUP(CONCATENATE($F$39,"_",G49),選手名簿!$A:$E,5,FALSE))=TRUE,"",VLOOKUP(CONCATENATE($F$39,"_",G49),選手名簿!$A:$E,5,FALSE))</f>
        <v/>
      </c>
      <c r="G49" s="233"/>
      <c r="H49" s="233"/>
      <c r="I49" s="233"/>
      <c r="J49" s="234"/>
      <c r="K49" s="233"/>
      <c r="L49" s="233"/>
      <c r="M49" s="233"/>
      <c r="N49" s="235" t="str">
        <f>IF(ISERROR(VLOOKUP(CONCATENATE($N$39,"_",M49),選手名簿!$A:$E,5,FALSE))=TRUE,"",VLOOKUP(CONCATENATE($N$39,"_",M49),選手名簿!$A:$E,5,FALSE))</f>
        <v/>
      </c>
      <c r="T49" s="231" t="s">
        <v>343</v>
      </c>
      <c r="U49" s="232" t="str">
        <f>IF(ISERROR(VLOOKUP(CONCATENATE($U$39,"_",V49),選手名簿!$A:$E,5,FALSE))=TRUE,"",VLOOKUP(CONCATENATE($U$39,"_",V49),選手名簿!$A:$E,5,FALSE))</f>
        <v/>
      </c>
      <c r="V49" s="233"/>
      <c r="W49" s="233"/>
      <c r="X49" s="233"/>
      <c r="Y49" s="234"/>
      <c r="Z49" s="233"/>
      <c r="AA49" s="233"/>
      <c r="AB49" s="233"/>
      <c r="AC49" s="235" t="str">
        <f>IF(ISERROR(VLOOKUP(CONCATENATE($AC$39,"_",AB49),選手名簿!$A:$E,5,FALSE))=TRUE,"",VLOOKUP(CONCATENATE($AC$39,"_",AB49),選手名簿!$A:$E,5,FALSE))</f>
        <v/>
      </c>
    </row>
    <row r="50" spans="1:29" ht="20.25" hidden="1" customHeight="1" x14ac:dyDescent="0.15">
      <c r="E50" s="231" t="s">
        <v>343</v>
      </c>
      <c r="F50" s="232" t="str">
        <f>IF(ISERROR(VLOOKUP(CONCATENATE($F$39,"_",G50),選手名簿!$A:$E,5,FALSE))=TRUE,"",VLOOKUP(CONCATENATE($F$39,"_",G50),選手名簿!$A:$E,5,FALSE))</f>
        <v/>
      </c>
      <c r="G50" s="233"/>
      <c r="H50" s="233"/>
      <c r="I50" s="233"/>
      <c r="J50" s="234"/>
      <c r="K50" s="233"/>
      <c r="L50" s="233"/>
      <c r="M50" s="233"/>
      <c r="N50" s="235" t="str">
        <f>IF(ISERROR(VLOOKUP(CONCATENATE($N$39,"_",M50),選手名簿!$A:$E,5,FALSE))=TRUE,"",VLOOKUP(CONCATENATE($N$39,"_",M50),選手名簿!$A:$E,5,FALSE))</f>
        <v/>
      </c>
      <c r="T50" s="231" t="s">
        <v>343</v>
      </c>
      <c r="U50" s="232" t="str">
        <f>IF(ISERROR(VLOOKUP(CONCATENATE($U$39,"_",V50),選手名簿!$A:$E,5,FALSE))=TRUE,"",VLOOKUP(CONCATENATE($U$39,"_",V50),選手名簿!$A:$E,5,FALSE))</f>
        <v/>
      </c>
      <c r="V50" s="233"/>
      <c r="W50" s="233"/>
      <c r="X50" s="233"/>
      <c r="Y50" s="234"/>
      <c r="Z50" s="233"/>
      <c r="AA50" s="233"/>
      <c r="AB50" s="233"/>
      <c r="AC50" s="235" t="str">
        <f>IF(ISERROR(VLOOKUP(CONCATENATE($AC$39,"_",AB50),選手名簿!$A:$E,5,FALSE))=TRUE,"",VLOOKUP(CONCATENATE($AC$39,"_",AB50),選手名簿!$A:$E,5,FALSE))</f>
        <v/>
      </c>
    </row>
    <row r="51" spans="1:29" ht="20.25" hidden="1" customHeight="1" x14ac:dyDescent="0.15">
      <c r="E51" s="231" t="s">
        <v>343</v>
      </c>
      <c r="F51" s="232" t="str">
        <f>IF(ISERROR(VLOOKUP(CONCATENATE($F$39,"_",G51),選手名簿!$A:$E,5,FALSE))=TRUE,"",VLOOKUP(CONCATENATE($F$39,"_",G51),選手名簿!$A:$E,5,FALSE))</f>
        <v/>
      </c>
      <c r="G51" s="233"/>
      <c r="H51" s="233"/>
      <c r="I51" s="233"/>
      <c r="J51" s="234"/>
      <c r="K51" s="233"/>
      <c r="L51" s="233"/>
      <c r="M51" s="233"/>
      <c r="N51" s="235" t="str">
        <f>IF(ISERROR(VLOOKUP(CONCATENATE($N$39,"_",M51),選手名簿!$A:$E,5,FALSE))=TRUE,"",VLOOKUP(CONCATENATE($N$39,"_",M51),選手名簿!$A:$E,5,FALSE))</f>
        <v/>
      </c>
      <c r="T51" s="231" t="s">
        <v>343</v>
      </c>
      <c r="U51" s="232" t="str">
        <f>IF(ISERROR(VLOOKUP(CONCATENATE($U$39,"_",V51),選手名簿!$A:$E,5,FALSE))=TRUE,"",VLOOKUP(CONCATENATE($U$39,"_",V51),選手名簿!$A:$E,5,FALSE))</f>
        <v/>
      </c>
      <c r="V51" s="233"/>
      <c r="W51" s="233"/>
      <c r="X51" s="233"/>
      <c r="Y51" s="234"/>
      <c r="Z51" s="233"/>
      <c r="AA51" s="233"/>
      <c r="AB51" s="233"/>
      <c r="AC51" s="235" t="str">
        <f>IF(ISERROR(VLOOKUP(CONCATENATE($AC$39,"_",AB51),選手名簿!$A:$E,5,FALSE))=TRUE,"",VLOOKUP(CONCATENATE($AC$39,"_",AB51),選手名簿!$A:$E,5,FALSE))</f>
        <v/>
      </c>
    </row>
    <row r="52" spans="1:29" ht="20.25" hidden="1" customHeight="1" x14ac:dyDescent="0.15">
      <c r="E52" s="236" t="s">
        <v>343</v>
      </c>
      <c r="F52" s="237" t="str">
        <f>IF(ISERROR(VLOOKUP(CONCATENATE($F$39,"_",G52),選手名簿!$A:$E,5,FALSE))=TRUE,"",VLOOKUP(CONCATENATE($F$39,"_",G52),選手名簿!$A:$E,5,FALSE))</f>
        <v/>
      </c>
      <c r="G52" s="238"/>
      <c r="H52" s="238"/>
      <c r="I52" s="238"/>
      <c r="J52" s="239"/>
      <c r="K52" s="238"/>
      <c r="L52" s="238"/>
      <c r="M52" s="238"/>
      <c r="N52" s="240" t="str">
        <f>IF(ISERROR(VLOOKUP(CONCATENATE($N$39,"_",M52),選手名簿!$A:$E,5,FALSE))=TRUE,"",VLOOKUP(CONCATENATE($N$39,"_",M52),選手名簿!$A:$E,5,FALSE))</f>
        <v/>
      </c>
      <c r="T52" s="236" t="s">
        <v>343</v>
      </c>
      <c r="U52" s="237" t="str">
        <f>IF(ISERROR(VLOOKUP(CONCATENATE($U$39,"_",V52),選手名簿!$A:$E,5,FALSE))=TRUE,"",VLOOKUP(CONCATENATE($U$39,"_",V52),選手名簿!$A:$E,5,FALSE))</f>
        <v/>
      </c>
      <c r="V52" s="238"/>
      <c r="W52" s="238"/>
      <c r="X52" s="238"/>
      <c r="Y52" s="239"/>
      <c r="Z52" s="238"/>
      <c r="AA52" s="238"/>
      <c r="AB52" s="238"/>
      <c r="AC52" s="240" t="str">
        <f>IF(ISERROR(VLOOKUP(CONCATENATE($AC$39,"_",AB52),選手名簿!$A:$E,5,FALSE))=TRUE,"",VLOOKUP(CONCATENATE($AC$39,"_",AB52),選手名簿!$A:$E,5,FALSE))</f>
        <v/>
      </c>
    </row>
    <row r="53" spans="1:29" ht="20.25" customHeight="1" x14ac:dyDescent="0.15">
      <c r="A53" s="241" t="s">
        <v>342</v>
      </c>
      <c r="B53" s="789"/>
      <c r="C53" s="789"/>
      <c r="D53" s="789"/>
      <c r="E53" s="231" t="s">
        <v>243</v>
      </c>
      <c r="F53" s="232" t="str">
        <f>IF(ISERROR(VLOOKUP(CONCATENATE($F$39,"_",G53),選手名簿!$A:$E,5,FALSE))=TRUE,"",VLOOKUP(CONCATENATE($F$39,"_",G53),選手名簿!$A:$E,5,FALSE))</f>
        <v/>
      </c>
      <c r="G53" s="233"/>
      <c r="H53" s="233"/>
      <c r="I53" s="233"/>
      <c r="J53" s="234"/>
      <c r="K53" s="233"/>
      <c r="L53" s="233"/>
      <c r="M53" s="233"/>
      <c r="N53" s="235" t="str">
        <f>IF(ISERROR(VLOOKUP(CONCATENATE($N$39,"_",M53),選手名簿!$A:$E,5,FALSE))=TRUE,"",VLOOKUP(CONCATENATE($N$39,"_",M53),選手名簿!$A:$E,5,FALSE))</f>
        <v/>
      </c>
      <c r="P53" s="241" t="s">
        <v>342</v>
      </c>
      <c r="Q53" s="789"/>
      <c r="R53" s="789"/>
      <c r="S53" s="789"/>
      <c r="T53" s="231" t="s">
        <v>243</v>
      </c>
      <c r="U53" s="232" t="str">
        <f>IF(ISERROR(VLOOKUP(CONCATENATE($U$39,"_",V53),選手名簿!$A:$E,5,FALSE))=TRUE,"",VLOOKUP(CONCATENATE($U$39,"_",V53),選手名簿!$A:$E,5,FALSE))</f>
        <v/>
      </c>
      <c r="V53" s="233"/>
      <c r="W53" s="233"/>
      <c r="X53" s="233"/>
      <c r="Y53" s="234"/>
      <c r="Z53" s="233"/>
      <c r="AA53" s="233"/>
      <c r="AB53" s="233"/>
      <c r="AC53" s="235" t="str">
        <f>IF(ISERROR(VLOOKUP(CONCATENATE($AC$39,"_",AB53),選手名簿!$A:$E,5,FALSE))=TRUE,"",VLOOKUP(CONCATENATE($AC$39,"_",AB53),選手名簿!$A:$E,5,FALSE))</f>
        <v/>
      </c>
    </row>
    <row r="54" spans="1:29" ht="20.25" customHeight="1" x14ac:dyDescent="0.15">
      <c r="A54" s="242" t="s">
        <v>344</v>
      </c>
      <c r="B54" s="790" t="str">
        <f>IF(ISERROR(VLOOKUP(B53,審判員!$A:$C,2,FALSE))=TRUE,"",VLOOKUP(B53,審判員!$A:$C,2,FALSE))</f>
        <v/>
      </c>
      <c r="C54" s="791"/>
      <c r="D54" s="242" t="str">
        <f>IF(ISERROR(VLOOKUP(B53,審判員!$A:$C,3,FALSE))=TRUE,"",VLOOKUP(B53,審判員!$A:$C,3,FALSE))</f>
        <v/>
      </c>
      <c r="E54" s="244" t="s">
        <v>243</v>
      </c>
      <c r="F54" s="245" t="str">
        <f>IF(ISERROR(VLOOKUP(CONCATENATE($F$39,"_",G54),選手名簿!$A:$E,5,FALSE))=TRUE,"",VLOOKUP(CONCATENATE($F$39,"_",G54),選手名簿!$A:$E,5,FALSE))</f>
        <v/>
      </c>
      <c r="G54" s="246"/>
      <c r="H54" s="246"/>
      <c r="I54" s="246"/>
      <c r="J54" s="234"/>
      <c r="K54" s="246"/>
      <c r="L54" s="246"/>
      <c r="M54" s="246"/>
      <c r="N54" s="247" t="str">
        <f>IF(ISERROR(VLOOKUP(CONCATENATE($N$39,"_",M54),選手名簿!$A:$E,5,FALSE))=TRUE,"",VLOOKUP(CONCATENATE($N$39,"_",M54),選手名簿!$A:$E,5,FALSE))</f>
        <v/>
      </c>
      <c r="P54" s="242" t="s">
        <v>344</v>
      </c>
      <c r="Q54" s="790" t="str">
        <f>IF(ISERROR(VLOOKUP(Q53,審判員!$A:$C,2,FALSE))=TRUE,"",VLOOKUP(Q53,審判員!$A:$C,2,FALSE))</f>
        <v/>
      </c>
      <c r="R54" s="791"/>
      <c r="S54" s="242" t="str">
        <f>IF(ISERROR(VLOOKUP(Q53,審判員!$A:$C,3,FALSE))=TRUE,"",VLOOKUP(Q53,審判員!$A:$C,3,FALSE))</f>
        <v/>
      </c>
      <c r="T54" s="244" t="s">
        <v>243</v>
      </c>
      <c r="U54" s="245" t="str">
        <f>IF(ISERROR(VLOOKUP(CONCATENATE($U$39,"_",V54),選手名簿!$A:$E,5,FALSE))=TRUE,"",VLOOKUP(CONCATENATE($U$39,"_",V54),選手名簿!$A:$E,5,FALSE))</f>
        <v/>
      </c>
      <c r="V54" s="246"/>
      <c r="W54" s="246"/>
      <c r="X54" s="246"/>
      <c r="Y54" s="234"/>
      <c r="Z54" s="246"/>
      <c r="AA54" s="246"/>
      <c r="AB54" s="246"/>
      <c r="AC54" s="247" t="str">
        <f>IF(ISERROR(VLOOKUP(CONCATENATE($AC$39,"_",AB54),選手名簿!$A:$E,5,FALSE))=TRUE,"",VLOOKUP(CONCATENATE($AC$39,"_",AB54),選手名簿!$A:$E,5,FALSE))</f>
        <v/>
      </c>
    </row>
    <row r="55" spans="1:29" ht="20.25" customHeight="1" x14ac:dyDescent="0.15">
      <c r="A55" s="430" t="s">
        <v>342</v>
      </c>
      <c r="B55" s="792"/>
      <c r="C55" s="792"/>
      <c r="D55" s="793"/>
      <c r="E55" s="244" t="s">
        <v>243</v>
      </c>
      <c r="F55" s="245" t="str">
        <f>IF(ISERROR(VLOOKUP(CONCATENATE($F$39,"_",G55),選手名簿!$A:$E,5,FALSE))=TRUE,"",VLOOKUP(CONCATENATE($F$39,"_",G55),選手名簿!$A:$E,5,FALSE))</f>
        <v/>
      </c>
      <c r="G55" s="246"/>
      <c r="H55" s="246"/>
      <c r="I55" s="246"/>
      <c r="J55" s="234"/>
      <c r="K55" s="246"/>
      <c r="L55" s="246"/>
      <c r="M55" s="246"/>
      <c r="N55" s="247" t="str">
        <f>IF(ISERROR(VLOOKUP(CONCATENATE($N$39,"_",M55),選手名簿!$A:$E,5,FALSE))=TRUE,"",VLOOKUP(CONCATENATE($N$39,"_",M55),選手名簿!$A:$E,5,FALSE))</f>
        <v/>
      </c>
      <c r="P55" s="430" t="s">
        <v>342</v>
      </c>
      <c r="Q55" s="792"/>
      <c r="R55" s="792"/>
      <c r="S55" s="793"/>
      <c r="T55" s="244" t="s">
        <v>243</v>
      </c>
      <c r="U55" s="245" t="str">
        <f>IF(ISERROR(VLOOKUP(CONCATENATE($U$39,"_",V55),選手名簿!$A:$E,5,FALSE))=TRUE,"",VLOOKUP(CONCATENATE($U$39,"_",V55),選手名簿!$A:$E,5,FALSE))</f>
        <v/>
      </c>
      <c r="V55" s="246"/>
      <c r="W55" s="246"/>
      <c r="X55" s="246"/>
      <c r="Y55" s="234"/>
      <c r="Z55" s="246"/>
      <c r="AA55" s="246"/>
      <c r="AB55" s="246"/>
      <c r="AC55" s="247" t="str">
        <f>IF(ISERROR(VLOOKUP(CONCATENATE($AC$39,"_",AB55),選手名簿!$A:$E,5,FALSE))=TRUE,"",VLOOKUP(CONCATENATE($AC$39,"_",AB55),選手名簿!$A:$E,5,FALSE))</f>
        <v/>
      </c>
    </row>
    <row r="56" spans="1:29" ht="20.25" customHeight="1" x14ac:dyDescent="0.15">
      <c r="A56" s="430" t="s">
        <v>345</v>
      </c>
      <c r="B56" s="796" t="str">
        <f>IF(ISERROR(VLOOKUP(B55,審判員!$A:$C,2,FALSE))=TRUE,"",VLOOKUP(B55,審判員!$A:$C,2,FALSE))</f>
        <v/>
      </c>
      <c r="C56" s="797"/>
      <c r="D56" s="430" t="str">
        <f>IF(ISERROR(VLOOKUP(B55,審判員!$A:$C,3,FALSE))=TRUE,"",VLOOKUP(B55,審判員!$A:$C,3,FALSE))</f>
        <v/>
      </c>
      <c r="E56" s="244" t="s">
        <v>243</v>
      </c>
      <c r="F56" s="245" t="str">
        <f>IF(ISERROR(VLOOKUP(CONCATENATE($F$39,"_",G56),選手名簿!$A:$E,5,FALSE))=TRUE,"",VLOOKUP(CONCATENATE($F$39,"_",G56),選手名簿!$A:$E,5,FALSE))</f>
        <v/>
      </c>
      <c r="G56" s="246"/>
      <c r="H56" s="246"/>
      <c r="I56" s="246"/>
      <c r="J56" s="234"/>
      <c r="K56" s="246"/>
      <c r="L56" s="246"/>
      <c r="M56" s="246"/>
      <c r="N56" s="247" t="str">
        <f>IF(ISERROR(VLOOKUP(CONCATENATE($N$39,"_",M56),選手名簿!$A:$E,5,FALSE))=TRUE,"",VLOOKUP(CONCATENATE($N$39,"_",M56),選手名簿!$A:$E,5,FALSE))</f>
        <v/>
      </c>
      <c r="P56" s="430" t="s">
        <v>345</v>
      </c>
      <c r="Q56" s="796" t="str">
        <f>IF(ISERROR(VLOOKUP(Q55,審判員!$A:$C,2,FALSE))=TRUE,"",VLOOKUP(Q55,審判員!$A:$C,2,FALSE))</f>
        <v/>
      </c>
      <c r="R56" s="797"/>
      <c r="S56" s="430" t="str">
        <f>IF(ISERROR(VLOOKUP(Q55,審判員!$A:$C,3,FALSE))=TRUE,"",VLOOKUP(Q55,審判員!$A:$C,3,FALSE))</f>
        <v/>
      </c>
      <c r="T56" s="244" t="s">
        <v>243</v>
      </c>
      <c r="U56" s="245" t="str">
        <f>IF(ISERROR(VLOOKUP(CONCATENATE($U$39,"_",V56),選手名簿!$A:$E,5,FALSE))=TRUE,"",VLOOKUP(CONCATENATE($U$39,"_",V56),選手名簿!$A:$E,5,FALSE))</f>
        <v/>
      </c>
      <c r="V56" s="246"/>
      <c r="W56" s="246"/>
      <c r="X56" s="246"/>
      <c r="Y56" s="234"/>
      <c r="Z56" s="246"/>
      <c r="AA56" s="246"/>
      <c r="AB56" s="246"/>
      <c r="AC56" s="247" t="str">
        <f>IF(ISERROR(VLOOKUP(CONCATENATE($AC$39,"_",AB56),選手名簿!$A:$E,5,FALSE))=TRUE,"",VLOOKUP(CONCATENATE($AC$39,"_",AB56),選手名簿!$A:$E,5,FALSE))</f>
        <v/>
      </c>
    </row>
    <row r="57" spans="1:29" ht="20.25" customHeight="1" x14ac:dyDescent="0.15">
      <c r="A57" s="430" t="s">
        <v>342</v>
      </c>
      <c r="B57" s="792"/>
      <c r="C57" s="792"/>
      <c r="D57" s="793"/>
      <c r="E57" s="244" t="s">
        <v>243</v>
      </c>
      <c r="F57" s="245" t="str">
        <f>IF(ISERROR(VLOOKUP(CONCATENATE($F$39,"_",G57),選手名簿!$A:$E,5,FALSE))=TRUE,"",VLOOKUP(CONCATENATE($F$39,"_",G57),選手名簿!$A:$E,5,FALSE))</f>
        <v/>
      </c>
      <c r="G57" s="246"/>
      <c r="H57" s="246"/>
      <c r="I57" s="246"/>
      <c r="J57" s="234"/>
      <c r="K57" s="246"/>
      <c r="L57" s="246"/>
      <c r="M57" s="246"/>
      <c r="N57" s="247" t="str">
        <f>IF(ISERROR(VLOOKUP(CONCATENATE($N$39,"_",M57),選手名簿!$A:$E,5,FALSE))=TRUE,"",VLOOKUP(CONCATENATE($N$39,"_",M57),選手名簿!$A:$E,5,FALSE))</f>
        <v/>
      </c>
      <c r="P57" s="430" t="s">
        <v>342</v>
      </c>
      <c r="Q57" s="792"/>
      <c r="R57" s="792"/>
      <c r="S57" s="793"/>
      <c r="T57" s="244" t="s">
        <v>243</v>
      </c>
      <c r="U57" s="245" t="str">
        <f>IF(ISERROR(VLOOKUP(CONCATENATE($U$39,"_",V57),選手名簿!$A:$E,5,FALSE))=TRUE,"",VLOOKUP(CONCATENATE($U$39,"_",V57),選手名簿!$A:$E,5,FALSE))</f>
        <v/>
      </c>
      <c r="V57" s="246"/>
      <c r="W57" s="246"/>
      <c r="X57" s="246"/>
      <c r="Y57" s="234"/>
      <c r="Z57" s="246"/>
      <c r="AA57" s="246"/>
      <c r="AB57" s="246"/>
      <c r="AC57" s="247" t="str">
        <f>IF(ISERROR(VLOOKUP(CONCATENATE($AC$39,"_",AB57),選手名簿!$A:$E,5,FALSE))=TRUE,"",VLOOKUP(CONCATENATE($AC$39,"_",AB57),選手名簿!$A:$E,5,FALSE))</f>
        <v/>
      </c>
    </row>
    <row r="58" spans="1:29" ht="20.25" customHeight="1" x14ac:dyDescent="0.15">
      <c r="A58" s="430" t="s">
        <v>346</v>
      </c>
      <c r="B58" s="796" t="str">
        <f>IF(ISERROR(VLOOKUP(B57,審判員!$A:$C,2,FALSE))=TRUE,"",VLOOKUP(B57,審判員!$A:$C,2,FALSE))</f>
        <v/>
      </c>
      <c r="C58" s="797"/>
      <c r="D58" s="430" t="str">
        <f>IF(ISERROR(VLOOKUP(B57,審判員!$A:$C,3,FALSE))=TRUE,"",VLOOKUP(B57,審判員!$A:$C,3,FALSE))</f>
        <v/>
      </c>
      <c r="E58" s="244" t="s">
        <v>243</v>
      </c>
      <c r="F58" s="245" t="str">
        <f>IF(ISERROR(VLOOKUP(CONCATENATE($F$39,"_",G58),選手名簿!$A:$E,5,FALSE))=TRUE,"",VLOOKUP(CONCATENATE($F$39,"_",G58),選手名簿!$A:$E,5,FALSE))</f>
        <v/>
      </c>
      <c r="G58" s="246"/>
      <c r="H58" s="246"/>
      <c r="I58" s="246"/>
      <c r="J58" s="234"/>
      <c r="K58" s="246"/>
      <c r="L58" s="246"/>
      <c r="M58" s="246"/>
      <c r="N58" s="247" t="str">
        <f>IF(ISERROR(VLOOKUP(CONCATENATE($N$39,"_",M58),選手名簿!$A:$E,5,FALSE))=TRUE,"",VLOOKUP(CONCATENATE($N$39,"_",M58),選手名簿!$A:$E,5,FALSE))</f>
        <v/>
      </c>
      <c r="P58" s="430" t="s">
        <v>346</v>
      </c>
      <c r="Q58" s="796" t="str">
        <f>IF(ISERROR(VLOOKUP(Q57,審判員!$A:$C,2,FALSE))=TRUE,"",VLOOKUP(Q57,審判員!$A:$C,2,FALSE))</f>
        <v/>
      </c>
      <c r="R58" s="797"/>
      <c r="S58" s="430" t="str">
        <f>IF(ISERROR(VLOOKUP(Q57,審判員!$A:$C,3,FALSE))=TRUE,"",VLOOKUP(Q57,審判員!$A:$C,3,FALSE))</f>
        <v/>
      </c>
      <c r="T58" s="244" t="s">
        <v>243</v>
      </c>
      <c r="U58" s="245" t="str">
        <f>IF(ISERROR(VLOOKUP(CONCATENATE($U$39,"_",V58),選手名簿!$A:$E,5,FALSE))=TRUE,"",VLOOKUP(CONCATENATE($U$39,"_",V58),選手名簿!$A:$E,5,FALSE))</f>
        <v/>
      </c>
      <c r="V58" s="246"/>
      <c r="W58" s="246"/>
      <c r="X58" s="246"/>
      <c r="Y58" s="234"/>
      <c r="Z58" s="246"/>
      <c r="AA58" s="246"/>
      <c r="AB58" s="246"/>
      <c r="AC58" s="247" t="str">
        <f>IF(ISERROR(VLOOKUP(CONCATENATE($AC$39,"_",AB58),選手名簿!$A:$E,5,FALSE))=TRUE,"",VLOOKUP(CONCATENATE($AC$39,"_",AB58),選手名簿!$A:$E,5,FALSE))</f>
        <v/>
      </c>
    </row>
    <row r="59" spans="1:29" ht="20.25" customHeight="1" x14ac:dyDescent="0.15">
      <c r="A59" s="241" t="s">
        <v>342</v>
      </c>
      <c r="B59" s="789"/>
      <c r="C59" s="789"/>
      <c r="D59" s="789"/>
      <c r="E59" s="244" t="s">
        <v>243</v>
      </c>
      <c r="F59" s="245" t="str">
        <f>IF(ISERROR(VLOOKUP(CONCATENATE($F$39,"_",G59),選手名簿!$A:$E,5,FALSE))=TRUE,"",VLOOKUP(CONCATENATE($F$39,"_",G59),選手名簿!$A:$E,5,FALSE))</f>
        <v/>
      </c>
      <c r="G59" s="246"/>
      <c r="H59" s="246"/>
      <c r="I59" s="246"/>
      <c r="J59" s="234"/>
      <c r="K59" s="246"/>
      <c r="L59" s="246"/>
      <c r="M59" s="246"/>
      <c r="N59" s="247" t="str">
        <f>IF(ISERROR(VLOOKUP(CONCATENATE($N$39,"_",M59),選手名簿!$A:$E,5,FALSE))=TRUE,"",VLOOKUP(CONCATENATE($N$39,"_",M59),選手名簿!$A:$E,5,FALSE))</f>
        <v/>
      </c>
      <c r="P59" s="241" t="s">
        <v>342</v>
      </c>
      <c r="Q59" s="789"/>
      <c r="R59" s="789"/>
      <c r="S59" s="789"/>
      <c r="T59" s="244" t="s">
        <v>243</v>
      </c>
      <c r="U59" s="245" t="str">
        <f>IF(ISERROR(VLOOKUP(CONCATENATE($U$39,"_",V59),選手名簿!$A:$E,5,FALSE))=TRUE,"",VLOOKUP(CONCATENATE($U$39,"_",V59),選手名簿!$A:$E,5,FALSE))</f>
        <v/>
      </c>
      <c r="V59" s="246"/>
      <c r="W59" s="246"/>
      <c r="X59" s="246"/>
      <c r="Y59" s="234"/>
      <c r="Z59" s="246"/>
      <c r="AA59" s="246"/>
      <c r="AB59" s="246"/>
      <c r="AC59" s="247" t="str">
        <f>IF(ISERROR(VLOOKUP(CONCATENATE($AC$39,"_",AB59),選手名簿!$A:$E,5,FALSE))=TRUE,"",VLOOKUP(CONCATENATE($AC$39,"_",AB59),選手名簿!$A:$E,5,FALSE))</f>
        <v/>
      </c>
    </row>
    <row r="60" spans="1:29" ht="20.25" customHeight="1" x14ac:dyDescent="0.15">
      <c r="A60" s="242" t="s">
        <v>347</v>
      </c>
      <c r="B60" s="790" t="str">
        <f>IF(ISERROR(VLOOKUP(B59,審判員!$A:$C,2,FALSE))=TRUE,"",VLOOKUP(B59,審判員!$A:$C,2,FALSE))</f>
        <v/>
      </c>
      <c r="C60" s="791"/>
      <c r="D60" s="242" t="str">
        <f>IF(ISERROR(VLOOKUP(B59,審判員!$A:$C,3,FALSE))=TRUE,"",VLOOKUP(B59,審判員!$A:$C,3,FALSE))</f>
        <v/>
      </c>
      <c r="E60" s="248" t="s">
        <v>243</v>
      </c>
      <c r="F60" s="249" t="str">
        <f>IF(ISERROR(VLOOKUP(CONCATENATE($F$39,"_",G60),選手名簿!$A:$E,5,FALSE))=TRUE,"",VLOOKUP(CONCATENATE($F$39,"_",G60),選手名簿!$A:$E,5,FALSE))</f>
        <v/>
      </c>
      <c r="G60" s="250"/>
      <c r="H60" s="250"/>
      <c r="I60" s="250"/>
      <c r="J60" s="239"/>
      <c r="K60" s="250"/>
      <c r="L60" s="250"/>
      <c r="M60" s="250"/>
      <c r="N60" s="251" t="str">
        <f>IF(ISERROR(VLOOKUP(CONCATENATE($N$39,"_",M60),選手名簿!$A:$E,5,FALSE))=TRUE,"",VLOOKUP(CONCATENATE($N$39,"_",M60),選手名簿!$A:$E,5,FALSE))</f>
        <v/>
      </c>
      <c r="P60" s="242" t="s">
        <v>347</v>
      </c>
      <c r="Q60" s="790" t="str">
        <f>IF(ISERROR(VLOOKUP(Q59,審判員!$A:$C,2,FALSE))=TRUE,"",VLOOKUP(Q59,審判員!$A:$C,2,FALSE))</f>
        <v/>
      </c>
      <c r="R60" s="791"/>
      <c r="S60" s="242" t="str">
        <f>IF(ISERROR(VLOOKUP(Q59,審判員!$A:$C,3,FALSE))=TRUE,"",VLOOKUP(Q59,審判員!$A:$C,3,FALSE))</f>
        <v/>
      </c>
      <c r="T60" s="248" t="s">
        <v>243</v>
      </c>
      <c r="U60" s="249" t="str">
        <f>IF(ISERROR(VLOOKUP(CONCATENATE($U$39,"_",V60),選手名簿!$A:$E,5,FALSE))=TRUE,"",VLOOKUP(CONCATENATE($U$39,"_",V60),選手名簿!$A:$E,5,FALSE))</f>
        <v/>
      </c>
      <c r="V60" s="250"/>
      <c r="W60" s="250"/>
      <c r="X60" s="250"/>
      <c r="Y60" s="239"/>
      <c r="Z60" s="250"/>
      <c r="AA60" s="250"/>
      <c r="AB60" s="250"/>
      <c r="AC60" s="251" t="str">
        <f>IF(ISERROR(VLOOKUP(CONCATENATE($AC$39,"_",AB60),選手名簿!$A:$E,5,FALSE))=TRUE,"",VLOOKUP(CONCATENATE($AC$39,"_",AB60),選手名簿!$A:$E,5,FALSE))</f>
        <v/>
      </c>
    </row>
    <row r="61" spans="1:29" ht="9.9499999999999993" customHeight="1" x14ac:dyDescent="0.15">
      <c r="E61" s="252"/>
      <c r="T61" s="252"/>
    </row>
    <row r="62" spans="1:29" ht="9.9499999999999993" customHeight="1" x14ac:dyDescent="0.15">
      <c r="E62" s="252"/>
      <c r="T62" s="252"/>
    </row>
    <row r="63" spans="1:29" ht="9.9499999999999993" customHeight="1" x14ac:dyDescent="0.15"/>
    <row r="64" spans="1:29" ht="9.9499999999999993" customHeight="1" x14ac:dyDescent="0.15"/>
    <row r="65" spans="1:29" ht="9.9499999999999993" customHeight="1" x14ac:dyDescent="0.15"/>
    <row r="66" spans="1:29" ht="9.9499999999999993" customHeight="1" x14ac:dyDescent="0.15"/>
    <row r="67" spans="1:29" ht="9.9499999999999993" customHeight="1" x14ac:dyDescent="0.15">
      <c r="E67" s="252"/>
      <c r="T67" s="252"/>
    </row>
    <row r="68" spans="1:29" ht="27.4" customHeight="1" x14ac:dyDescent="0.15">
      <c r="A68" s="223" t="s">
        <v>334</v>
      </c>
      <c r="B68" s="768"/>
      <c r="C68" s="769"/>
      <c r="D68" s="770"/>
      <c r="E68" s="771">
        <f>予選リーグ!B29</f>
        <v>0.57638888888888895</v>
      </c>
      <c r="F68" s="774" t="str">
        <f>F7</f>
        <v>国東ジュニアサッカークラブ</v>
      </c>
      <c r="G68" s="777" t="str">
        <f>IF(I68="","",SUM(I68:I69))</f>
        <v/>
      </c>
      <c r="H68" s="780" t="s">
        <v>123</v>
      </c>
      <c r="I68" s="224"/>
      <c r="J68" s="224" t="s">
        <v>335</v>
      </c>
      <c r="K68" s="224"/>
      <c r="L68" s="780" t="s">
        <v>336</v>
      </c>
      <c r="M68" s="777" t="str">
        <f>IF(K68="","",SUM(K68:K69))</f>
        <v/>
      </c>
      <c r="N68" s="783" t="str">
        <f>F5</f>
        <v>ＦＣ　ＷＡＹＳ</v>
      </c>
      <c r="P68" s="223" t="s">
        <v>334</v>
      </c>
      <c r="Q68" s="768"/>
      <c r="R68" s="769"/>
      <c r="S68" s="770"/>
      <c r="T68" s="771">
        <f>予選リーグ!B31</f>
        <v>0.61111111111111105</v>
      </c>
      <c r="U68" s="774" t="str">
        <f>U7</f>
        <v>野津ＦＣ</v>
      </c>
      <c r="V68" s="777" t="str">
        <f>IF(X68="","",SUM(X68:X69))</f>
        <v/>
      </c>
      <c r="W68" s="780" t="s">
        <v>123</v>
      </c>
      <c r="X68" s="224"/>
      <c r="Y68" s="224" t="s">
        <v>335</v>
      </c>
      <c r="Z68" s="224"/>
      <c r="AA68" s="780" t="s">
        <v>336</v>
      </c>
      <c r="AB68" s="777" t="str">
        <f>IF(Z68="","",SUM(Z68:Z69))</f>
        <v/>
      </c>
      <c r="AC68" s="783" t="str">
        <f>U5</f>
        <v>鶴岡Ｓ―ｐｌａｙ・ＭＩＮＡＭＩ</v>
      </c>
    </row>
    <row r="69" spans="1:29" ht="27.4" customHeight="1" x14ac:dyDescent="0.15">
      <c r="A69" s="225" t="s">
        <v>337</v>
      </c>
      <c r="B69" s="786" t="s">
        <v>313</v>
      </c>
      <c r="C69" s="786"/>
      <c r="D69" s="768"/>
      <c r="E69" s="772"/>
      <c r="F69" s="775"/>
      <c r="G69" s="778"/>
      <c r="H69" s="781"/>
      <c r="J69" s="214" t="s">
        <v>338</v>
      </c>
      <c r="L69" s="781"/>
      <c r="M69" s="778"/>
      <c r="N69" s="784"/>
      <c r="P69" s="225" t="s">
        <v>337</v>
      </c>
      <c r="Q69" s="786" t="s">
        <v>313</v>
      </c>
      <c r="R69" s="786"/>
      <c r="S69" s="768"/>
      <c r="T69" s="772"/>
      <c r="U69" s="775"/>
      <c r="V69" s="778"/>
      <c r="W69" s="781"/>
      <c r="Y69" s="214" t="s">
        <v>338</v>
      </c>
      <c r="AA69" s="781"/>
      <c r="AB69" s="778"/>
      <c r="AC69" s="784"/>
    </row>
    <row r="70" spans="1:29" ht="27.4" customHeight="1" x14ac:dyDescent="0.15">
      <c r="A70" s="225" t="s">
        <v>339</v>
      </c>
      <c r="B70" s="786"/>
      <c r="C70" s="786"/>
      <c r="D70" s="768"/>
      <c r="E70" s="773"/>
      <c r="F70" s="776"/>
      <c r="G70" s="779"/>
      <c r="H70" s="782"/>
      <c r="I70" s="226"/>
      <c r="J70" s="226" t="s">
        <v>340</v>
      </c>
      <c r="K70" s="226"/>
      <c r="L70" s="782"/>
      <c r="M70" s="779"/>
      <c r="N70" s="785"/>
      <c r="P70" s="225" t="s">
        <v>339</v>
      </c>
      <c r="Q70" s="786"/>
      <c r="R70" s="786"/>
      <c r="S70" s="768"/>
      <c r="T70" s="773"/>
      <c r="U70" s="776"/>
      <c r="V70" s="779"/>
      <c r="W70" s="782"/>
      <c r="X70" s="226"/>
      <c r="Y70" s="226" t="s">
        <v>340</v>
      </c>
      <c r="Z70" s="226"/>
      <c r="AA70" s="782"/>
      <c r="AB70" s="779"/>
      <c r="AC70" s="785"/>
    </row>
    <row r="71" spans="1:29" ht="20.25" customHeight="1" x14ac:dyDescent="0.15">
      <c r="A71" s="787" t="s">
        <v>341</v>
      </c>
      <c r="B71" s="787"/>
      <c r="C71" s="787"/>
      <c r="D71" s="788"/>
      <c r="E71" s="227"/>
      <c r="F71" s="228" t="s">
        <v>242</v>
      </c>
      <c r="G71" s="228" t="s">
        <v>342</v>
      </c>
      <c r="H71" s="228" t="s">
        <v>317</v>
      </c>
      <c r="I71" s="228"/>
      <c r="J71" s="229"/>
      <c r="K71" s="228"/>
      <c r="L71" s="228" t="s">
        <v>317</v>
      </c>
      <c r="M71" s="228" t="s">
        <v>342</v>
      </c>
      <c r="N71" s="230" t="s">
        <v>242</v>
      </c>
      <c r="P71" s="787" t="s">
        <v>341</v>
      </c>
      <c r="Q71" s="787"/>
      <c r="R71" s="787"/>
      <c r="S71" s="788"/>
      <c r="T71" s="227"/>
      <c r="U71" s="228" t="s">
        <v>242</v>
      </c>
      <c r="V71" s="228" t="s">
        <v>342</v>
      </c>
      <c r="W71" s="228" t="s">
        <v>317</v>
      </c>
      <c r="X71" s="228"/>
      <c r="Y71" s="229"/>
      <c r="Z71" s="228"/>
      <c r="AA71" s="228" t="s">
        <v>317</v>
      </c>
      <c r="AB71" s="228" t="s">
        <v>342</v>
      </c>
      <c r="AC71" s="230" t="s">
        <v>242</v>
      </c>
    </row>
    <row r="72" spans="1:29" ht="20.25" hidden="1" customHeight="1" x14ac:dyDescent="0.15">
      <c r="E72" s="231" t="s">
        <v>343</v>
      </c>
      <c r="F72" s="232" t="str">
        <f>IF(ISERROR(VLOOKUP(CONCATENATE($F$68,"_",G72),選手名簿!$A:$E,5,FALSE))=TRUE,"",VLOOKUP(CONCATENATE($F$68,"_",G72),選手名簿!$A:$E,5,FALSE))</f>
        <v/>
      </c>
      <c r="G72" s="233"/>
      <c r="H72" s="233"/>
      <c r="I72" s="233"/>
      <c r="J72" s="234"/>
      <c r="K72" s="233"/>
      <c r="L72" s="233"/>
      <c r="M72" s="233"/>
      <c r="N72" s="235" t="str">
        <f>IF(ISERROR(VLOOKUP(CONCATENATE($N$68,"_",M72),選手名簿!$A:$E,5,FALSE))=TRUE,"",VLOOKUP(CONCATENATE($N$68,"_",M72),選手名簿!$A:$E,5,FALSE))</f>
        <v/>
      </c>
      <c r="T72" s="231" t="s">
        <v>343</v>
      </c>
      <c r="U72" s="232" t="str">
        <f>IF(ISERROR(VLOOKUP(CONCATENATE($U$68,"_",V72),選手名簿!$A:$E,5,FALSE))=TRUE,"",VLOOKUP(CONCATENATE($U$68,"_",V72),選手名簿!$A:$E,5,FALSE))</f>
        <v/>
      </c>
      <c r="V72" s="233"/>
      <c r="W72" s="233"/>
      <c r="X72" s="233"/>
      <c r="Y72" s="234"/>
      <c r="Z72" s="233"/>
      <c r="AA72" s="233"/>
      <c r="AB72" s="233"/>
      <c r="AC72" s="235" t="str">
        <f>IF(ISERROR(VLOOKUP(CONCATENATE($AC$68,"_",AB72),選手名簿!$A:$E,5,FALSE))=TRUE,"",VLOOKUP(CONCATENATE($AC$68,"_",AB72),選手名簿!$A:$E,5,FALSE))</f>
        <v/>
      </c>
    </row>
    <row r="73" spans="1:29" ht="20.25" hidden="1" customHeight="1" x14ac:dyDescent="0.15">
      <c r="E73" s="231" t="s">
        <v>343</v>
      </c>
      <c r="F73" s="232" t="str">
        <f>IF(ISERROR(VLOOKUP(CONCATENATE($F$68,"_",G73),選手名簿!$A:$E,5,FALSE))=TRUE,"",VLOOKUP(CONCATENATE($F$68,"_",G73),選手名簿!$A:$E,5,FALSE))</f>
        <v/>
      </c>
      <c r="G73" s="233"/>
      <c r="H73" s="233"/>
      <c r="I73" s="233"/>
      <c r="J73" s="234"/>
      <c r="K73" s="233"/>
      <c r="L73" s="233"/>
      <c r="M73" s="233"/>
      <c r="N73" s="235" t="str">
        <f>IF(ISERROR(VLOOKUP(CONCATENATE($N$68,"_",M73),選手名簿!$A:$E,5,FALSE))=TRUE,"",VLOOKUP(CONCATENATE($N$68,"_",M73),選手名簿!$A:$E,5,FALSE))</f>
        <v/>
      </c>
      <c r="T73" s="231" t="s">
        <v>343</v>
      </c>
      <c r="U73" s="232" t="str">
        <f>IF(ISERROR(VLOOKUP(CONCATENATE($U$68,"_",V73),選手名簿!$A:$E,5,FALSE))=TRUE,"",VLOOKUP(CONCATENATE($U$68,"_",V73),選手名簿!$A:$E,5,FALSE))</f>
        <v/>
      </c>
      <c r="V73" s="233"/>
      <c r="W73" s="233"/>
      <c r="X73" s="233"/>
      <c r="Y73" s="234"/>
      <c r="Z73" s="233"/>
      <c r="AA73" s="233"/>
      <c r="AB73" s="233"/>
      <c r="AC73" s="235" t="str">
        <f>IF(ISERROR(VLOOKUP(CONCATENATE($AC$68,"_",AB73),選手名簿!$A:$E,5,FALSE))=TRUE,"",VLOOKUP(CONCATENATE($AC$68,"_",AB73),選手名簿!$A:$E,5,FALSE))</f>
        <v/>
      </c>
    </row>
    <row r="74" spans="1:29" ht="20.25" hidden="1" customHeight="1" x14ac:dyDescent="0.15">
      <c r="E74" s="231" t="s">
        <v>343</v>
      </c>
      <c r="F74" s="232" t="str">
        <f>IF(ISERROR(VLOOKUP(CONCATENATE($F$68,"_",G74),選手名簿!$A:$E,5,FALSE))=TRUE,"",VLOOKUP(CONCATENATE($F$68,"_",G74),選手名簿!$A:$E,5,FALSE))</f>
        <v/>
      </c>
      <c r="G74" s="233"/>
      <c r="H74" s="233"/>
      <c r="I74" s="233"/>
      <c r="J74" s="234"/>
      <c r="K74" s="233"/>
      <c r="L74" s="233"/>
      <c r="M74" s="233"/>
      <c r="N74" s="235" t="str">
        <f>IF(ISERROR(VLOOKUP(CONCATENATE($N$68,"_",M74),選手名簿!$A:$E,5,FALSE))=TRUE,"",VLOOKUP(CONCATENATE($N$68,"_",M74),選手名簿!$A:$E,5,FALSE))</f>
        <v/>
      </c>
      <c r="T74" s="231" t="s">
        <v>343</v>
      </c>
      <c r="U74" s="232" t="str">
        <f>IF(ISERROR(VLOOKUP(CONCATENATE($U$68,"_",V74),選手名簿!$A:$E,5,FALSE))=TRUE,"",VLOOKUP(CONCATENATE($U$68,"_",V74),選手名簿!$A:$E,5,FALSE))</f>
        <v/>
      </c>
      <c r="V74" s="233"/>
      <c r="W74" s="233"/>
      <c r="X74" s="233"/>
      <c r="Y74" s="234"/>
      <c r="Z74" s="233"/>
      <c r="AA74" s="233"/>
      <c r="AB74" s="233"/>
      <c r="AC74" s="235" t="str">
        <f>IF(ISERROR(VLOOKUP(CONCATENATE($AC$68,"_",AB74),選手名簿!$A:$E,5,FALSE))=TRUE,"",VLOOKUP(CONCATENATE($AC$68,"_",AB74),選手名簿!$A:$E,5,FALSE))</f>
        <v/>
      </c>
    </row>
    <row r="75" spans="1:29" ht="20.25" hidden="1" customHeight="1" x14ac:dyDescent="0.15">
      <c r="E75" s="231" t="s">
        <v>343</v>
      </c>
      <c r="F75" s="232" t="str">
        <f>IF(ISERROR(VLOOKUP(CONCATENATE($F$68,"_",G75),選手名簿!$A:$E,5,FALSE))=TRUE,"",VLOOKUP(CONCATENATE($F$68,"_",G75),選手名簿!$A:$E,5,FALSE))</f>
        <v/>
      </c>
      <c r="G75" s="233"/>
      <c r="H75" s="233"/>
      <c r="I75" s="233"/>
      <c r="J75" s="234"/>
      <c r="K75" s="233"/>
      <c r="L75" s="233"/>
      <c r="M75" s="233"/>
      <c r="N75" s="235" t="str">
        <f>IF(ISERROR(VLOOKUP(CONCATENATE($N$68,"_",M75),選手名簿!$A:$E,5,FALSE))=TRUE,"",VLOOKUP(CONCATENATE($N$68,"_",M75),選手名簿!$A:$E,5,FALSE))</f>
        <v/>
      </c>
      <c r="T75" s="231" t="s">
        <v>343</v>
      </c>
      <c r="U75" s="232" t="str">
        <f>IF(ISERROR(VLOOKUP(CONCATENATE($U$68,"_",V75),選手名簿!$A:$E,5,FALSE))=TRUE,"",VLOOKUP(CONCATENATE($U$68,"_",V75),選手名簿!$A:$E,5,FALSE))</f>
        <v/>
      </c>
      <c r="V75" s="233"/>
      <c r="W75" s="233"/>
      <c r="X75" s="233"/>
      <c r="Y75" s="234"/>
      <c r="Z75" s="233"/>
      <c r="AA75" s="233"/>
      <c r="AB75" s="233"/>
      <c r="AC75" s="235" t="str">
        <f>IF(ISERROR(VLOOKUP(CONCATENATE($AC$68,"_",AB75),選手名簿!$A:$E,5,FALSE))=TRUE,"",VLOOKUP(CONCATENATE($AC$68,"_",AB75),選手名簿!$A:$E,5,FALSE))</f>
        <v/>
      </c>
    </row>
    <row r="76" spans="1:29" ht="20.25" hidden="1" customHeight="1" x14ac:dyDescent="0.15">
      <c r="E76" s="231" t="s">
        <v>343</v>
      </c>
      <c r="F76" s="232" t="str">
        <f>IF(ISERROR(VLOOKUP(CONCATENATE($F$68,"_",G76),選手名簿!$A:$E,5,FALSE))=TRUE,"",VLOOKUP(CONCATENATE($F$68,"_",G76),選手名簿!$A:$E,5,FALSE))</f>
        <v/>
      </c>
      <c r="G76" s="233"/>
      <c r="H76" s="233"/>
      <c r="I76" s="233"/>
      <c r="J76" s="234"/>
      <c r="K76" s="233"/>
      <c r="L76" s="233"/>
      <c r="M76" s="233"/>
      <c r="N76" s="235" t="str">
        <f>IF(ISERROR(VLOOKUP(CONCATENATE($N$68,"_",M76),選手名簿!$A:$E,5,FALSE))=TRUE,"",VLOOKUP(CONCATENATE($N$68,"_",M76),選手名簿!$A:$E,5,FALSE))</f>
        <v/>
      </c>
      <c r="T76" s="231" t="s">
        <v>343</v>
      </c>
      <c r="U76" s="232" t="str">
        <f>IF(ISERROR(VLOOKUP(CONCATENATE($U$68,"_",V76),選手名簿!$A:$E,5,FALSE))=TRUE,"",VLOOKUP(CONCATENATE($U$68,"_",V76),選手名簿!$A:$E,5,FALSE))</f>
        <v/>
      </c>
      <c r="V76" s="233"/>
      <c r="W76" s="233"/>
      <c r="X76" s="233"/>
      <c r="Y76" s="234"/>
      <c r="Z76" s="233"/>
      <c r="AA76" s="233"/>
      <c r="AB76" s="233"/>
      <c r="AC76" s="235" t="str">
        <f>IF(ISERROR(VLOOKUP(CONCATENATE($AC$68,"_",AB76),選手名簿!$A:$E,5,FALSE))=TRUE,"",VLOOKUP(CONCATENATE($AC$68,"_",AB76),選手名簿!$A:$E,5,FALSE))</f>
        <v/>
      </c>
    </row>
    <row r="77" spans="1:29" ht="20.25" hidden="1" customHeight="1" x14ac:dyDescent="0.15">
      <c r="E77" s="231" t="s">
        <v>343</v>
      </c>
      <c r="F77" s="232" t="str">
        <f>IF(ISERROR(VLOOKUP(CONCATENATE($F$68,"_",G77),選手名簿!$A:$E,5,FALSE))=TRUE,"",VLOOKUP(CONCATENATE($F$68,"_",G77),選手名簿!$A:$E,5,FALSE))</f>
        <v/>
      </c>
      <c r="G77" s="233"/>
      <c r="H77" s="233"/>
      <c r="I77" s="233"/>
      <c r="J77" s="234"/>
      <c r="K77" s="233"/>
      <c r="L77" s="233"/>
      <c r="M77" s="233"/>
      <c r="N77" s="235" t="str">
        <f>IF(ISERROR(VLOOKUP(CONCATENATE($N$68,"_",M77),選手名簿!$A:$E,5,FALSE))=TRUE,"",VLOOKUP(CONCATENATE($N$68,"_",M77),選手名簿!$A:$E,5,FALSE))</f>
        <v/>
      </c>
      <c r="T77" s="231" t="s">
        <v>343</v>
      </c>
      <c r="U77" s="232" t="str">
        <f>IF(ISERROR(VLOOKUP(CONCATENATE($U$68,"_",V77),選手名簿!$A:$E,5,FALSE))=TRUE,"",VLOOKUP(CONCATENATE($U$68,"_",V77),選手名簿!$A:$E,5,FALSE))</f>
        <v/>
      </c>
      <c r="V77" s="233"/>
      <c r="W77" s="233"/>
      <c r="X77" s="233"/>
      <c r="Y77" s="234"/>
      <c r="Z77" s="233"/>
      <c r="AA77" s="233"/>
      <c r="AB77" s="233"/>
      <c r="AC77" s="235" t="str">
        <f>IF(ISERROR(VLOOKUP(CONCATENATE($AC$68,"_",AB77),選手名簿!$A:$E,5,FALSE))=TRUE,"",VLOOKUP(CONCATENATE($AC$68,"_",AB77),選手名簿!$A:$E,5,FALSE))</f>
        <v/>
      </c>
    </row>
    <row r="78" spans="1:29" ht="20.25" hidden="1" customHeight="1" x14ac:dyDescent="0.15">
      <c r="E78" s="231" t="s">
        <v>343</v>
      </c>
      <c r="F78" s="232" t="str">
        <f>IF(ISERROR(VLOOKUP(CONCATENATE($F$68,"_",G78),選手名簿!$A:$E,5,FALSE))=TRUE,"",VLOOKUP(CONCATENATE($F$68,"_",G78),選手名簿!$A:$E,5,FALSE))</f>
        <v/>
      </c>
      <c r="G78" s="233"/>
      <c r="H78" s="233"/>
      <c r="I78" s="233"/>
      <c r="J78" s="234"/>
      <c r="K78" s="233"/>
      <c r="L78" s="233"/>
      <c r="M78" s="233"/>
      <c r="N78" s="235" t="str">
        <f>IF(ISERROR(VLOOKUP(CONCATENATE($N$68,"_",M78),選手名簿!$A:$E,5,FALSE))=TRUE,"",VLOOKUP(CONCATENATE($N$68,"_",M78),選手名簿!$A:$E,5,FALSE))</f>
        <v/>
      </c>
      <c r="T78" s="231" t="s">
        <v>343</v>
      </c>
      <c r="U78" s="232" t="str">
        <f>IF(ISERROR(VLOOKUP(CONCATENATE($U$68,"_",V78),選手名簿!$A:$E,5,FALSE))=TRUE,"",VLOOKUP(CONCATENATE($U$68,"_",V78),選手名簿!$A:$E,5,FALSE))</f>
        <v/>
      </c>
      <c r="V78" s="233"/>
      <c r="W78" s="233"/>
      <c r="X78" s="233"/>
      <c r="Y78" s="234"/>
      <c r="Z78" s="233"/>
      <c r="AA78" s="233"/>
      <c r="AB78" s="233"/>
      <c r="AC78" s="235" t="str">
        <f>IF(ISERROR(VLOOKUP(CONCATENATE($AC$68,"_",AB78),選手名簿!$A:$E,5,FALSE))=TRUE,"",VLOOKUP(CONCATENATE($AC$68,"_",AB78),選手名簿!$A:$E,5,FALSE))</f>
        <v/>
      </c>
    </row>
    <row r="79" spans="1:29" ht="20.25" hidden="1" customHeight="1" x14ac:dyDescent="0.15">
      <c r="E79" s="231" t="s">
        <v>343</v>
      </c>
      <c r="F79" s="232" t="str">
        <f>IF(ISERROR(VLOOKUP(CONCATENATE($F$68,"_",G79),選手名簿!$A:$E,5,FALSE))=TRUE,"",VLOOKUP(CONCATENATE($F$68,"_",G79),選手名簿!$A:$E,5,FALSE))</f>
        <v/>
      </c>
      <c r="G79" s="233"/>
      <c r="H79" s="233"/>
      <c r="I79" s="233"/>
      <c r="J79" s="234"/>
      <c r="K79" s="233"/>
      <c r="L79" s="233"/>
      <c r="M79" s="233"/>
      <c r="N79" s="235" t="str">
        <f>IF(ISERROR(VLOOKUP(CONCATENATE($N$68,"_",M79),選手名簿!$A:$E,5,FALSE))=TRUE,"",VLOOKUP(CONCATENATE($N$68,"_",M79),選手名簿!$A:$E,5,FALSE))</f>
        <v/>
      </c>
      <c r="T79" s="231" t="s">
        <v>343</v>
      </c>
      <c r="U79" s="232" t="str">
        <f>IF(ISERROR(VLOOKUP(CONCATENATE($U$68,"_",V79),選手名簿!$A:$E,5,FALSE))=TRUE,"",VLOOKUP(CONCATENATE($U$68,"_",V79),選手名簿!$A:$E,5,FALSE))</f>
        <v/>
      </c>
      <c r="V79" s="233"/>
      <c r="W79" s="233"/>
      <c r="X79" s="233"/>
      <c r="Y79" s="234"/>
      <c r="Z79" s="233"/>
      <c r="AA79" s="233"/>
      <c r="AB79" s="233"/>
      <c r="AC79" s="235" t="str">
        <f>IF(ISERROR(VLOOKUP(CONCATENATE($AC$68,"_",AB79),選手名簿!$A:$E,5,FALSE))=TRUE,"",VLOOKUP(CONCATENATE($AC$68,"_",AB79),選手名簿!$A:$E,5,FALSE))</f>
        <v/>
      </c>
    </row>
    <row r="80" spans="1:29" ht="20.25" hidden="1" customHeight="1" x14ac:dyDescent="0.15">
      <c r="E80" s="231" t="s">
        <v>343</v>
      </c>
      <c r="F80" s="232" t="str">
        <f>IF(ISERROR(VLOOKUP(CONCATENATE($F$68,"_",G80),選手名簿!$A:$E,5,FALSE))=TRUE,"",VLOOKUP(CONCATENATE($F$68,"_",G80),選手名簿!$A:$E,5,FALSE))</f>
        <v/>
      </c>
      <c r="G80" s="233"/>
      <c r="H80" s="233"/>
      <c r="I80" s="233"/>
      <c r="J80" s="234"/>
      <c r="K80" s="233"/>
      <c r="L80" s="233"/>
      <c r="M80" s="233"/>
      <c r="N80" s="235" t="str">
        <f>IF(ISERROR(VLOOKUP(CONCATENATE($N$68,"_",M80),選手名簿!$A:$E,5,FALSE))=TRUE,"",VLOOKUP(CONCATENATE($N$68,"_",M80),選手名簿!$A:$E,5,FALSE))</f>
        <v/>
      </c>
      <c r="T80" s="231" t="s">
        <v>343</v>
      </c>
      <c r="U80" s="232" t="str">
        <f>IF(ISERROR(VLOOKUP(CONCATENATE($U$68,"_",V80),選手名簿!$A:$E,5,FALSE))=TRUE,"",VLOOKUP(CONCATENATE($U$68,"_",V80),選手名簿!$A:$E,5,FALSE))</f>
        <v/>
      </c>
      <c r="V80" s="233"/>
      <c r="W80" s="233"/>
      <c r="X80" s="233"/>
      <c r="Y80" s="234"/>
      <c r="Z80" s="233"/>
      <c r="AA80" s="233"/>
      <c r="AB80" s="233"/>
      <c r="AC80" s="235" t="str">
        <f>IF(ISERROR(VLOOKUP(CONCATENATE($AC$68,"_",AB80),選手名簿!$A:$E,5,FALSE))=TRUE,"",VLOOKUP(CONCATENATE($AC$68,"_",AB80),選手名簿!$A:$E,5,FALSE))</f>
        <v/>
      </c>
    </row>
    <row r="81" spans="1:29" ht="20.25" hidden="1" customHeight="1" x14ac:dyDescent="0.15">
      <c r="E81" s="236" t="s">
        <v>343</v>
      </c>
      <c r="F81" s="237" t="str">
        <f>IF(ISERROR(VLOOKUP(CONCATENATE($F$68,"_",G81),選手名簿!$A:$E,5,FALSE))=TRUE,"",VLOOKUP(CONCATENATE($F$68,"_",G81),選手名簿!$A:$E,5,FALSE))</f>
        <v/>
      </c>
      <c r="G81" s="238"/>
      <c r="H81" s="238"/>
      <c r="I81" s="238"/>
      <c r="J81" s="239"/>
      <c r="K81" s="238"/>
      <c r="L81" s="238"/>
      <c r="M81" s="238"/>
      <c r="N81" s="240" t="str">
        <f>IF(ISERROR(VLOOKUP(CONCATENATE($N$68,"_",M81),選手名簿!$A:$E,5,FALSE))=TRUE,"",VLOOKUP(CONCATENATE($N$68,"_",M81),選手名簿!$A:$E,5,FALSE))</f>
        <v/>
      </c>
      <c r="T81" s="236" t="s">
        <v>343</v>
      </c>
      <c r="U81" s="237" t="str">
        <f>IF(ISERROR(VLOOKUP(CONCATENATE($U$68,"_",V81),選手名簿!$A:$E,5,FALSE))=TRUE,"",VLOOKUP(CONCATENATE($U$68,"_",V81),選手名簿!$A:$E,5,FALSE))</f>
        <v/>
      </c>
      <c r="V81" s="238"/>
      <c r="W81" s="238"/>
      <c r="X81" s="238"/>
      <c r="Y81" s="239"/>
      <c r="Z81" s="238"/>
      <c r="AA81" s="238"/>
      <c r="AB81" s="238"/>
      <c r="AC81" s="240" t="str">
        <f>IF(ISERROR(VLOOKUP(CONCATENATE($AC$68,"_",AB81),選手名簿!$A:$E,5,FALSE))=TRUE,"",VLOOKUP(CONCATENATE($AC$68,"_",AB81),選手名簿!$A:$E,5,FALSE))</f>
        <v/>
      </c>
    </row>
    <row r="82" spans="1:29" ht="20.25" customHeight="1" x14ac:dyDescent="0.15">
      <c r="A82" s="241" t="s">
        <v>342</v>
      </c>
      <c r="B82" s="789"/>
      <c r="C82" s="789"/>
      <c r="D82" s="789"/>
      <c r="E82" s="231" t="s">
        <v>243</v>
      </c>
      <c r="F82" s="232" t="str">
        <f>IF(ISERROR(VLOOKUP(CONCATENATE($F$68,"_",G82),選手名簿!$A:$E,5,FALSE))=TRUE,"",VLOOKUP(CONCATENATE($F$68,"_",G82),選手名簿!$A:$E,5,FALSE))</f>
        <v/>
      </c>
      <c r="G82" s="233"/>
      <c r="H82" s="233"/>
      <c r="I82" s="233"/>
      <c r="J82" s="234"/>
      <c r="K82" s="233"/>
      <c r="L82" s="233"/>
      <c r="M82" s="233"/>
      <c r="N82" s="235" t="str">
        <f>IF(ISERROR(VLOOKUP(CONCATENATE($N$68,"_",M82),選手名簿!$A:$E,5,FALSE))=TRUE,"",VLOOKUP(CONCATENATE($N$68,"_",M82),選手名簿!$A:$E,5,FALSE))</f>
        <v/>
      </c>
      <c r="P82" s="241" t="s">
        <v>342</v>
      </c>
      <c r="Q82" s="786"/>
      <c r="R82" s="786"/>
      <c r="S82" s="786"/>
      <c r="T82" s="231" t="s">
        <v>243</v>
      </c>
      <c r="U82" s="232" t="str">
        <f>IF(ISERROR(VLOOKUP(CONCATENATE($U$68,"_",V82),選手名簿!$A:$E,5,FALSE))=TRUE,"",VLOOKUP(CONCATENATE($U$68,"_",V82),選手名簿!$A:$E,5,FALSE))</f>
        <v/>
      </c>
      <c r="V82" s="233"/>
      <c r="W82" s="233"/>
      <c r="X82" s="233"/>
      <c r="Y82" s="234"/>
      <c r="Z82" s="233"/>
      <c r="AA82" s="233"/>
      <c r="AB82" s="233"/>
      <c r="AC82" s="235" t="str">
        <f>IF(ISERROR(VLOOKUP(CONCATENATE($AC$68,"_",AB82),選手名簿!$A:$E,5,FALSE))=TRUE,"",VLOOKUP(CONCATENATE($AC$68,"_",AB82),選手名簿!$A:$E,5,FALSE))</f>
        <v/>
      </c>
    </row>
    <row r="83" spans="1:29" ht="20.25" customHeight="1" x14ac:dyDescent="0.15">
      <c r="A83" s="242" t="s">
        <v>344</v>
      </c>
      <c r="B83" s="790" t="str">
        <f>IF(ISERROR(VLOOKUP(B82,審判員!$A:$C,2,FALSE))=TRUE,"",VLOOKUP(B82,審判員!$A:$C,2,FALSE))</f>
        <v/>
      </c>
      <c r="C83" s="791"/>
      <c r="D83" s="242" t="str">
        <f>IF(ISERROR(VLOOKUP(B82,審判員!$A:$C,3,FALSE))=TRUE,"",VLOOKUP(B82,審判員!$A:$C,3,FALSE))</f>
        <v/>
      </c>
      <c r="E83" s="244" t="s">
        <v>243</v>
      </c>
      <c r="F83" s="245" t="str">
        <f>IF(ISERROR(VLOOKUP(CONCATENATE($F$68,"_",G83),選手名簿!$A:$E,5,FALSE))=TRUE,"",VLOOKUP(CONCATENATE($F$68,"_",G83),選手名簿!$A:$E,5,FALSE))</f>
        <v/>
      </c>
      <c r="G83" s="246"/>
      <c r="H83" s="246"/>
      <c r="I83" s="246"/>
      <c r="J83" s="234"/>
      <c r="K83" s="246"/>
      <c r="L83" s="246"/>
      <c r="M83" s="246"/>
      <c r="N83" s="247" t="str">
        <f>IF(ISERROR(VLOOKUP(CONCATENATE($N$68,"_",M83),選手名簿!$A:$E,5,FALSE))=TRUE,"",VLOOKUP(CONCATENATE($N$68,"_",M83),選手名簿!$A:$E,5,FALSE))</f>
        <v/>
      </c>
      <c r="P83" s="242" t="s">
        <v>344</v>
      </c>
      <c r="Q83" s="790" t="str">
        <f>IF(ISERROR(VLOOKUP(Q82,審判員!$A:$C,2,FALSE))=TRUE,"",VLOOKUP(Q82,審判員!$A:$C,2,FALSE))</f>
        <v/>
      </c>
      <c r="R83" s="791"/>
      <c r="S83" s="242" t="str">
        <f>IF(ISERROR(VLOOKUP(Q82,審判員!$A:$C,3,FALSE))=TRUE,"",VLOOKUP(Q82,審判員!$A:$C,3,FALSE))</f>
        <v/>
      </c>
      <c r="T83" s="244" t="s">
        <v>243</v>
      </c>
      <c r="U83" s="245" t="str">
        <f>IF(ISERROR(VLOOKUP(CONCATENATE($U$68,"_",V83),選手名簿!$A:$E,5,FALSE))=TRUE,"",VLOOKUP(CONCATENATE($U$68,"_",V83),選手名簿!$A:$E,5,FALSE))</f>
        <v/>
      </c>
      <c r="V83" s="246"/>
      <c r="W83" s="246"/>
      <c r="X83" s="246"/>
      <c r="Y83" s="234"/>
      <c r="Z83" s="246"/>
      <c r="AA83" s="246"/>
      <c r="AB83" s="246"/>
      <c r="AC83" s="247" t="str">
        <f>IF(ISERROR(VLOOKUP(CONCATENATE($AC$68,"_",AB83),選手名簿!$A:$E,5,FALSE))=TRUE,"",VLOOKUP(CONCATENATE($AC$68,"_",AB83),選手名簿!$A:$E,5,FALSE))</f>
        <v/>
      </c>
    </row>
    <row r="84" spans="1:29" ht="20.25" customHeight="1" x14ac:dyDescent="0.15">
      <c r="A84" s="430" t="s">
        <v>342</v>
      </c>
      <c r="B84" s="792"/>
      <c r="C84" s="792"/>
      <c r="D84" s="793"/>
      <c r="E84" s="244" t="s">
        <v>243</v>
      </c>
      <c r="F84" s="245" t="str">
        <f>IF(ISERROR(VLOOKUP(CONCATENATE($F$68,"_",G84),選手名簿!$A:$E,5,FALSE))=TRUE,"",VLOOKUP(CONCATENATE($F$68,"_",G84),選手名簿!$A:$E,5,FALSE))</f>
        <v/>
      </c>
      <c r="G84" s="246"/>
      <c r="H84" s="246"/>
      <c r="I84" s="246"/>
      <c r="J84" s="234"/>
      <c r="K84" s="246"/>
      <c r="L84" s="246"/>
      <c r="M84" s="246"/>
      <c r="N84" s="247" t="str">
        <f>IF(ISERROR(VLOOKUP(CONCATENATE($N$68,"_",M84),選手名簿!$A:$E,5,FALSE))=TRUE,"",VLOOKUP(CONCATENATE($N$68,"_",M84),選手名簿!$A:$E,5,FALSE))</f>
        <v/>
      </c>
      <c r="P84" s="430" t="s">
        <v>342</v>
      </c>
      <c r="Q84" s="792"/>
      <c r="R84" s="792"/>
      <c r="S84" s="793"/>
      <c r="T84" s="244" t="s">
        <v>243</v>
      </c>
      <c r="U84" s="245" t="str">
        <f>IF(ISERROR(VLOOKUP(CONCATENATE($U$68,"_",V84),選手名簿!$A:$E,5,FALSE))=TRUE,"",VLOOKUP(CONCATENATE($U$68,"_",V84),選手名簿!$A:$E,5,FALSE))</f>
        <v/>
      </c>
      <c r="V84" s="246"/>
      <c r="W84" s="246"/>
      <c r="X84" s="246"/>
      <c r="Y84" s="234"/>
      <c r="Z84" s="246"/>
      <c r="AA84" s="246"/>
      <c r="AB84" s="246"/>
      <c r="AC84" s="247" t="str">
        <f>IF(ISERROR(VLOOKUP(CONCATENATE($AC$68,"_",AB84),選手名簿!$A:$E,5,FALSE))=TRUE,"",VLOOKUP(CONCATENATE($AC$68,"_",AB84),選手名簿!$A:$E,5,FALSE))</f>
        <v/>
      </c>
    </row>
    <row r="85" spans="1:29" ht="20.25" customHeight="1" x14ac:dyDescent="0.15">
      <c r="A85" s="430" t="s">
        <v>345</v>
      </c>
      <c r="B85" s="796" t="str">
        <f>IF(ISERROR(VLOOKUP(B84,審判員!$A:$C,2,FALSE))=TRUE,"",VLOOKUP(B84,審判員!$A:$C,2,FALSE))</f>
        <v/>
      </c>
      <c r="C85" s="797"/>
      <c r="D85" s="430" t="str">
        <f>IF(ISERROR(VLOOKUP(B84,審判員!$A:$C,3,FALSE))=TRUE,"",VLOOKUP(B84,審判員!$A:$C,3,FALSE))</f>
        <v/>
      </c>
      <c r="E85" s="244" t="s">
        <v>243</v>
      </c>
      <c r="F85" s="245" t="str">
        <f>IF(ISERROR(VLOOKUP(CONCATENATE($F$68,"_",G85),選手名簿!$A:$E,5,FALSE))=TRUE,"",VLOOKUP(CONCATENATE($F$68,"_",G85),選手名簿!$A:$E,5,FALSE))</f>
        <v/>
      </c>
      <c r="G85" s="246"/>
      <c r="H85" s="246"/>
      <c r="I85" s="246"/>
      <c r="J85" s="234"/>
      <c r="K85" s="246"/>
      <c r="L85" s="246"/>
      <c r="M85" s="246"/>
      <c r="N85" s="247" t="str">
        <f>IF(ISERROR(VLOOKUP(CONCATENATE($N$68,"_",M85),選手名簿!$A:$E,5,FALSE))=TRUE,"",VLOOKUP(CONCATENATE($N$68,"_",M85),選手名簿!$A:$E,5,FALSE))</f>
        <v/>
      </c>
      <c r="P85" s="430" t="s">
        <v>345</v>
      </c>
      <c r="Q85" s="796" t="str">
        <f>IF(ISERROR(VLOOKUP(Q84,審判員!$A:$C,2,FALSE))=TRUE,"",VLOOKUP(Q84,審判員!$A:$C,2,FALSE))</f>
        <v/>
      </c>
      <c r="R85" s="797"/>
      <c r="S85" s="430" t="str">
        <f>IF(ISERROR(VLOOKUP(Q84,審判員!$A:$C,3,FALSE))=TRUE,"",VLOOKUP(Q84,審判員!$A:$C,3,FALSE))</f>
        <v/>
      </c>
      <c r="T85" s="244" t="s">
        <v>243</v>
      </c>
      <c r="U85" s="245" t="str">
        <f>IF(ISERROR(VLOOKUP(CONCATENATE($U$68,"_",V85),選手名簿!$A:$E,5,FALSE))=TRUE,"",VLOOKUP(CONCATENATE($U$68,"_",V85),選手名簿!$A:$E,5,FALSE))</f>
        <v/>
      </c>
      <c r="V85" s="246"/>
      <c r="W85" s="246"/>
      <c r="X85" s="246"/>
      <c r="Y85" s="234"/>
      <c r="Z85" s="246"/>
      <c r="AA85" s="246"/>
      <c r="AB85" s="246"/>
      <c r="AC85" s="247" t="str">
        <f>IF(ISERROR(VLOOKUP(CONCATENATE($AC$68,"_",AB85),選手名簿!$A:$E,5,FALSE))=TRUE,"",VLOOKUP(CONCATENATE($AC$68,"_",AB85),選手名簿!$A:$E,5,FALSE))</f>
        <v/>
      </c>
    </row>
    <row r="86" spans="1:29" ht="20.25" customHeight="1" x14ac:dyDescent="0.15">
      <c r="A86" s="430" t="s">
        <v>342</v>
      </c>
      <c r="B86" s="792"/>
      <c r="C86" s="792"/>
      <c r="D86" s="793"/>
      <c r="E86" s="244" t="s">
        <v>243</v>
      </c>
      <c r="F86" s="245" t="str">
        <f>IF(ISERROR(VLOOKUP(CONCATENATE($F$68,"_",G86),選手名簿!$A:$E,5,FALSE))=TRUE,"",VLOOKUP(CONCATENATE($F$68,"_",G86),選手名簿!$A:$E,5,FALSE))</f>
        <v/>
      </c>
      <c r="G86" s="246"/>
      <c r="H86" s="246"/>
      <c r="I86" s="246"/>
      <c r="J86" s="234"/>
      <c r="K86" s="246"/>
      <c r="L86" s="246"/>
      <c r="M86" s="246"/>
      <c r="N86" s="247" t="str">
        <f>IF(ISERROR(VLOOKUP(CONCATENATE($N$68,"_",M86),選手名簿!$A:$E,5,FALSE))=TRUE,"",VLOOKUP(CONCATENATE($N$68,"_",M86),選手名簿!$A:$E,5,FALSE))</f>
        <v/>
      </c>
      <c r="P86" s="430" t="s">
        <v>342</v>
      </c>
      <c r="Q86" s="792"/>
      <c r="R86" s="792"/>
      <c r="S86" s="793"/>
      <c r="T86" s="244" t="s">
        <v>243</v>
      </c>
      <c r="U86" s="245" t="str">
        <f>IF(ISERROR(VLOOKUP(CONCATENATE($U$68,"_",V86),選手名簿!$A:$E,5,FALSE))=TRUE,"",VLOOKUP(CONCATENATE($U$68,"_",V86),選手名簿!$A:$E,5,FALSE))</f>
        <v/>
      </c>
      <c r="V86" s="246"/>
      <c r="W86" s="246"/>
      <c r="X86" s="246"/>
      <c r="Y86" s="234"/>
      <c r="Z86" s="246"/>
      <c r="AA86" s="246"/>
      <c r="AB86" s="246"/>
      <c r="AC86" s="247" t="str">
        <f>IF(ISERROR(VLOOKUP(CONCATENATE($AC$68,"_",AB86),選手名簿!$A:$E,5,FALSE))=TRUE,"",VLOOKUP(CONCATENATE($AC$68,"_",AB86),選手名簿!$A:$E,5,FALSE))</f>
        <v/>
      </c>
    </row>
    <row r="87" spans="1:29" ht="20.25" customHeight="1" x14ac:dyDescent="0.15">
      <c r="A87" s="430" t="s">
        <v>346</v>
      </c>
      <c r="B87" s="796" t="str">
        <f>IF(ISERROR(VLOOKUP(B86,審判員!$A:$C,2,FALSE))=TRUE,"",VLOOKUP(B86,審判員!$A:$C,2,FALSE))</f>
        <v/>
      </c>
      <c r="C87" s="797"/>
      <c r="D87" s="430" t="str">
        <f>IF(ISERROR(VLOOKUP(B86,審判員!$A:$C,3,FALSE))=TRUE,"",VLOOKUP(B86,審判員!$A:$C,3,FALSE))</f>
        <v/>
      </c>
      <c r="E87" s="244" t="s">
        <v>243</v>
      </c>
      <c r="F87" s="245" t="str">
        <f>IF(ISERROR(VLOOKUP(CONCATENATE($F$68,"_",G87),選手名簿!$A:$E,5,FALSE))=TRUE,"",VLOOKUP(CONCATENATE($F$68,"_",G87),選手名簿!$A:$E,5,FALSE))</f>
        <v/>
      </c>
      <c r="G87" s="246"/>
      <c r="H87" s="246"/>
      <c r="I87" s="246"/>
      <c r="J87" s="234"/>
      <c r="K87" s="246"/>
      <c r="L87" s="246"/>
      <c r="M87" s="246"/>
      <c r="N87" s="247" t="str">
        <f>IF(ISERROR(VLOOKUP(CONCATENATE($N$68,"_",M87),選手名簿!$A:$E,5,FALSE))=TRUE,"",VLOOKUP(CONCATENATE($N$68,"_",M87),選手名簿!$A:$E,5,FALSE))</f>
        <v/>
      </c>
      <c r="P87" s="430" t="s">
        <v>346</v>
      </c>
      <c r="Q87" s="796" t="str">
        <f>IF(ISERROR(VLOOKUP(Q86,審判員!$A:$C,2,FALSE))=TRUE,"",VLOOKUP(Q86,審判員!$A:$C,2,FALSE))</f>
        <v/>
      </c>
      <c r="R87" s="797"/>
      <c r="S87" s="430" t="str">
        <f>IF(ISERROR(VLOOKUP(Q86,審判員!$A:$C,3,FALSE))=TRUE,"",VLOOKUP(Q86,審判員!$A:$C,3,FALSE))</f>
        <v/>
      </c>
      <c r="T87" s="244" t="s">
        <v>243</v>
      </c>
      <c r="U87" s="245" t="str">
        <f>IF(ISERROR(VLOOKUP(CONCATENATE($U$68,"_",V87),選手名簿!$A:$E,5,FALSE))=TRUE,"",VLOOKUP(CONCATENATE($U$68,"_",V87),選手名簿!$A:$E,5,FALSE))</f>
        <v/>
      </c>
      <c r="V87" s="246"/>
      <c r="W87" s="246"/>
      <c r="X87" s="246"/>
      <c r="Y87" s="234"/>
      <c r="Z87" s="246"/>
      <c r="AA87" s="246"/>
      <c r="AB87" s="246"/>
      <c r="AC87" s="247" t="str">
        <f>IF(ISERROR(VLOOKUP(CONCATENATE($AC$68,"_",AB87),選手名簿!$A:$E,5,FALSE))=TRUE,"",VLOOKUP(CONCATENATE($AC$68,"_",AB87),選手名簿!$A:$E,5,FALSE))</f>
        <v/>
      </c>
    </row>
    <row r="88" spans="1:29" ht="20.25" customHeight="1" x14ac:dyDescent="0.15">
      <c r="A88" s="241" t="s">
        <v>342</v>
      </c>
      <c r="B88" s="789"/>
      <c r="C88" s="789"/>
      <c r="D88" s="789"/>
      <c r="E88" s="244" t="s">
        <v>243</v>
      </c>
      <c r="F88" s="245" t="str">
        <f>IF(ISERROR(VLOOKUP(CONCATENATE($F$68,"_",G88),選手名簿!$A:$E,5,FALSE))=TRUE,"",VLOOKUP(CONCATENATE($F$68,"_",G88),選手名簿!$A:$E,5,FALSE))</f>
        <v/>
      </c>
      <c r="G88" s="246"/>
      <c r="H88" s="246"/>
      <c r="I88" s="246"/>
      <c r="J88" s="234"/>
      <c r="K88" s="246"/>
      <c r="L88" s="246"/>
      <c r="M88" s="246"/>
      <c r="N88" s="247" t="str">
        <f>IF(ISERROR(VLOOKUP(CONCATENATE($N$68,"_",M88),選手名簿!$A:$E,5,FALSE))=TRUE,"",VLOOKUP(CONCATENATE($N$68,"_",M88),選手名簿!$A:$E,5,FALSE))</f>
        <v/>
      </c>
      <c r="P88" s="241" t="s">
        <v>342</v>
      </c>
      <c r="Q88" s="789"/>
      <c r="R88" s="789"/>
      <c r="S88" s="789"/>
      <c r="T88" s="244" t="s">
        <v>243</v>
      </c>
      <c r="U88" s="245" t="str">
        <f>IF(ISERROR(VLOOKUP(CONCATENATE($U$68,"_",V88),選手名簿!$A:$E,5,FALSE))=TRUE,"",VLOOKUP(CONCATENATE($U$68,"_",V88),選手名簿!$A:$E,5,FALSE))</f>
        <v/>
      </c>
      <c r="V88" s="246"/>
      <c r="W88" s="246"/>
      <c r="X88" s="246"/>
      <c r="Y88" s="234"/>
      <c r="Z88" s="246"/>
      <c r="AA88" s="246"/>
      <c r="AB88" s="246"/>
      <c r="AC88" s="247" t="str">
        <f>IF(ISERROR(VLOOKUP(CONCATENATE($AC$68,"_",AB88),選手名簿!$A:$E,5,FALSE))=TRUE,"",VLOOKUP(CONCATENATE($AC$68,"_",AB88),選手名簿!$A:$E,5,FALSE))</f>
        <v/>
      </c>
    </row>
    <row r="89" spans="1:29" ht="20.25" customHeight="1" x14ac:dyDescent="0.15">
      <c r="A89" s="242" t="s">
        <v>347</v>
      </c>
      <c r="B89" s="790" t="str">
        <f>IF(ISERROR(VLOOKUP(B88,審判員!$A:$C,2,FALSE))=TRUE,"",VLOOKUP(B88,審判員!$A:$C,2,FALSE))</f>
        <v/>
      </c>
      <c r="C89" s="791"/>
      <c r="D89" s="242" t="str">
        <f>IF(ISERROR(VLOOKUP(B88,審判員!$A:$C,3,FALSE))=TRUE,"",VLOOKUP(B88,審判員!$A:$C,3,FALSE))</f>
        <v/>
      </c>
      <c r="E89" s="248" t="s">
        <v>243</v>
      </c>
      <c r="F89" s="249" t="str">
        <f>IF(ISERROR(VLOOKUP(CONCATENATE($F$68,"_",G89),選手名簿!$A:$E,5,FALSE))=TRUE,"",VLOOKUP(CONCATENATE($F$68,"_",G89),選手名簿!$A:$E,5,FALSE))</f>
        <v/>
      </c>
      <c r="G89" s="250"/>
      <c r="H89" s="250"/>
      <c r="I89" s="250"/>
      <c r="J89" s="239"/>
      <c r="K89" s="250"/>
      <c r="L89" s="250"/>
      <c r="M89" s="250"/>
      <c r="N89" s="251" t="str">
        <f>IF(ISERROR(VLOOKUP(CONCATENATE($N$68,"_",M89),選手名簿!$A:$E,5,FALSE))=TRUE,"",VLOOKUP(CONCATENATE($N$68,"_",M89),選手名簿!$A:$E,5,FALSE))</f>
        <v/>
      </c>
      <c r="P89" s="242" t="s">
        <v>347</v>
      </c>
      <c r="Q89" s="790" t="str">
        <f>IF(ISERROR(VLOOKUP(Q88,審判員!$A:$C,2,FALSE))=TRUE,"",VLOOKUP(Q88,審判員!$A:$C,2,FALSE))</f>
        <v/>
      </c>
      <c r="R89" s="791"/>
      <c r="S89" s="242" t="str">
        <f>IF(ISERROR(VLOOKUP(Q88,審判員!$A:$C,3,FALSE))=TRUE,"",VLOOKUP(Q88,審判員!$A:$C,3,FALSE))</f>
        <v/>
      </c>
      <c r="T89" s="248" t="s">
        <v>243</v>
      </c>
      <c r="U89" s="249" t="str">
        <f>IF(ISERROR(VLOOKUP(CONCATENATE($U$68,"_",V89),選手名簿!$A:$E,5,FALSE))=TRUE,"",VLOOKUP(CONCATENATE($U$68,"_",V89),選手名簿!$A:$E,5,FALSE))</f>
        <v/>
      </c>
      <c r="V89" s="250"/>
      <c r="W89" s="250"/>
      <c r="X89" s="250"/>
      <c r="Y89" s="239"/>
      <c r="Z89" s="250"/>
      <c r="AA89" s="250"/>
      <c r="AB89" s="250"/>
      <c r="AC89" s="251" t="str">
        <f>IF(ISERROR(VLOOKUP(CONCATENATE($AC$68,"_",AB89),選手名簿!$A:$E,5,FALSE))=TRUE,"",VLOOKUP(CONCATENATE($AC$68,"_",AB89),選手名簿!$A:$E,5,FALSE))</f>
        <v/>
      </c>
    </row>
  </sheetData>
  <mergeCells count="130">
    <mergeCell ref="B86:D86"/>
    <mergeCell ref="Q86:S86"/>
    <mergeCell ref="B87:C87"/>
    <mergeCell ref="Q87:R87"/>
    <mergeCell ref="B88:D88"/>
    <mergeCell ref="Q88:S88"/>
    <mergeCell ref="B89:C89"/>
    <mergeCell ref="Q89:R89"/>
    <mergeCell ref="A71:D71"/>
    <mergeCell ref="P71:S71"/>
    <mergeCell ref="B82:D82"/>
    <mergeCell ref="Q82:S82"/>
    <mergeCell ref="B83:C83"/>
    <mergeCell ref="Q83:R83"/>
    <mergeCell ref="B84:D84"/>
    <mergeCell ref="Q84:S84"/>
    <mergeCell ref="B85:C85"/>
    <mergeCell ref="Q85:R85"/>
    <mergeCell ref="T68:T70"/>
    <mergeCell ref="U68:U70"/>
    <mergeCell ref="V68:V70"/>
    <mergeCell ref="W68:W70"/>
    <mergeCell ref="AA68:AA70"/>
    <mergeCell ref="AB68:AB70"/>
    <mergeCell ref="AC68:AC70"/>
    <mergeCell ref="B69:D69"/>
    <mergeCell ref="Q69:S69"/>
    <mergeCell ref="B70:D70"/>
    <mergeCell ref="Q70:S70"/>
    <mergeCell ref="B57:D57"/>
    <mergeCell ref="Q57:S57"/>
    <mergeCell ref="B58:C58"/>
    <mergeCell ref="Q58:R58"/>
    <mergeCell ref="B59:D59"/>
    <mergeCell ref="Q59:S59"/>
    <mergeCell ref="B60:C60"/>
    <mergeCell ref="Q60:R60"/>
    <mergeCell ref="B68:D68"/>
    <mergeCell ref="E68:E70"/>
    <mergeCell ref="F68:F70"/>
    <mergeCell ref="G68:G70"/>
    <mergeCell ref="H68:H70"/>
    <mergeCell ref="L68:L70"/>
    <mergeCell ref="M68:M70"/>
    <mergeCell ref="N68:N70"/>
    <mergeCell ref="Q68:S68"/>
    <mergeCell ref="A42:D42"/>
    <mergeCell ref="P42:S42"/>
    <mergeCell ref="B53:D53"/>
    <mergeCell ref="Q53:S53"/>
    <mergeCell ref="B54:C54"/>
    <mergeCell ref="Q54:R54"/>
    <mergeCell ref="B55:D55"/>
    <mergeCell ref="Q55:S55"/>
    <mergeCell ref="B56:C56"/>
    <mergeCell ref="Q56:R56"/>
    <mergeCell ref="T39:T41"/>
    <mergeCell ref="U39:U41"/>
    <mergeCell ref="V39:V41"/>
    <mergeCell ref="W39:W41"/>
    <mergeCell ref="AA39:AA41"/>
    <mergeCell ref="AB39:AB41"/>
    <mergeCell ref="AC39:AC41"/>
    <mergeCell ref="B40:D40"/>
    <mergeCell ref="Q40:S40"/>
    <mergeCell ref="B41:D41"/>
    <mergeCell ref="Q41:S41"/>
    <mergeCell ref="B28:D28"/>
    <mergeCell ref="Q28:S28"/>
    <mergeCell ref="B29:C29"/>
    <mergeCell ref="Q29:R29"/>
    <mergeCell ref="B30:D30"/>
    <mergeCell ref="Q30:S30"/>
    <mergeCell ref="B31:C31"/>
    <mergeCell ref="Q31:R31"/>
    <mergeCell ref="B39:D39"/>
    <mergeCell ref="E39:E41"/>
    <mergeCell ref="F39:F41"/>
    <mergeCell ref="G39:G41"/>
    <mergeCell ref="H39:H41"/>
    <mergeCell ref="L39:L41"/>
    <mergeCell ref="M39:M41"/>
    <mergeCell ref="N39:N41"/>
    <mergeCell ref="Q39:S39"/>
    <mergeCell ref="A13:D13"/>
    <mergeCell ref="P13:S13"/>
    <mergeCell ref="B24:D24"/>
    <mergeCell ref="Q24:S24"/>
    <mergeCell ref="B25:C25"/>
    <mergeCell ref="Q25:R25"/>
    <mergeCell ref="B26:D26"/>
    <mergeCell ref="Q26:S26"/>
    <mergeCell ref="B27:C27"/>
    <mergeCell ref="Q27:R27"/>
    <mergeCell ref="F7:L7"/>
    <mergeCell ref="M7:N7"/>
    <mergeCell ref="U7:AA7"/>
    <mergeCell ref="AB7:AC7"/>
    <mergeCell ref="B10:D10"/>
    <mergeCell ref="E10:E12"/>
    <mergeCell ref="F10:F12"/>
    <mergeCell ref="G10:G12"/>
    <mergeCell ref="H10:H12"/>
    <mergeCell ref="L10:L12"/>
    <mergeCell ref="M10:M12"/>
    <mergeCell ref="N10:N12"/>
    <mergeCell ref="Q10:S10"/>
    <mergeCell ref="T10:T12"/>
    <mergeCell ref="U10:U12"/>
    <mergeCell ref="V10:V12"/>
    <mergeCell ref="W10:W12"/>
    <mergeCell ref="AA10:AA12"/>
    <mergeCell ref="AB10:AB12"/>
    <mergeCell ref="AC10:AC12"/>
    <mergeCell ref="B11:D11"/>
    <mergeCell ref="Q11:S11"/>
    <mergeCell ref="B12:D12"/>
    <mergeCell ref="Q12:S12"/>
    <mergeCell ref="A1:J1"/>
    <mergeCell ref="K1:N1"/>
    <mergeCell ref="P1:Y1"/>
    <mergeCell ref="Z1:AC1"/>
    <mergeCell ref="F5:L5"/>
    <mergeCell ref="M5:N5"/>
    <mergeCell ref="U5:AA5"/>
    <mergeCell ref="AB5:AC5"/>
    <mergeCell ref="F6:L6"/>
    <mergeCell ref="M6:N6"/>
    <mergeCell ref="U6:AA6"/>
    <mergeCell ref="AB6:AC6"/>
  </mergeCells>
  <phoneticPr fontId="77"/>
  <pageMargins left="0" right="0" top="0" bottom="0" header="0.51181102362204722" footer="0.51181102362204722"/>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A00-000000000000}">
          <x14:formula1>
            <xm:f>項目!$G$1:$G$33</xm:f>
          </x14:formula1>
          <xm:sqref>B10:D12 B68:D70 B39:D41 Q10:S12 Q68:S70 Q39:S41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
    <pageSetUpPr fitToPage="1"/>
  </sheetPr>
  <dimension ref="A1:AI62"/>
  <sheetViews>
    <sheetView zoomScale="55" workbookViewId="0">
      <selection activeCell="A2" sqref="A2"/>
    </sheetView>
  </sheetViews>
  <sheetFormatPr defaultColWidth="7.625" defaultRowHeight="30" customHeight="1" x14ac:dyDescent="0.15"/>
  <cols>
    <col min="1" max="20" width="7.625" style="5"/>
    <col min="21" max="35" width="9" style="5" customWidth="1"/>
    <col min="36" max="16384" width="7.625" style="5"/>
  </cols>
  <sheetData>
    <row r="1" spans="2:35" ht="30" customHeight="1" x14ac:dyDescent="0.15">
      <c r="B1" s="104" t="s">
        <v>348</v>
      </c>
      <c r="H1" s="104" t="s">
        <v>11861</v>
      </c>
      <c r="M1" s="254" t="s">
        <v>349</v>
      </c>
      <c r="X1" s="808" t="s">
        <v>11857</v>
      </c>
      <c r="Y1" s="809"/>
      <c r="Z1" s="809"/>
      <c r="AA1" s="809"/>
      <c r="AB1" s="809"/>
      <c r="AC1" s="809"/>
      <c r="AD1" s="809"/>
      <c r="AE1" s="809"/>
      <c r="AF1" s="809"/>
      <c r="AG1" s="809"/>
      <c r="AH1" s="809"/>
      <c r="AI1" s="810"/>
    </row>
    <row r="2" spans="2:35" ht="30" customHeight="1" x14ac:dyDescent="0.15">
      <c r="C2" s="111"/>
      <c r="X2" s="811"/>
      <c r="Y2" s="812"/>
      <c r="Z2" s="812"/>
      <c r="AA2" s="812"/>
      <c r="AB2" s="812"/>
      <c r="AC2" s="812"/>
      <c r="AD2" s="812"/>
      <c r="AE2" s="812"/>
      <c r="AF2" s="812"/>
      <c r="AG2" s="812"/>
      <c r="AH2" s="812"/>
      <c r="AI2" s="813"/>
    </row>
    <row r="3" spans="2:35" ht="30" customHeight="1" x14ac:dyDescent="0.15">
      <c r="E3" s="814" t="s">
        <v>350</v>
      </c>
      <c r="F3" s="815"/>
      <c r="G3" s="816"/>
      <c r="H3" s="817"/>
      <c r="I3" s="817"/>
      <c r="J3" s="817"/>
      <c r="K3" s="817"/>
      <c r="L3" s="818"/>
      <c r="M3" s="38"/>
      <c r="N3" s="819" t="s">
        <v>351</v>
      </c>
      <c r="O3" s="819"/>
      <c r="V3" s="820" t="s">
        <v>291</v>
      </c>
      <c r="W3" s="821"/>
      <c r="X3" s="621" t="s">
        <v>292</v>
      </c>
      <c r="Y3" s="622"/>
      <c r="Z3" s="622"/>
      <c r="AA3" s="622"/>
      <c r="AB3" s="622"/>
      <c r="AC3" s="623"/>
      <c r="AD3" s="825" t="s">
        <v>293</v>
      </c>
      <c r="AE3" s="826"/>
      <c r="AF3" s="826"/>
      <c r="AG3" s="826"/>
      <c r="AH3" s="826"/>
      <c r="AI3" s="827"/>
    </row>
    <row r="4" spans="2:35" ht="30" customHeight="1" x14ac:dyDescent="0.15">
      <c r="B4" s="254"/>
      <c r="I4" s="257"/>
      <c r="J4" s="256"/>
      <c r="K4" s="38"/>
      <c r="L4" s="38"/>
      <c r="M4" s="38"/>
      <c r="N4" s="258" t="s">
        <v>352</v>
      </c>
      <c r="O4" s="258"/>
      <c r="P4" s="258"/>
      <c r="Q4" s="258"/>
      <c r="R4" s="258"/>
      <c r="S4" s="258"/>
      <c r="V4" s="820"/>
      <c r="W4" s="821"/>
      <c r="X4" s="822"/>
      <c r="Y4" s="823"/>
      <c r="Z4" s="823"/>
      <c r="AA4" s="823"/>
      <c r="AB4" s="823"/>
      <c r="AC4" s="824"/>
      <c r="AD4" s="828"/>
      <c r="AE4" s="829"/>
      <c r="AF4" s="829"/>
      <c r="AG4" s="829"/>
      <c r="AH4" s="829"/>
      <c r="AI4" s="830"/>
    </row>
    <row r="5" spans="2:35" ht="30" customHeight="1" x14ac:dyDescent="0.15">
      <c r="B5" s="254"/>
      <c r="I5" s="831" t="str">
        <f>Z27</f>
        <v>Match No：33
前半
後半
延前
延後
ＰＫ</v>
      </c>
      <c r="J5" s="832"/>
      <c r="K5" s="38"/>
      <c r="L5" s="38"/>
      <c r="M5" s="38"/>
      <c r="P5" s="259"/>
      <c r="Q5" s="259"/>
      <c r="R5" s="259"/>
      <c r="S5" s="259"/>
      <c r="V5" s="837" t="s">
        <v>294</v>
      </c>
      <c r="W5" s="838"/>
      <c r="X5" s="127"/>
      <c r="Y5" s="260"/>
      <c r="AA5" s="260"/>
      <c r="AB5" s="260"/>
      <c r="AC5" s="261"/>
      <c r="AD5" s="127"/>
      <c r="AE5" s="260"/>
      <c r="AG5" s="260"/>
      <c r="AH5" s="260"/>
      <c r="AI5" s="261"/>
    </row>
    <row r="6" spans="2:35" ht="30" customHeight="1" x14ac:dyDescent="0.15">
      <c r="B6" s="254"/>
      <c r="I6" s="833"/>
      <c r="J6" s="834"/>
      <c r="K6" s="38"/>
      <c r="L6" s="38"/>
      <c r="M6" s="38"/>
      <c r="N6" s="819" t="s">
        <v>353</v>
      </c>
      <c r="O6" s="819"/>
      <c r="V6" s="821"/>
      <c r="W6" s="839"/>
      <c r="X6" s="262"/>
      <c r="Y6" s="263"/>
      <c r="Z6" s="263"/>
      <c r="AA6" s="263"/>
      <c r="AB6" s="263"/>
      <c r="AC6" s="264"/>
      <c r="AD6" s="262"/>
      <c r="AE6" s="263"/>
      <c r="AF6" s="263"/>
      <c r="AG6" s="263"/>
      <c r="AH6" s="263"/>
      <c r="AI6" s="264"/>
    </row>
    <row r="7" spans="2:35" ht="30" customHeight="1" x14ac:dyDescent="0.15">
      <c r="B7" s="254"/>
      <c r="I7" s="833"/>
      <c r="J7" s="834"/>
      <c r="K7" s="38"/>
      <c r="L7" s="38"/>
      <c r="M7" s="38"/>
      <c r="N7" s="5" t="s">
        <v>352</v>
      </c>
      <c r="P7" s="258"/>
      <c r="Q7" s="258"/>
      <c r="R7" s="258"/>
      <c r="S7" s="258"/>
      <c r="V7" s="821" t="s">
        <v>296</v>
      </c>
      <c r="W7" s="839"/>
      <c r="X7" s="265"/>
      <c r="Y7" s="266"/>
      <c r="Z7" s="267"/>
      <c r="AA7" s="266"/>
      <c r="AB7" s="266"/>
      <c r="AC7" s="268"/>
      <c r="AD7" s="133"/>
      <c r="AE7" s="267"/>
      <c r="AF7" s="267"/>
      <c r="AG7" s="267"/>
      <c r="AH7" s="266"/>
      <c r="AI7" s="268"/>
    </row>
    <row r="8" spans="2:35" ht="30" customHeight="1" x14ac:dyDescent="0.15">
      <c r="B8" s="254"/>
      <c r="I8" s="835"/>
      <c r="J8" s="836"/>
      <c r="K8" s="38"/>
      <c r="L8" s="38"/>
      <c r="M8" s="38"/>
      <c r="N8" s="5" t="s">
        <v>352</v>
      </c>
      <c r="P8" s="258"/>
      <c r="Q8" s="258"/>
      <c r="R8" s="258"/>
      <c r="S8" s="258"/>
      <c r="V8" s="821"/>
      <c r="W8" s="839"/>
      <c r="X8" s="262"/>
      <c r="Y8" s="263"/>
      <c r="Z8" s="263"/>
      <c r="AA8" s="263"/>
      <c r="AB8" s="263"/>
      <c r="AC8" s="264"/>
      <c r="AD8" s="262"/>
      <c r="AE8" s="263"/>
      <c r="AF8" s="263"/>
      <c r="AG8" s="263"/>
      <c r="AH8" s="263"/>
      <c r="AI8" s="264"/>
    </row>
    <row r="9" spans="2:35" ht="30" customHeight="1" x14ac:dyDescent="0.15">
      <c r="B9" s="111"/>
      <c r="E9" s="269"/>
      <c r="F9" s="269"/>
      <c r="J9" s="256"/>
      <c r="K9" s="38"/>
      <c r="L9" s="38"/>
      <c r="M9" s="259"/>
      <c r="U9" s="848" t="s">
        <v>53</v>
      </c>
      <c r="V9" s="842">
        <v>0.39583333333333331</v>
      </c>
      <c r="W9" s="843"/>
      <c r="X9" s="844" t="s">
        <v>354</v>
      </c>
      <c r="Y9" s="798"/>
      <c r="Z9" s="845" t="s">
        <v>11887</v>
      </c>
      <c r="AA9" s="845"/>
      <c r="AB9" s="798" t="s">
        <v>355</v>
      </c>
      <c r="AC9" s="799"/>
      <c r="AD9" s="844" t="s">
        <v>356</v>
      </c>
      <c r="AE9" s="798"/>
      <c r="AF9" s="845" t="s">
        <v>11888</v>
      </c>
      <c r="AG9" s="845"/>
      <c r="AH9" s="798" t="s">
        <v>357</v>
      </c>
      <c r="AI9" s="799"/>
    </row>
    <row r="10" spans="2:35" ht="30" customHeight="1" x14ac:dyDescent="0.15">
      <c r="B10" s="111"/>
      <c r="F10" s="270"/>
      <c r="G10" s="271"/>
      <c r="H10" s="271"/>
      <c r="I10" s="802" t="s">
        <v>358</v>
      </c>
      <c r="J10" s="802"/>
      <c r="K10" s="272"/>
      <c r="L10" s="272"/>
      <c r="M10" s="273"/>
      <c r="U10" s="848"/>
      <c r="V10" s="842"/>
      <c r="W10" s="843"/>
      <c r="X10" s="804"/>
      <c r="Y10" s="800"/>
      <c r="Z10" s="846"/>
      <c r="AA10" s="846"/>
      <c r="AB10" s="800"/>
      <c r="AC10" s="801"/>
      <c r="AD10" s="804"/>
      <c r="AE10" s="800"/>
      <c r="AF10" s="846"/>
      <c r="AG10" s="846"/>
      <c r="AH10" s="800"/>
      <c r="AI10" s="801"/>
    </row>
    <row r="11" spans="2:35" ht="30" customHeight="1" x14ac:dyDescent="0.15">
      <c r="B11" s="111"/>
      <c r="F11" s="274"/>
      <c r="I11" s="803" t="s">
        <v>6832</v>
      </c>
      <c r="J11" s="803"/>
      <c r="K11" s="38"/>
      <c r="L11" s="38"/>
      <c r="M11" s="276"/>
      <c r="N11" s="277"/>
      <c r="U11" s="848"/>
      <c r="V11" s="842"/>
      <c r="W11" s="843"/>
      <c r="X11" s="804" t="str">
        <f>B26</f>
        <v>A-１位</v>
      </c>
      <c r="Y11" s="800"/>
      <c r="Z11" s="846"/>
      <c r="AA11" s="846"/>
      <c r="AB11" s="800" t="str">
        <f>D26</f>
        <v>E-１位</v>
      </c>
      <c r="AC11" s="801"/>
      <c r="AD11" s="804" t="str">
        <f>F26</f>
        <v>B-１位</v>
      </c>
      <c r="AE11" s="800"/>
      <c r="AF11" s="846"/>
      <c r="AG11" s="846"/>
      <c r="AH11" s="800" t="str">
        <f>H26</f>
        <v>F-１位</v>
      </c>
      <c r="AI11" s="801"/>
    </row>
    <row r="12" spans="2:35" ht="30" customHeight="1" x14ac:dyDescent="0.15">
      <c r="B12" s="111"/>
      <c r="E12" s="840" t="s">
        <v>359</v>
      </c>
      <c r="F12" s="841"/>
      <c r="I12" s="275"/>
      <c r="J12" s="275"/>
      <c r="K12" s="38"/>
      <c r="L12" s="38"/>
      <c r="M12" s="840" t="s">
        <v>360</v>
      </c>
      <c r="N12" s="841"/>
      <c r="U12" s="848"/>
      <c r="V12" s="842"/>
      <c r="W12" s="843"/>
      <c r="X12" s="805"/>
      <c r="Y12" s="806"/>
      <c r="Z12" s="847"/>
      <c r="AA12" s="847"/>
      <c r="AB12" s="806"/>
      <c r="AC12" s="807"/>
      <c r="AD12" s="805"/>
      <c r="AE12" s="806"/>
      <c r="AF12" s="847"/>
      <c r="AG12" s="847"/>
      <c r="AH12" s="806"/>
      <c r="AI12" s="807"/>
    </row>
    <row r="13" spans="2:35" ht="30" customHeight="1" x14ac:dyDescent="0.15">
      <c r="B13" s="111"/>
      <c r="E13" s="279"/>
      <c r="F13" s="278"/>
      <c r="I13" s="275"/>
      <c r="J13" s="275"/>
      <c r="K13" s="38"/>
      <c r="L13" s="38"/>
      <c r="M13" s="260"/>
      <c r="N13" s="278"/>
      <c r="U13" s="848" t="s">
        <v>54</v>
      </c>
      <c r="V13" s="842">
        <v>0.43055555555555558</v>
      </c>
      <c r="W13" s="843"/>
      <c r="X13" s="844" t="s">
        <v>361</v>
      </c>
      <c r="Y13" s="798"/>
      <c r="Z13" s="845" t="s">
        <v>11889</v>
      </c>
      <c r="AA13" s="845"/>
      <c r="AB13" s="798" t="s">
        <v>362</v>
      </c>
      <c r="AC13" s="799"/>
      <c r="AD13" s="844" t="s">
        <v>363</v>
      </c>
      <c r="AE13" s="798"/>
      <c r="AF13" s="845" t="s">
        <v>11890</v>
      </c>
      <c r="AG13" s="845"/>
      <c r="AH13" s="798" t="s">
        <v>364</v>
      </c>
      <c r="AI13" s="799"/>
    </row>
    <row r="14" spans="2:35" ht="30" customHeight="1" x14ac:dyDescent="0.15">
      <c r="B14" s="111"/>
      <c r="E14" s="831" t="str">
        <f>Z17</f>
        <v>Match No：29
前半
後半
ＰＫ</v>
      </c>
      <c r="F14" s="832"/>
      <c r="I14" s="275"/>
      <c r="J14" s="275"/>
      <c r="K14" s="38"/>
      <c r="L14" s="38"/>
      <c r="M14" s="831" t="str">
        <f>Z21</f>
        <v>Match No：31
前半
後半
ＰＫ</v>
      </c>
      <c r="N14" s="832"/>
      <c r="U14" s="848"/>
      <c r="V14" s="842"/>
      <c r="W14" s="843"/>
      <c r="X14" s="804"/>
      <c r="Y14" s="800"/>
      <c r="Z14" s="846"/>
      <c r="AA14" s="846"/>
      <c r="AB14" s="800"/>
      <c r="AC14" s="801"/>
      <c r="AD14" s="804"/>
      <c r="AE14" s="800"/>
      <c r="AF14" s="846"/>
      <c r="AG14" s="846"/>
      <c r="AH14" s="800"/>
      <c r="AI14" s="801"/>
    </row>
    <row r="15" spans="2:35" ht="30" customHeight="1" x14ac:dyDescent="0.15">
      <c r="B15" s="111"/>
      <c r="E15" s="833"/>
      <c r="F15" s="834"/>
      <c r="I15" s="275"/>
      <c r="J15" s="275"/>
      <c r="K15" s="38"/>
      <c r="L15" s="38"/>
      <c r="M15" s="833"/>
      <c r="N15" s="834"/>
      <c r="U15" s="848"/>
      <c r="V15" s="842"/>
      <c r="W15" s="843"/>
      <c r="X15" s="804" t="str">
        <f>J26</f>
        <v>C-１位</v>
      </c>
      <c r="Y15" s="800"/>
      <c r="Z15" s="846"/>
      <c r="AA15" s="846"/>
      <c r="AB15" s="800" t="str">
        <f>L26</f>
        <v>G-１位</v>
      </c>
      <c r="AC15" s="801"/>
      <c r="AD15" s="804" t="str">
        <f>N26</f>
        <v>D-１位</v>
      </c>
      <c r="AE15" s="800"/>
      <c r="AF15" s="846"/>
      <c r="AG15" s="846"/>
      <c r="AH15" s="800" t="str">
        <f>P26</f>
        <v>H-１位</v>
      </c>
      <c r="AI15" s="801"/>
    </row>
    <row r="16" spans="2:35" ht="30" customHeight="1" thickBot="1" x14ac:dyDescent="0.2">
      <c r="B16" s="111"/>
      <c r="E16" s="833"/>
      <c r="F16" s="834"/>
      <c r="I16" s="275"/>
      <c r="J16" s="275"/>
      <c r="K16" s="38"/>
      <c r="L16" s="38"/>
      <c r="M16" s="833"/>
      <c r="N16" s="834"/>
      <c r="U16" s="848"/>
      <c r="V16" s="842"/>
      <c r="W16" s="843"/>
      <c r="X16" s="805"/>
      <c r="Y16" s="806"/>
      <c r="Z16" s="847"/>
      <c r="AA16" s="847"/>
      <c r="AB16" s="806"/>
      <c r="AC16" s="807"/>
      <c r="AD16" s="805"/>
      <c r="AE16" s="806"/>
      <c r="AF16" s="847"/>
      <c r="AG16" s="847"/>
      <c r="AH16" s="806"/>
      <c r="AI16" s="807"/>
    </row>
    <row r="17" spans="2:35" ht="30" customHeight="1" x14ac:dyDescent="0.15">
      <c r="B17" s="111"/>
      <c r="E17" s="835"/>
      <c r="F17" s="836"/>
      <c r="I17" s="275"/>
      <c r="J17" s="275"/>
      <c r="K17" s="38"/>
      <c r="L17" s="38"/>
      <c r="M17" s="835"/>
      <c r="N17" s="836"/>
      <c r="U17" s="848" t="s">
        <v>56</v>
      </c>
      <c r="V17" s="842">
        <v>0.46527777777777773</v>
      </c>
      <c r="W17" s="843"/>
      <c r="X17" s="844" t="s">
        <v>367</v>
      </c>
      <c r="Y17" s="798"/>
      <c r="Z17" s="845" t="s">
        <v>11891</v>
      </c>
      <c r="AA17" s="845"/>
      <c r="AB17" s="798" t="s">
        <v>368</v>
      </c>
      <c r="AC17" s="799"/>
      <c r="AD17" s="844" t="s">
        <v>365</v>
      </c>
      <c r="AE17" s="798"/>
      <c r="AF17" s="845" t="s">
        <v>11892</v>
      </c>
      <c r="AG17" s="845"/>
      <c r="AH17" s="798" t="s">
        <v>366</v>
      </c>
      <c r="AI17" s="799"/>
    </row>
    <row r="18" spans="2:35" ht="30" customHeight="1" x14ac:dyDescent="0.15">
      <c r="C18" s="38"/>
      <c r="D18" s="269"/>
      <c r="E18" s="280"/>
      <c r="F18" s="281"/>
      <c r="G18" s="259"/>
      <c r="H18" s="275"/>
      <c r="I18" s="275"/>
      <c r="J18" s="275"/>
      <c r="K18" s="275"/>
      <c r="L18" s="269"/>
      <c r="N18" s="282"/>
      <c r="O18" s="259"/>
      <c r="U18" s="848"/>
      <c r="V18" s="842"/>
      <c r="W18" s="843"/>
      <c r="X18" s="804"/>
      <c r="Y18" s="800"/>
      <c r="Z18" s="846"/>
      <c r="AA18" s="846"/>
      <c r="AB18" s="800"/>
      <c r="AC18" s="801"/>
      <c r="AD18" s="804"/>
      <c r="AE18" s="800"/>
      <c r="AF18" s="846"/>
      <c r="AG18" s="846"/>
      <c r="AH18" s="800"/>
      <c r="AI18" s="801"/>
    </row>
    <row r="19" spans="2:35" ht="30" customHeight="1" x14ac:dyDescent="0.15">
      <c r="B19" s="283"/>
      <c r="C19" s="275"/>
      <c r="D19" s="284"/>
      <c r="E19" s="802" t="s">
        <v>369</v>
      </c>
      <c r="F19" s="802"/>
      <c r="G19" s="285"/>
      <c r="H19" s="283"/>
      <c r="I19" s="275"/>
      <c r="J19" s="283"/>
      <c r="K19" s="283"/>
      <c r="L19" s="284"/>
      <c r="M19" s="802" t="s">
        <v>370</v>
      </c>
      <c r="N19" s="802"/>
      <c r="O19" s="285"/>
      <c r="P19" s="283"/>
      <c r="Q19" s="283"/>
      <c r="U19" s="848"/>
      <c r="V19" s="842"/>
      <c r="W19" s="843"/>
      <c r="X19" s="804" t="str">
        <f>C21</f>
        <v>M N:25 勝</v>
      </c>
      <c r="Y19" s="800"/>
      <c r="Z19" s="846"/>
      <c r="AA19" s="846"/>
      <c r="AB19" s="800" t="str">
        <f>G21</f>
        <v>M N:26 勝</v>
      </c>
      <c r="AC19" s="801"/>
      <c r="AD19" s="804" t="str">
        <f>C28</f>
        <v>M N:25 負</v>
      </c>
      <c r="AE19" s="800"/>
      <c r="AF19" s="846"/>
      <c r="AG19" s="846"/>
      <c r="AH19" s="800" t="str">
        <f>G28</f>
        <v>M N:26 負</v>
      </c>
      <c r="AI19" s="801"/>
    </row>
    <row r="20" spans="2:35" ht="30" customHeight="1" thickBot="1" x14ac:dyDescent="0.2">
      <c r="B20" s="283"/>
      <c r="C20" s="275"/>
      <c r="D20" s="286"/>
      <c r="E20" s="803" t="s">
        <v>11556</v>
      </c>
      <c r="F20" s="803"/>
      <c r="G20" s="287"/>
      <c r="H20" s="283"/>
      <c r="I20" s="275"/>
      <c r="J20" s="283"/>
      <c r="K20" s="283"/>
      <c r="L20" s="286"/>
      <c r="M20" s="803" t="s">
        <v>11557</v>
      </c>
      <c r="N20" s="803"/>
      <c r="O20" s="287"/>
      <c r="P20" s="283"/>
      <c r="Q20" s="283"/>
      <c r="U20" s="848"/>
      <c r="V20" s="842"/>
      <c r="W20" s="843"/>
      <c r="X20" s="805"/>
      <c r="Y20" s="806"/>
      <c r="Z20" s="847"/>
      <c r="AA20" s="847"/>
      <c r="AB20" s="806"/>
      <c r="AC20" s="807"/>
      <c r="AD20" s="805"/>
      <c r="AE20" s="806"/>
      <c r="AF20" s="847"/>
      <c r="AG20" s="847"/>
      <c r="AH20" s="806"/>
      <c r="AI20" s="807"/>
    </row>
    <row r="21" spans="2:35" ht="30" customHeight="1" x14ac:dyDescent="0.15">
      <c r="C21" s="840" t="s">
        <v>371</v>
      </c>
      <c r="D21" s="841"/>
      <c r="E21" s="38"/>
      <c r="F21" s="38"/>
      <c r="G21" s="840" t="s">
        <v>372</v>
      </c>
      <c r="H21" s="841"/>
      <c r="I21" s="38"/>
      <c r="K21" s="840" t="s">
        <v>373</v>
      </c>
      <c r="L21" s="841"/>
      <c r="M21" s="38"/>
      <c r="N21" s="38"/>
      <c r="O21" s="840" t="s">
        <v>374</v>
      </c>
      <c r="P21" s="841"/>
      <c r="U21" s="848" t="s">
        <v>58</v>
      </c>
      <c r="V21" s="842">
        <v>0.5</v>
      </c>
      <c r="W21" s="843"/>
      <c r="X21" s="844" t="s">
        <v>377</v>
      </c>
      <c r="Y21" s="798"/>
      <c r="Z21" s="845" t="s">
        <v>11893</v>
      </c>
      <c r="AA21" s="845"/>
      <c r="AB21" s="798" t="s">
        <v>378</v>
      </c>
      <c r="AC21" s="799"/>
      <c r="AD21" s="844" t="s">
        <v>375</v>
      </c>
      <c r="AE21" s="798"/>
      <c r="AF21" s="845" t="s">
        <v>11894</v>
      </c>
      <c r="AG21" s="845"/>
      <c r="AH21" s="798" t="s">
        <v>376</v>
      </c>
      <c r="AI21" s="799"/>
    </row>
    <row r="22" spans="2:35" ht="30" customHeight="1" x14ac:dyDescent="0.15">
      <c r="C22" s="269"/>
      <c r="D22" s="288"/>
      <c r="E22" s="259"/>
      <c r="F22" s="259"/>
      <c r="G22" s="269"/>
      <c r="H22" s="288"/>
      <c r="I22" s="289"/>
      <c r="J22" s="259"/>
      <c r="K22" s="269"/>
      <c r="L22" s="288"/>
      <c r="M22" s="259"/>
      <c r="N22" s="259"/>
      <c r="O22" s="269"/>
      <c r="P22" s="288"/>
      <c r="U22" s="848"/>
      <c r="V22" s="842"/>
      <c r="W22" s="843"/>
      <c r="X22" s="804"/>
      <c r="Y22" s="800"/>
      <c r="Z22" s="846"/>
      <c r="AA22" s="846"/>
      <c r="AB22" s="800"/>
      <c r="AC22" s="801"/>
      <c r="AD22" s="804"/>
      <c r="AE22" s="800"/>
      <c r="AF22" s="846"/>
      <c r="AG22" s="846"/>
      <c r="AH22" s="800"/>
      <c r="AI22" s="801"/>
    </row>
    <row r="23" spans="2:35" ht="30" customHeight="1" x14ac:dyDescent="0.15">
      <c r="B23" s="283"/>
      <c r="C23" s="849" t="s">
        <v>379</v>
      </c>
      <c r="D23" s="850"/>
      <c r="E23" s="283"/>
      <c r="F23" s="283"/>
      <c r="G23" s="849" t="s">
        <v>380</v>
      </c>
      <c r="H23" s="850"/>
      <c r="I23" s="275"/>
      <c r="J23" s="283"/>
      <c r="K23" s="849" t="s">
        <v>381</v>
      </c>
      <c r="L23" s="850"/>
      <c r="M23" s="283"/>
      <c r="N23" s="275"/>
      <c r="O23" s="849" t="s">
        <v>382</v>
      </c>
      <c r="P23" s="850"/>
      <c r="Q23" s="283"/>
      <c r="U23" s="848"/>
      <c r="V23" s="842"/>
      <c r="W23" s="843"/>
      <c r="X23" s="804" t="str">
        <f>K21</f>
        <v>M N:27 勝</v>
      </c>
      <c r="Y23" s="800"/>
      <c r="Z23" s="846"/>
      <c r="AA23" s="846"/>
      <c r="AB23" s="800" t="str">
        <f>O21</f>
        <v>M N:28 勝</v>
      </c>
      <c r="AC23" s="801"/>
      <c r="AD23" s="804" t="str">
        <f>K28</f>
        <v>M N:27 負</v>
      </c>
      <c r="AE23" s="800"/>
      <c r="AF23" s="846"/>
      <c r="AG23" s="846"/>
      <c r="AH23" s="800" t="str">
        <f>O28</f>
        <v>M N:28 負</v>
      </c>
      <c r="AI23" s="801"/>
    </row>
    <row r="24" spans="2:35" s="111" customFormat="1" ht="30" customHeight="1" thickBot="1" x14ac:dyDescent="0.2">
      <c r="B24" s="5"/>
      <c r="C24" s="851" t="s">
        <v>6836</v>
      </c>
      <c r="D24" s="852"/>
      <c r="E24" s="277"/>
      <c r="F24" s="38"/>
      <c r="G24" s="851" t="s">
        <v>6834</v>
      </c>
      <c r="H24" s="852"/>
      <c r="I24" s="290"/>
      <c r="J24" s="277"/>
      <c r="K24" s="851" t="s">
        <v>6837</v>
      </c>
      <c r="L24" s="852"/>
      <c r="M24" s="277"/>
      <c r="N24" s="277"/>
      <c r="O24" s="851" t="s">
        <v>6835</v>
      </c>
      <c r="P24" s="852"/>
      <c r="Q24" s="277"/>
      <c r="U24" s="848"/>
      <c r="V24" s="842"/>
      <c r="W24" s="843"/>
      <c r="X24" s="805"/>
      <c r="Y24" s="806"/>
      <c r="Z24" s="847"/>
      <c r="AA24" s="847"/>
      <c r="AB24" s="806"/>
      <c r="AC24" s="807"/>
      <c r="AD24" s="805"/>
      <c r="AE24" s="806"/>
      <c r="AF24" s="847"/>
      <c r="AG24" s="847"/>
      <c r="AH24" s="806"/>
      <c r="AI24" s="807"/>
    </row>
    <row r="25" spans="2:35" ht="30" customHeight="1" x14ac:dyDescent="0.3">
      <c r="B25" s="861" t="s">
        <v>354</v>
      </c>
      <c r="C25" s="862"/>
      <c r="D25" s="861" t="s">
        <v>355</v>
      </c>
      <c r="E25" s="862"/>
      <c r="F25" s="861" t="s">
        <v>356</v>
      </c>
      <c r="G25" s="863"/>
      <c r="H25" s="861" t="s">
        <v>357</v>
      </c>
      <c r="I25" s="863"/>
      <c r="J25" s="861" t="s">
        <v>361</v>
      </c>
      <c r="K25" s="863"/>
      <c r="L25" s="861" t="s">
        <v>362</v>
      </c>
      <c r="M25" s="863"/>
      <c r="N25" s="861" t="s">
        <v>363</v>
      </c>
      <c r="O25" s="863"/>
      <c r="P25" s="861" t="s">
        <v>364</v>
      </c>
      <c r="Q25" s="863"/>
      <c r="V25" s="842">
        <v>0.53472222222222221</v>
      </c>
      <c r="W25" s="843"/>
      <c r="X25" s="853" t="s">
        <v>383</v>
      </c>
      <c r="Y25" s="854"/>
      <c r="Z25" s="854"/>
      <c r="AA25" s="854"/>
      <c r="AB25" s="854"/>
      <c r="AC25" s="854"/>
      <c r="AD25" s="854"/>
      <c r="AE25" s="854"/>
      <c r="AF25" s="854"/>
      <c r="AG25" s="854"/>
      <c r="AH25" s="854"/>
      <c r="AI25" s="855"/>
    </row>
    <row r="26" spans="2:35" ht="30" customHeight="1" thickBot="1" x14ac:dyDescent="0.2">
      <c r="B26" s="859" t="s">
        <v>354</v>
      </c>
      <c r="C26" s="860"/>
      <c r="D26" s="859" t="s">
        <v>355</v>
      </c>
      <c r="E26" s="860"/>
      <c r="F26" s="859" t="s">
        <v>356</v>
      </c>
      <c r="G26" s="860"/>
      <c r="H26" s="859" t="s">
        <v>357</v>
      </c>
      <c r="I26" s="860"/>
      <c r="J26" s="859" t="s">
        <v>361</v>
      </c>
      <c r="K26" s="860"/>
      <c r="L26" s="859" t="s">
        <v>362</v>
      </c>
      <c r="M26" s="860"/>
      <c r="N26" s="859" t="s">
        <v>363</v>
      </c>
      <c r="O26" s="860"/>
      <c r="P26" s="859" t="s">
        <v>364</v>
      </c>
      <c r="Q26" s="860"/>
      <c r="U26" s="111"/>
      <c r="V26" s="842"/>
      <c r="W26" s="843"/>
      <c r="X26" s="856"/>
      <c r="Y26" s="857"/>
      <c r="Z26" s="857"/>
      <c r="AA26" s="857"/>
      <c r="AB26" s="857"/>
      <c r="AC26" s="857"/>
      <c r="AD26" s="857"/>
      <c r="AE26" s="857"/>
      <c r="AF26" s="857"/>
      <c r="AG26" s="857"/>
      <c r="AH26" s="857"/>
      <c r="AI26" s="858"/>
    </row>
    <row r="27" spans="2:35" ht="30" customHeight="1" x14ac:dyDescent="0.15">
      <c r="U27" s="848" t="s">
        <v>60</v>
      </c>
      <c r="V27" s="842">
        <v>0.59027777777777779</v>
      </c>
      <c r="W27" s="843"/>
      <c r="X27" s="844" t="s">
        <v>384</v>
      </c>
      <c r="Y27" s="798"/>
      <c r="Z27" s="845" t="s">
        <v>11895</v>
      </c>
      <c r="AA27" s="845"/>
      <c r="AB27" s="798" t="s">
        <v>385</v>
      </c>
      <c r="AC27" s="799"/>
      <c r="AD27" s="844"/>
      <c r="AE27" s="798"/>
      <c r="AF27" s="845"/>
      <c r="AG27" s="845"/>
      <c r="AH27" s="798"/>
      <c r="AI27" s="799"/>
    </row>
    <row r="28" spans="2:35" ht="30" customHeight="1" x14ac:dyDescent="0.15">
      <c r="B28" s="291"/>
      <c r="C28" s="840" t="s">
        <v>386</v>
      </c>
      <c r="D28" s="841"/>
      <c r="E28" s="38"/>
      <c r="F28" s="38"/>
      <c r="G28" s="840" t="s">
        <v>387</v>
      </c>
      <c r="H28" s="841"/>
      <c r="I28" s="38"/>
      <c r="K28" s="840" t="s">
        <v>388</v>
      </c>
      <c r="L28" s="841"/>
      <c r="M28" s="38"/>
      <c r="N28" s="38"/>
      <c r="O28" s="840" t="s">
        <v>389</v>
      </c>
      <c r="P28" s="841"/>
      <c r="Q28" s="38"/>
      <c r="U28" s="848"/>
      <c r="V28" s="842"/>
      <c r="W28" s="843"/>
      <c r="X28" s="804"/>
      <c r="Y28" s="800"/>
      <c r="Z28" s="846"/>
      <c r="AA28" s="846"/>
      <c r="AB28" s="800"/>
      <c r="AC28" s="801"/>
      <c r="AD28" s="804"/>
      <c r="AE28" s="800"/>
      <c r="AF28" s="846"/>
      <c r="AG28" s="846"/>
      <c r="AH28" s="800"/>
      <c r="AI28" s="801"/>
    </row>
    <row r="29" spans="2:35" ht="30" customHeight="1" x14ac:dyDescent="0.15">
      <c r="D29" s="274"/>
      <c r="E29" s="803" t="s">
        <v>390</v>
      </c>
      <c r="F29" s="803"/>
      <c r="G29" s="292"/>
      <c r="L29" s="274"/>
      <c r="M29" s="803" t="s">
        <v>391</v>
      </c>
      <c r="N29" s="803"/>
      <c r="O29" s="292"/>
      <c r="U29" s="848"/>
      <c r="V29" s="842"/>
      <c r="W29" s="843"/>
      <c r="X29" s="804" t="str">
        <f>E12</f>
        <v>M N:29 勝</v>
      </c>
      <c r="Y29" s="800"/>
      <c r="Z29" s="846"/>
      <c r="AA29" s="846"/>
      <c r="AB29" s="800" t="str">
        <f>M12</f>
        <v>M N:31 勝</v>
      </c>
      <c r="AC29" s="801"/>
      <c r="AD29" s="804"/>
      <c r="AE29" s="800"/>
      <c r="AF29" s="846"/>
      <c r="AG29" s="846"/>
      <c r="AH29" s="800"/>
      <c r="AI29" s="801"/>
    </row>
    <row r="30" spans="2:35" ht="30" customHeight="1" thickBot="1" x14ac:dyDescent="0.2">
      <c r="D30" s="293"/>
      <c r="E30" s="864" t="s">
        <v>6833</v>
      </c>
      <c r="F30" s="864"/>
      <c r="G30" s="294"/>
      <c r="L30" s="293"/>
      <c r="M30" s="864" t="s">
        <v>11558</v>
      </c>
      <c r="N30" s="864"/>
      <c r="O30" s="294"/>
      <c r="U30" s="848"/>
      <c r="V30" s="842"/>
      <c r="W30" s="843"/>
      <c r="X30" s="805"/>
      <c r="Y30" s="806"/>
      <c r="Z30" s="847"/>
      <c r="AA30" s="847"/>
      <c r="AB30" s="806"/>
      <c r="AC30" s="807"/>
      <c r="AD30" s="805"/>
      <c r="AE30" s="806"/>
      <c r="AF30" s="847"/>
      <c r="AG30" s="847"/>
      <c r="AH30" s="806"/>
      <c r="AI30" s="807"/>
    </row>
    <row r="31" spans="2:35" ht="30" customHeight="1" x14ac:dyDescent="0.15">
      <c r="D31" s="269"/>
      <c r="G31" s="259"/>
      <c r="L31" s="269"/>
      <c r="O31" s="259"/>
      <c r="V31" s="842">
        <v>0.625</v>
      </c>
      <c r="W31" s="843"/>
      <c r="X31" s="853" t="s">
        <v>392</v>
      </c>
      <c r="Y31" s="854"/>
      <c r="Z31" s="854"/>
      <c r="AA31" s="854"/>
      <c r="AB31" s="854"/>
      <c r="AC31" s="854"/>
      <c r="AD31" s="854"/>
      <c r="AE31" s="854"/>
      <c r="AF31" s="854"/>
      <c r="AG31" s="854"/>
      <c r="AH31" s="854"/>
      <c r="AI31" s="855"/>
    </row>
    <row r="32" spans="2:35" ht="30" customHeight="1" x14ac:dyDescent="0.15">
      <c r="U32" s="38"/>
      <c r="V32" s="842"/>
      <c r="W32" s="843"/>
      <c r="X32" s="856"/>
      <c r="Y32" s="857"/>
      <c r="Z32" s="857"/>
      <c r="AA32" s="857"/>
      <c r="AB32" s="857"/>
      <c r="AC32" s="857"/>
      <c r="AD32" s="857"/>
      <c r="AE32" s="857"/>
      <c r="AF32" s="857"/>
      <c r="AG32" s="857"/>
      <c r="AH32" s="857"/>
      <c r="AI32" s="858"/>
    </row>
    <row r="38" spans="1:21" s="283" customFormat="1" ht="30" customHeight="1" x14ac:dyDescent="0.15">
      <c r="A38" s="5"/>
      <c r="B38" s="5"/>
      <c r="C38" s="5"/>
      <c r="D38" s="5"/>
      <c r="E38" s="5"/>
      <c r="F38" s="5"/>
      <c r="G38" s="5"/>
      <c r="H38" s="5"/>
      <c r="I38" s="5"/>
      <c r="J38" s="5"/>
      <c r="K38" s="5"/>
      <c r="L38" s="5"/>
      <c r="M38" s="5"/>
      <c r="N38" s="5"/>
      <c r="O38" s="5"/>
      <c r="P38" s="5"/>
    </row>
    <row r="41" spans="1:21" s="283" customFormat="1" ht="30" customHeight="1" x14ac:dyDescent="0.15">
      <c r="A41" s="5"/>
      <c r="B41" s="5"/>
      <c r="C41" s="5"/>
      <c r="D41" s="5"/>
      <c r="E41" s="5"/>
      <c r="F41" s="5"/>
      <c r="G41" s="5"/>
      <c r="H41" s="5"/>
      <c r="I41" s="5"/>
      <c r="J41" s="5"/>
      <c r="K41" s="5"/>
      <c r="L41" s="5"/>
      <c r="M41" s="5"/>
      <c r="N41" s="5"/>
      <c r="O41" s="5"/>
      <c r="P41" s="5"/>
    </row>
    <row r="43" spans="1:21" ht="30" customHeight="1" x14ac:dyDescent="0.15">
      <c r="T43" s="111"/>
      <c r="U43" s="111"/>
    </row>
    <row r="52" spans="19:21" ht="30" customHeight="1" x14ac:dyDescent="0.15">
      <c r="S52" s="115"/>
      <c r="T52" s="295"/>
      <c r="U52" s="295"/>
    </row>
    <row r="53" spans="19:21" ht="30" customHeight="1" x14ac:dyDescent="0.15">
      <c r="S53" s="135"/>
      <c r="T53" s="255"/>
      <c r="U53" s="255"/>
    </row>
    <row r="54" spans="19:21" ht="30" customHeight="1" x14ac:dyDescent="0.15">
      <c r="S54" s="260"/>
      <c r="T54" s="255"/>
      <c r="U54" s="255"/>
    </row>
    <row r="55" spans="19:21" ht="30" customHeight="1" x14ac:dyDescent="0.15">
      <c r="S55" s="296"/>
      <c r="T55" s="296"/>
      <c r="U55" s="296"/>
    </row>
    <row r="56" spans="19:21" ht="30" customHeight="1" x14ac:dyDescent="0.15">
      <c r="S56" s="38"/>
      <c r="T56" s="38"/>
      <c r="U56" s="38"/>
    </row>
    <row r="57" spans="19:21" ht="30" customHeight="1" x14ac:dyDescent="0.15">
      <c r="S57" s="38"/>
      <c r="T57" s="38"/>
      <c r="U57" s="38"/>
    </row>
    <row r="58" spans="19:21" ht="30" customHeight="1" x14ac:dyDescent="0.15">
      <c r="S58" s="38"/>
      <c r="T58" s="38"/>
      <c r="U58" s="38"/>
    </row>
    <row r="59" spans="19:21" ht="30" customHeight="1" x14ac:dyDescent="0.15">
      <c r="S59" s="38"/>
      <c r="T59" s="38"/>
      <c r="U59" s="38"/>
    </row>
    <row r="60" spans="19:21" ht="30" customHeight="1" x14ac:dyDescent="0.15">
      <c r="S60" s="38"/>
      <c r="T60" s="38"/>
      <c r="U60" s="38"/>
    </row>
    <row r="61" spans="19:21" ht="30" customHeight="1" x14ac:dyDescent="0.15">
      <c r="S61" s="38"/>
      <c r="T61" s="38"/>
      <c r="U61" s="38"/>
    </row>
    <row r="62" spans="19:21" ht="30" customHeight="1" x14ac:dyDescent="0.15">
      <c r="S62" s="38"/>
      <c r="T62" s="38"/>
      <c r="U62" s="38"/>
    </row>
  </sheetData>
  <mergeCells count="121">
    <mergeCell ref="V31:W32"/>
    <mergeCell ref="X31:AI32"/>
    <mergeCell ref="U27:U30"/>
    <mergeCell ref="V27:W30"/>
    <mergeCell ref="X27:Y28"/>
    <mergeCell ref="Z27:AA30"/>
    <mergeCell ref="AB27:AC28"/>
    <mergeCell ref="AB29:AC30"/>
    <mergeCell ref="AD27:AE28"/>
    <mergeCell ref="AF27:AG30"/>
    <mergeCell ref="AH27:AI28"/>
    <mergeCell ref="AD29:AE30"/>
    <mergeCell ref="AH29:AI30"/>
    <mergeCell ref="C28:D28"/>
    <mergeCell ref="G28:H28"/>
    <mergeCell ref="K28:L28"/>
    <mergeCell ref="O28:P28"/>
    <mergeCell ref="E29:F29"/>
    <mergeCell ref="M29:N29"/>
    <mergeCell ref="X29:Y30"/>
    <mergeCell ref="E30:F30"/>
    <mergeCell ref="M30:N30"/>
    <mergeCell ref="X25:AI26"/>
    <mergeCell ref="B26:C26"/>
    <mergeCell ref="D26:E26"/>
    <mergeCell ref="F26:G26"/>
    <mergeCell ref="H26:I26"/>
    <mergeCell ref="J26:K26"/>
    <mergeCell ref="L26:M26"/>
    <mergeCell ref="N26:O26"/>
    <mergeCell ref="P26:Q26"/>
    <mergeCell ref="B25:C25"/>
    <mergeCell ref="D25:E25"/>
    <mergeCell ref="F25:G25"/>
    <mergeCell ref="H25:I25"/>
    <mergeCell ref="J25:K25"/>
    <mergeCell ref="L25:M25"/>
    <mergeCell ref="N25:O25"/>
    <mergeCell ref="P25:Q25"/>
    <mergeCell ref="V25:W26"/>
    <mergeCell ref="X21:Y22"/>
    <mergeCell ref="Z21:AA24"/>
    <mergeCell ref="AB21:AC22"/>
    <mergeCell ref="C23:D23"/>
    <mergeCell ref="G23:H23"/>
    <mergeCell ref="K23:L23"/>
    <mergeCell ref="O23:P23"/>
    <mergeCell ref="AD23:AE24"/>
    <mergeCell ref="AH23:AI24"/>
    <mergeCell ref="X23:Y24"/>
    <mergeCell ref="AB23:AC24"/>
    <mergeCell ref="C24:D24"/>
    <mergeCell ref="G24:H24"/>
    <mergeCell ref="K24:L24"/>
    <mergeCell ref="O24:P24"/>
    <mergeCell ref="C21:D21"/>
    <mergeCell ref="G21:H21"/>
    <mergeCell ref="K21:L21"/>
    <mergeCell ref="O21:P21"/>
    <mergeCell ref="U21:U24"/>
    <mergeCell ref="V21:W24"/>
    <mergeCell ref="AD21:AE22"/>
    <mergeCell ref="AF21:AG24"/>
    <mergeCell ref="AH21:AI22"/>
    <mergeCell ref="AH13:AI14"/>
    <mergeCell ref="E14:F17"/>
    <mergeCell ref="M14:N17"/>
    <mergeCell ref="X15:Y16"/>
    <mergeCell ref="AB15:AC16"/>
    <mergeCell ref="AD15:AE16"/>
    <mergeCell ref="AH15:AI16"/>
    <mergeCell ref="U17:U20"/>
    <mergeCell ref="V17:W20"/>
    <mergeCell ref="AD17:AE18"/>
    <mergeCell ref="AF17:AG20"/>
    <mergeCell ref="AH17:AI18"/>
    <mergeCell ref="X17:Y18"/>
    <mergeCell ref="Z17:AA20"/>
    <mergeCell ref="AB17:AC18"/>
    <mergeCell ref="E19:F19"/>
    <mergeCell ref="M19:N19"/>
    <mergeCell ref="AD19:AE20"/>
    <mergeCell ref="AH19:AI20"/>
    <mergeCell ref="X19:Y20"/>
    <mergeCell ref="AB19:AC20"/>
    <mergeCell ref="E20:F20"/>
    <mergeCell ref="M20:N20"/>
    <mergeCell ref="U13:U16"/>
    <mergeCell ref="V13:W16"/>
    <mergeCell ref="X13:Y14"/>
    <mergeCell ref="Z13:AA16"/>
    <mergeCell ref="AB13:AC14"/>
    <mergeCell ref="AD13:AE14"/>
    <mergeCell ref="AF13:AG16"/>
    <mergeCell ref="U9:U12"/>
    <mergeCell ref="V9:W12"/>
    <mergeCell ref="X9:Y10"/>
    <mergeCell ref="Z9:AA12"/>
    <mergeCell ref="AB9:AC10"/>
    <mergeCell ref="AD9:AE10"/>
    <mergeCell ref="AF9:AG12"/>
    <mergeCell ref="AH9:AI10"/>
    <mergeCell ref="I10:J10"/>
    <mergeCell ref="I11:J11"/>
    <mergeCell ref="X11:Y12"/>
    <mergeCell ref="AB11:AC12"/>
    <mergeCell ref="AD11:AE12"/>
    <mergeCell ref="AH11:AI12"/>
    <mergeCell ref="X1:AI2"/>
    <mergeCell ref="E3:F3"/>
    <mergeCell ref="G3:L3"/>
    <mergeCell ref="N3:O3"/>
    <mergeCell ref="V3:W4"/>
    <mergeCell ref="X3:AC4"/>
    <mergeCell ref="AD3:AI4"/>
    <mergeCell ref="I5:J8"/>
    <mergeCell ref="V5:W6"/>
    <mergeCell ref="N6:O6"/>
    <mergeCell ref="V7:W8"/>
    <mergeCell ref="E12:F12"/>
    <mergeCell ref="M12:N12"/>
  </mergeCells>
  <phoneticPr fontId="77"/>
  <printOptions horizontalCentered="1" verticalCentered="1"/>
  <pageMargins left="0" right="0" top="0" bottom="0" header="0.43307086614173229" footer="0.31496062992125984"/>
  <pageSetup paperSize="9" scale="52"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B00-000000000000}">
          <x14:formula1>
            <xm:f>項目!$E$1:$E$6</xm:f>
          </x14:formula1>
          <xm:sqref>X1:AI2</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pageSetUpPr fitToPage="1"/>
  </sheetPr>
  <dimension ref="A1:AC116"/>
  <sheetViews>
    <sheetView zoomScale="70" workbookViewId="0">
      <selection activeCell="A8" sqref="A8:D8"/>
    </sheetView>
  </sheetViews>
  <sheetFormatPr defaultColWidth="9" defaultRowHeight="26.25" customHeight="1" x14ac:dyDescent="0.15"/>
  <cols>
    <col min="1" max="1" width="12.125" style="214" customWidth="1"/>
    <col min="2" max="2" width="11.875" style="214" bestFit="1" customWidth="1"/>
    <col min="3" max="3" width="3.125" style="214" customWidth="1"/>
    <col min="4" max="4" width="6.75" style="214" bestFit="1" customWidth="1"/>
    <col min="5" max="5" width="10.125" style="214" bestFit="1" customWidth="1"/>
    <col min="6" max="6" width="20.625" style="214" customWidth="1"/>
    <col min="7" max="7" width="7.5" style="214" bestFit="1" customWidth="1"/>
    <col min="8" max="8" width="4.5" style="214" bestFit="1" customWidth="1"/>
    <col min="9" max="9" width="7.875" style="214" customWidth="1"/>
    <col min="10" max="10" width="5.25" style="214" customWidth="1"/>
    <col min="11" max="11" width="7.875" style="214" customWidth="1"/>
    <col min="12" max="12" width="4.5" style="214" bestFit="1" customWidth="1"/>
    <col min="13" max="13" width="7.5" style="214" bestFit="1" customWidth="1"/>
    <col min="14" max="14" width="20.625" style="214" customWidth="1"/>
    <col min="15" max="15" width="5" style="214" bestFit="1" customWidth="1"/>
    <col min="16" max="16" width="12.125" style="214" customWidth="1"/>
    <col min="17" max="17" width="11.875" style="214" bestFit="1" customWidth="1"/>
    <col min="18" max="18" width="3.125" style="214" customWidth="1"/>
    <col min="19" max="19" width="6.75" style="214" bestFit="1" customWidth="1"/>
    <col min="20" max="20" width="10.125" style="214" bestFit="1" customWidth="1"/>
    <col min="21" max="21" width="20.625" style="214" customWidth="1"/>
    <col min="22" max="22" width="7.5" style="214" bestFit="1" customWidth="1"/>
    <col min="23" max="23" width="4.5" style="214" bestFit="1" customWidth="1"/>
    <col min="24" max="24" width="7.875" style="214" customWidth="1"/>
    <col min="25" max="25" width="5.25" style="214" customWidth="1"/>
    <col min="26" max="26" width="7.875" style="214" customWidth="1"/>
    <col min="27" max="27" width="4.5" style="214" bestFit="1" customWidth="1"/>
    <col min="28" max="28" width="7.5" style="214" bestFit="1" customWidth="1"/>
    <col min="29" max="29" width="20.625" style="214" customWidth="1"/>
    <col min="30" max="16384" width="9" style="214"/>
  </cols>
  <sheetData>
    <row r="1" spans="1:29" s="215" customFormat="1" ht="26.25" customHeight="1" x14ac:dyDescent="0.15">
      <c r="A1" s="761" t="str">
        <f>大会要項!$B$3</f>
        <v>第15回 全日本不動産協会杯争奪U-12サッカー大会【ラビットカップ】大分県大会</v>
      </c>
      <c r="B1" s="761"/>
      <c r="C1" s="761"/>
      <c r="D1" s="761"/>
      <c r="E1" s="761"/>
      <c r="F1" s="761"/>
      <c r="G1" s="761"/>
      <c r="H1" s="761"/>
      <c r="I1" s="761"/>
      <c r="J1" s="761"/>
      <c r="K1" s="761" t="s">
        <v>393</v>
      </c>
      <c r="L1" s="761"/>
      <c r="M1" s="761"/>
      <c r="N1" s="761"/>
      <c r="O1" s="216"/>
      <c r="P1" s="761" t="str">
        <f>大会要項!$B$3</f>
        <v>第15回 全日本不動産協会杯争奪U-12サッカー大会【ラビットカップ】大分県大会</v>
      </c>
      <c r="Q1" s="761"/>
      <c r="R1" s="761"/>
      <c r="S1" s="761"/>
      <c r="T1" s="761"/>
      <c r="U1" s="761"/>
      <c r="V1" s="761"/>
      <c r="W1" s="761"/>
      <c r="X1" s="761"/>
      <c r="Y1" s="761"/>
      <c r="Z1" s="761" t="s">
        <v>393</v>
      </c>
      <c r="AA1" s="761"/>
      <c r="AB1" s="761"/>
      <c r="AC1" s="761"/>
    </row>
    <row r="2" spans="1:29" ht="26.25" customHeight="1" x14ac:dyDescent="0.15">
      <c r="P2" s="217"/>
      <c r="Q2" s="217"/>
      <c r="R2" s="217"/>
      <c r="S2" s="217"/>
      <c r="T2" s="217"/>
      <c r="U2" s="217"/>
      <c r="V2" s="217"/>
      <c r="W2" s="217"/>
      <c r="X2" s="217"/>
      <c r="Y2" s="217"/>
      <c r="Z2" s="217"/>
      <c r="AA2" s="217"/>
      <c r="AB2" s="217"/>
      <c r="AC2" s="217"/>
    </row>
    <row r="3" spans="1:29" ht="20.25" customHeight="1" x14ac:dyDescent="0.15">
      <c r="A3" s="214" t="s">
        <v>36</v>
      </c>
      <c r="B3" s="218" t="str">
        <f>決勝トーナメント!X1</f>
        <v>クラサス サッカー・ラグビー場　サブA</v>
      </c>
      <c r="C3" s="218"/>
      <c r="D3" s="218"/>
      <c r="E3" s="218"/>
      <c r="G3" s="218" t="str">
        <f>決勝トーナメント!X3</f>
        <v>「A」コート</v>
      </c>
      <c r="H3" s="218"/>
      <c r="I3" s="218"/>
      <c r="J3" s="218"/>
      <c r="K3" s="218"/>
      <c r="L3" s="218"/>
      <c r="P3" s="214" t="s">
        <v>36</v>
      </c>
      <c r="Q3" s="218" t="str">
        <f>決勝トーナメント!X1</f>
        <v>クラサス サッカー・ラグビー場　サブA</v>
      </c>
      <c r="R3" s="218"/>
      <c r="S3" s="218"/>
      <c r="T3" s="218"/>
      <c r="V3" s="409" t="str">
        <f>決勝トーナメント!AD3</f>
        <v>「B」コート</v>
      </c>
      <c r="W3" s="219"/>
      <c r="X3" s="219"/>
      <c r="Y3" s="219"/>
      <c r="Z3" s="219"/>
      <c r="AA3" s="219"/>
      <c r="AB3" s="219"/>
      <c r="AC3" s="219"/>
    </row>
    <row r="4" spans="1:29" ht="26.45" customHeight="1" x14ac:dyDescent="0.15">
      <c r="B4" s="218"/>
      <c r="D4" s="218"/>
      <c r="E4" s="218"/>
      <c r="F4" s="218"/>
      <c r="G4" s="218"/>
      <c r="H4" s="218"/>
      <c r="I4" s="218"/>
      <c r="J4" s="218"/>
      <c r="K4" s="218"/>
      <c r="L4" s="218"/>
      <c r="Q4" s="218"/>
      <c r="S4" s="219"/>
      <c r="T4" s="219"/>
      <c r="U4" s="219"/>
      <c r="V4" s="219"/>
      <c r="W4" s="219"/>
      <c r="X4" s="219"/>
      <c r="Y4" s="219"/>
      <c r="Z4" s="219"/>
      <c r="AA4" s="219"/>
      <c r="AB4" s="219"/>
      <c r="AC4" s="219"/>
    </row>
    <row r="5" spans="1:29" ht="26.25" customHeight="1" x14ac:dyDescent="0.15">
      <c r="B5" s="218" t="s">
        <v>394</v>
      </c>
      <c r="Q5" s="214" t="s">
        <v>395</v>
      </c>
    </row>
    <row r="6" spans="1:29" ht="27.4" customHeight="1" x14ac:dyDescent="0.15">
      <c r="A6" s="223" t="s">
        <v>334</v>
      </c>
      <c r="B6" s="768"/>
      <c r="C6" s="769"/>
      <c r="D6" s="770"/>
      <c r="E6" s="771">
        <v>0.39583333333333331</v>
      </c>
      <c r="F6" s="865" t="e">
        <f>VLOOKUP(決勝トーナメント!B26,組合せ抽選用!$S:$U,3,FALSE)</f>
        <v>#N/A</v>
      </c>
      <c r="G6" s="777" t="str">
        <f>IF(I6="","",SUM(I6:I7))</f>
        <v/>
      </c>
      <c r="H6" s="780" t="s">
        <v>123</v>
      </c>
      <c r="I6" s="224"/>
      <c r="J6" s="224" t="s">
        <v>335</v>
      </c>
      <c r="K6" s="224"/>
      <c r="L6" s="780" t="s">
        <v>336</v>
      </c>
      <c r="M6" s="777" t="str">
        <f>IF(K6="","",SUM(K6:K7))</f>
        <v/>
      </c>
      <c r="N6" s="868" t="e">
        <f>VLOOKUP(決勝トーナメント!D26,組合せ抽選用!$S:$U,3,FALSE)</f>
        <v>#N/A</v>
      </c>
      <c r="P6" s="223" t="s">
        <v>334</v>
      </c>
      <c r="Q6" s="768"/>
      <c r="R6" s="769"/>
      <c r="S6" s="770"/>
      <c r="T6" s="771">
        <v>0.39583333333333331</v>
      </c>
      <c r="U6" s="865" t="e">
        <f>VLOOKUP(決勝トーナメント!F26,組合せ抽選用!$S:$U,3,FALSE)</f>
        <v>#N/A</v>
      </c>
      <c r="V6" s="777" t="str">
        <f>IF(X6="","",SUM(X6:X7))</f>
        <v/>
      </c>
      <c r="W6" s="780" t="s">
        <v>123</v>
      </c>
      <c r="X6" s="224"/>
      <c r="Y6" s="224" t="s">
        <v>335</v>
      </c>
      <c r="Z6" s="224"/>
      <c r="AA6" s="780" t="s">
        <v>336</v>
      </c>
      <c r="AB6" s="777" t="str">
        <f>IF(Z6="","",SUM(Z6:Z7))</f>
        <v/>
      </c>
      <c r="AC6" s="868" t="e">
        <f>VLOOKUP(決勝トーナメント!H26,組合せ抽選用!$S:$U,3,FALSE)</f>
        <v>#N/A</v>
      </c>
    </row>
    <row r="7" spans="1:29" ht="27.4" customHeight="1" x14ac:dyDescent="0.15">
      <c r="A7" s="225" t="s">
        <v>337</v>
      </c>
      <c r="B7" s="786"/>
      <c r="C7" s="786"/>
      <c r="D7" s="768"/>
      <c r="E7" s="772"/>
      <c r="F7" s="866"/>
      <c r="G7" s="778"/>
      <c r="H7" s="781"/>
      <c r="J7" s="214" t="s">
        <v>338</v>
      </c>
      <c r="L7" s="781"/>
      <c r="M7" s="778"/>
      <c r="N7" s="869"/>
      <c r="P7" s="225" t="s">
        <v>337</v>
      </c>
      <c r="Q7" s="786"/>
      <c r="R7" s="786"/>
      <c r="S7" s="768"/>
      <c r="T7" s="772"/>
      <c r="U7" s="866"/>
      <c r="V7" s="778"/>
      <c r="W7" s="781"/>
      <c r="Y7" s="214" t="s">
        <v>338</v>
      </c>
      <c r="AA7" s="781"/>
      <c r="AB7" s="778"/>
      <c r="AC7" s="869"/>
    </row>
    <row r="8" spans="1:29" ht="27.4" customHeight="1" thickBot="1" x14ac:dyDescent="0.2">
      <c r="A8" s="225" t="s">
        <v>339</v>
      </c>
      <c r="B8" s="786"/>
      <c r="C8" s="786"/>
      <c r="D8" s="768"/>
      <c r="E8" s="773"/>
      <c r="F8" s="867"/>
      <c r="G8" s="779"/>
      <c r="H8" s="782"/>
      <c r="I8" s="226"/>
      <c r="J8" s="226" t="s">
        <v>340</v>
      </c>
      <c r="K8" s="226"/>
      <c r="L8" s="782"/>
      <c r="M8" s="779"/>
      <c r="N8" s="870"/>
      <c r="P8" s="225" t="s">
        <v>339</v>
      </c>
      <c r="Q8" s="786"/>
      <c r="R8" s="786"/>
      <c r="S8" s="768"/>
      <c r="T8" s="773"/>
      <c r="U8" s="867"/>
      <c r="V8" s="779"/>
      <c r="W8" s="782"/>
      <c r="X8" s="226"/>
      <c r="Y8" s="226" t="s">
        <v>340</v>
      </c>
      <c r="Z8" s="226"/>
      <c r="AA8" s="782"/>
      <c r="AB8" s="779"/>
      <c r="AC8" s="870"/>
    </row>
    <row r="9" spans="1:29" ht="26.25" hidden="1" customHeight="1" x14ac:dyDescent="0.15">
      <c r="E9" s="227"/>
      <c r="F9" s="228" t="s">
        <v>242</v>
      </c>
      <c r="G9" s="228" t="s">
        <v>342</v>
      </c>
      <c r="H9" s="228" t="s">
        <v>317</v>
      </c>
      <c r="I9" s="228"/>
      <c r="J9" s="297"/>
      <c r="K9" s="228"/>
      <c r="L9" s="228" t="s">
        <v>317</v>
      </c>
      <c r="M9" s="228" t="s">
        <v>342</v>
      </c>
      <c r="N9" s="230" t="s">
        <v>242</v>
      </c>
      <c r="T9" s="227"/>
      <c r="U9" s="228" t="s">
        <v>242</v>
      </c>
      <c r="V9" s="228" t="s">
        <v>342</v>
      </c>
      <c r="W9" s="228" t="s">
        <v>317</v>
      </c>
      <c r="X9" s="228"/>
      <c r="Y9" s="297"/>
      <c r="Z9" s="228"/>
      <c r="AA9" s="228" t="s">
        <v>317</v>
      </c>
      <c r="AB9" s="228" t="s">
        <v>342</v>
      </c>
      <c r="AC9" s="230" t="s">
        <v>242</v>
      </c>
    </row>
    <row r="10" spans="1:29" ht="26.25" hidden="1" customHeight="1" x14ac:dyDescent="0.15">
      <c r="E10" s="244" t="s">
        <v>343</v>
      </c>
      <c r="F10" s="298" t="str">
        <f>IF(ISERROR(VLOOKUP(CONCATENATE($F$6,"_",G10),選手名簿!$A:$E,5,FALSE))=TRUE,"",VLOOKUP(CONCATENATE($F$6,"_",G10),選手名簿!$A:$E,5,FALSE))</f>
        <v/>
      </c>
      <c r="G10" s="246"/>
      <c r="H10" s="246"/>
      <c r="I10" s="246"/>
      <c r="J10" s="299"/>
      <c r="K10" s="246"/>
      <c r="L10" s="246"/>
      <c r="M10" s="246"/>
      <c r="N10" s="300" t="str">
        <f>IF(ISERROR(VLOOKUP(CONCATENATE($N$6,"_",M10),選手名簿!$A:$E,5,FALSE))=TRUE,"",VLOOKUP(CONCATENATE($N$6,"_",M10),選手名簿!$A:$E,5,FALSE))</f>
        <v/>
      </c>
      <c r="T10" s="244" t="s">
        <v>343</v>
      </c>
      <c r="U10" s="298" t="str">
        <f>IF(ISERROR(VLOOKUP(CONCATENATE($U$6,"_",V10),選手名簿!$A:$E,5,FALSE))=TRUE,"",VLOOKUP(CONCATENATE($U$6,"_",V10),選手名簿!$A:$E,5,FALSE))</f>
        <v/>
      </c>
      <c r="V10" s="246"/>
      <c r="W10" s="246"/>
      <c r="X10" s="246"/>
      <c r="Y10" s="299"/>
      <c r="Z10" s="246"/>
      <c r="AA10" s="246"/>
      <c r="AB10" s="246"/>
      <c r="AC10" s="300" t="str">
        <f>IF(ISERROR(VLOOKUP(CONCATENATE($AC$6,"_",AB10),選手名簿!$A:$E,5,FALSE))=TRUE,"",VLOOKUP(CONCATENATE($AC$6,"_",AB10),選手名簿!$A:$E,5,FALSE))</f>
        <v/>
      </c>
    </row>
    <row r="11" spans="1:29" ht="26.25" hidden="1" customHeight="1" x14ac:dyDescent="0.15">
      <c r="E11" s="244" t="s">
        <v>343</v>
      </c>
      <c r="F11" s="232" t="str">
        <f>IF(ISERROR(VLOOKUP(CONCATENATE($F$6,"_",G11),選手名簿!$A:$E,5,FALSE))=TRUE,"",VLOOKUP(CONCATENATE($F$6,"_",G11),選手名簿!$A:$E,5,FALSE))</f>
        <v/>
      </c>
      <c r="G11" s="246"/>
      <c r="H11" s="246"/>
      <c r="I11" s="246"/>
      <c r="J11" s="299"/>
      <c r="K11" s="246"/>
      <c r="L11" s="246"/>
      <c r="M11" s="246"/>
      <c r="N11" s="300" t="str">
        <f>IF(ISERROR(VLOOKUP(CONCATENATE($N$6,"_",M11),選手名簿!$A:$E,5,FALSE))=TRUE,"",VLOOKUP(CONCATENATE($N$6,"_",M11),選手名簿!$A:$E,5,FALSE))</f>
        <v/>
      </c>
      <c r="T11" s="244" t="s">
        <v>343</v>
      </c>
      <c r="U11" s="232" t="str">
        <f>IF(ISERROR(VLOOKUP(CONCATENATE($U$6,"_",V11),選手名簿!$A:$E,5,FALSE))=TRUE,"",VLOOKUP(CONCATENATE($U$6,"_",V11),選手名簿!$A:$E,5,FALSE))</f>
        <v/>
      </c>
      <c r="V11" s="246"/>
      <c r="W11" s="246"/>
      <c r="X11" s="246"/>
      <c r="Y11" s="299"/>
      <c r="Z11" s="246"/>
      <c r="AA11" s="246"/>
      <c r="AB11" s="246"/>
      <c r="AC11" s="300" t="str">
        <f>IF(ISERROR(VLOOKUP(CONCATENATE($AC$6,"_",AB11),選手名簿!$A:$E,5,FALSE))=TRUE,"",VLOOKUP(CONCATENATE($AC$6,"_",AB11),選手名簿!$A:$E,5,FALSE))</f>
        <v/>
      </c>
    </row>
    <row r="12" spans="1:29" ht="26.25" hidden="1" customHeight="1" x14ac:dyDescent="0.15">
      <c r="E12" s="244" t="s">
        <v>343</v>
      </c>
      <c r="F12" s="245" t="str">
        <f>IF(ISERROR(VLOOKUP(CONCATENATE($F$6,"_",G12),選手名簿!$A:$E,5,FALSE))=TRUE,"",VLOOKUP(CONCATENATE($F$6,"_",G12),選手名簿!$A:$E,5,FALSE))</f>
        <v/>
      </c>
      <c r="G12" s="246"/>
      <c r="H12" s="246"/>
      <c r="I12" s="246"/>
      <c r="J12" s="299"/>
      <c r="K12" s="246"/>
      <c r="L12" s="246"/>
      <c r="M12" s="246"/>
      <c r="N12" s="300" t="str">
        <f>IF(ISERROR(VLOOKUP(CONCATENATE($N$6,"_",M12),選手名簿!$A:$E,5,FALSE))=TRUE,"",VLOOKUP(CONCATENATE($N$6,"_",M12),選手名簿!$A:$E,5,FALSE))</f>
        <v/>
      </c>
      <c r="T12" s="244" t="s">
        <v>343</v>
      </c>
      <c r="U12" s="245" t="str">
        <f>IF(ISERROR(VLOOKUP(CONCATENATE($U$6,"_",V12),選手名簿!$A:$E,5,FALSE))=TRUE,"",VLOOKUP(CONCATENATE($U$6,"_",V12),選手名簿!$A:$E,5,FALSE))</f>
        <v/>
      </c>
      <c r="V12" s="246"/>
      <c r="W12" s="246"/>
      <c r="X12" s="246"/>
      <c r="Y12" s="299"/>
      <c r="Z12" s="246"/>
      <c r="AA12" s="246"/>
      <c r="AB12" s="246"/>
      <c r="AC12" s="300" t="str">
        <f>IF(ISERROR(VLOOKUP(CONCATENATE($AC$6,"_",AB12),選手名簿!$A:$E,5,FALSE))=TRUE,"",VLOOKUP(CONCATENATE($AC$6,"_",AB12),選手名簿!$A:$E,5,FALSE))</f>
        <v/>
      </c>
    </row>
    <row r="13" spans="1:29" ht="26.25" hidden="1" customHeight="1" x14ac:dyDescent="0.15">
      <c r="E13" s="244" t="s">
        <v>343</v>
      </c>
      <c r="F13" s="245" t="str">
        <f>IF(ISERROR(VLOOKUP(CONCATENATE($F$6,"_",G13),選手名簿!$A:$E,5,FALSE))=TRUE,"",VLOOKUP(CONCATENATE($F$6,"_",G13),選手名簿!$A:$E,5,FALSE))</f>
        <v/>
      </c>
      <c r="G13" s="246"/>
      <c r="H13" s="246"/>
      <c r="I13" s="246"/>
      <c r="J13" s="299"/>
      <c r="K13" s="246"/>
      <c r="L13" s="246"/>
      <c r="M13" s="246"/>
      <c r="N13" s="300" t="str">
        <f>IF(ISERROR(VLOOKUP(CONCATENATE($N$6,"_",M13),選手名簿!$A:$E,5,FALSE))=TRUE,"",VLOOKUP(CONCATENATE($N$6,"_",M13),選手名簿!$A:$E,5,FALSE))</f>
        <v/>
      </c>
      <c r="T13" s="244" t="s">
        <v>343</v>
      </c>
      <c r="U13" s="245" t="str">
        <f>IF(ISERROR(VLOOKUP(CONCATENATE($U$6,"_",V13),選手名簿!$A:$E,5,FALSE))=TRUE,"",VLOOKUP(CONCATENATE($U$6,"_",V13),選手名簿!$A:$E,5,FALSE))</f>
        <v/>
      </c>
      <c r="V13" s="246"/>
      <c r="W13" s="246"/>
      <c r="X13" s="246"/>
      <c r="Y13" s="299"/>
      <c r="Z13" s="246"/>
      <c r="AA13" s="246"/>
      <c r="AB13" s="246"/>
      <c r="AC13" s="300" t="str">
        <f>IF(ISERROR(VLOOKUP(CONCATENATE($AC$6,"_",AB13),選手名簿!$A:$E,5,FALSE))=TRUE,"",VLOOKUP(CONCATENATE($AC$6,"_",AB13),選手名簿!$A:$E,5,FALSE))</f>
        <v/>
      </c>
    </row>
    <row r="14" spans="1:29" ht="26.25" hidden="1" customHeight="1" x14ac:dyDescent="0.15">
      <c r="E14" s="244" t="s">
        <v>343</v>
      </c>
      <c r="F14" s="245" t="str">
        <f>IF(ISERROR(VLOOKUP(CONCATENATE($F$6,"_",G14),選手名簿!$A:$E,5,FALSE))=TRUE,"",VLOOKUP(CONCATENATE($F$6,"_",G14),選手名簿!$A:$E,5,FALSE))</f>
        <v/>
      </c>
      <c r="G14" s="246"/>
      <c r="H14" s="246"/>
      <c r="I14" s="246"/>
      <c r="J14" s="299"/>
      <c r="K14" s="246"/>
      <c r="L14" s="246"/>
      <c r="M14" s="246"/>
      <c r="N14" s="235" t="str">
        <f>IF(ISERROR(VLOOKUP(CONCATENATE($N$6,"_",M14),選手名簿!$A:$E,5,FALSE))=TRUE,"",VLOOKUP(CONCATENATE($N$6,"_",M14),選手名簿!$A:$E,5,FALSE))</f>
        <v/>
      </c>
      <c r="T14" s="244" t="s">
        <v>343</v>
      </c>
      <c r="U14" s="245" t="str">
        <f>IF(ISERROR(VLOOKUP(CONCATENATE($U$6,"_",V14),選手名簿!$A:$E,5,FALSE))=TRUE,"",VLOOKUP(CONCATENATE($U$6,"_",V14),選手名簿!$A:$E,5,FALSE))</f>
        <v/>
      </c>
      <c r="V14" s="246"/>
      <c r="W14" s="246"/>
      <c r="X14" s="246"/>
      <c r="Y14" s="299"/>
      <c r="Z14" s="246"/>
      <c r="AA14" s="246"/>
      <c r="AB14" s="246"/>
      <c r="AC14" s="235" t="str">
        <f>IF(ISERROR(VLOOKUP(CONCATENATE($AC$6,"_",AB14),選手名簿!$A:$E,5,FALSE))=TRUE,"",VLOOKUP(CONCATENATE($AC$6,"_",AB14),選手名簿!$A:$E,5,FALSE))</f>
        <v/>
      </c>
    </row>
    <row r="15" spans="1:29" ht="26.25" hidden="1" customHeight="1" x14ac:dyDescent="0.15">
      <c r="E15" s="244" t="s">
        <v>343</v>
      </c>
      <c r="F15" s="245" t="str">
        <f>IF(ISERROR(VLOOKUP(CONCATENATE($F$6,"_",G15),選手名簿!$A:$E,5,FALSE))=TRUE,"",VLOOKUP(CONCATENATE($F$6,"_",G15),選手名簿!$A:$E,5,FALSE))</f>
        <v/>
      </c>
      <c r="G15" s="246"/>
      <c r="H15" s="246"/>
      <c r="I15" s="246"/>
      <c r="J15" s="299"/>
      <c r="K15" s="246"/>
      <c r="L15" s="246"/>
      <c r="M15" s="246"/>
      <c r="N15" s="247" t="str">
        <f>IF(ISERROR(VLOOKUP(CONCATENATE($N$6,"_",M15),選手名簿!$A:$E,5,FALSE))=TRUE,"",VLOOKUP(CONCATENATE($N$6,"_",M15),選手名簿!$A:$E,5,FALSE))</f>
        <v/>
      </c>
      <c r="T15" s="244" t="s">
        <v>343</v>
      </c>
      <c r="U15" s="245" t="str">
        <f>IF(ISERROR(VLOOKUP(CONCATENATE($U$6,"_",V15),選手名簿!$A:$E,5,FALSE))=TRUE,"",VLOOKUP(CONCATENATE($U$6,"_",V15),選手名簿!$A:$E,5,FALSE))</f>
        <v/>
      </c>
      <c r="V15" s="246"/>
      <c r="W15" s="246"/>
      <c r="X15" s="246"/>
      <c r="Y15" s="299"/>
      <c r="Z15" s="246"/>
      <c r="AA15" s="246"/>
      <c r="AB15" s="246"/>
      <c r="AC15" s="247" t="str">
        <f>IF(ISERROR(VLOOKUP(CONCATENATE($AC$6,"_",AB15),選手名簿!$A:$E,5,FALSE))=TRUE,"",VLOOKUP(CONCATENATE($AC$6,"_",AB15),選手名簿!$A:$E,5,FALSE))</f>
        <v/>
      </c>
    </row>
    <row r="16" spans="1:29" ht="26.25" hidden="1" customHeight="1" x14ac:dyDescent="0.15">
      <c r="E16" s="244" t="s">
        <v>343</v>
      </c>
      <c r="F16" s="245" t="str">
        <f>IF(ISERROR(VLOOKUP(CONCATENATE($F$6,"_",G16),選手名簿!$A:$E,5,FALSE))=TRUE,"",VLOOKUP(CONCATENATE($F$6,"_",G16),選手名簿!$A:$E,5,FALSE))</f>
        <v/>
      </c>
      <c r="G16" s="246"/>
      <c r="H16" s="246"/>
      <c r="I16" s="246"/>
      <c r="J16" s="299"/>
      <c r="K16" s="246"/>
      <c r="L16" s="246"/>
      <c r="M16" s="246"/>
      <c r="N16" s="247" t="str">
        <f>IF(ISERROR(VLOOKUP(CONCATENATE($N$6,"_",M16),選手名簿!$A:$E,5,FALSE))=TRUE,"",VLOOKUP(CONCATENATE($N$6,"_",M16),選手名簿!$A:$E,5,FALSE))</f>
        <v/>
      </c>
      <c r="T16" s="244" t="s">
        <v>343</v>
      </c>
      <c r="U16" s="245" t="str">
        <f>IF(ISERROR(VLOOKUP(CONCATENATE($U$6,"_",V16),選手名簿!$A:$E,5,FALSE))=TRUE,"",VLOOKUP(CONCATENATE($U$6,"_",V16),選手名簿!$A:$E,5,FALSE))</f>
        <v/>
      </c>
      <c r="V16" s="246"/>
      <c r="W16" s="246"/>
      <c r="X16" s="246"/>
      <c r="Y16" s="299"/>
      <c r="Z16" s="246"/>
      <c r="AA16" s="246"/>
      <c r="AB16" s="246"/>
      <c r="AC16" s="247" t="str">
        <f>IF(ISERROR(VLOOKUP(CONCATENATE($AC$6,"_",AB16),選手名簿!$A:$E,5,FALSE))=TRUE,"",VLOOKUP(CONCATENATE($AC$6,"_",AB16),選手名簿!$A:$E,5,FALSE))</f>
        <v/>
      </c>
    </row>
    <row r="17" spans="1:29" ht="26.25" hidden="1" customHeight="1" x14ac:dyDescent="0.15">
      <c r="E17" s="244" t="s">
        <v>343</v>
      </c>
      <c r="F17" s="245" t="str">
        <f>IF(ISERROR(VLOOKUP(CONCATENATE($F$6,"_",G17),選手名簿!$A:$E,5,FALSE))=TRUE,"",VLOOKUP(CONCATENATE($F$6,"_",G17),選手名簿!$A:$E,5,FALSE))</f>
        <v/>
      </c>
      <c r="G17" s="246"/>
      <c r="H17" s="246"/>
      <c r="I17" s="246"/>
      <c r="J17" s="299"/>
      <c r="K17" s="246"/>
      <c r="L17" s="246"/>
      <c r="M17" s="246"/>
      <c r="N17" s="247" t="str">
        <f>IF(ISERROR(VLOOKUP(CONCATENATE($N$6,"_",M17),選手名簿!$A:$E,5,FALSE))=TRUE,"",VLOOKUP(CONCATENATE($N$6,"_",M17),選手名簿!$A:$E,5,FALSE))</f>
        <v/>
      </c>
      <c r="T17" s="244" t="s">
        <v>343</v>
      </c>
      <c r="U17" s="245" t="str">
        <f>IF(ISERROR(VLOOKUP(CONCATENATE($U$6,"_",V17),選手名簿!$A:$E,5,FALSE))=TRUE,"",VLOOKUP(CONCATENATE($U$6,"_",V17),選手名簿!$A:$E,5,FALSE))</f>
        <v/>
      </c>
      <c r="V17" s="246"/>
      <c r="W17" s="246"/>
      <c r="X17" s="246"/>
      <c r="Y17" s="299"/>
      <c r="Z17" s="246"/>
      <c r="AA17" s="246"/>
      <c r="AB17" s="246"/>
      <c r="AC17" s="247" t="str">
        <f>IF(ISERROR(VLOOKUP(CONCATENATE($AC$6,"_",AB17),選手名簿!$A:$E,5,FALSE))=TRUE,"",VLOOKUP(CONCATENATE($AC$6,"_",AB17),選手名簿!$A:$E,5,FALSE))</f>
        <v/>
      </c>
    </row>
    <row r="18" spans="1:29" ht="26.25" hidden="1" customHeight="1" x14ac:dyDescent="0.15">
      <c r="E18" s="244" t="s">
        <v>343</v>
      </c>
      <c r="F18" s="245" t="str">
        <f>IF(ISERROR(VLOOKUP(CONCATENATE($F$6,"_",G18),選手名簿!$A:$E,5,FALSE))=TRUE,"",VLOOKUP(CONCATENATE($F$6,"_",G18),選手名簿!$A:$E,5,FALSE))</f>
        <v/>
      </c>
      <c r="G18" s="246"/>
      <c r="H18" s="246"/>
      <c r="I18" s="246"/>
      <c r="J18" s="299"/>
      <c r="K18" s="246"/>
      <c r="L18" s="246"/>
      <c r="M18" s="246"/>
      <c r="N18" s="247" t="str">
        <f>IF(ISERROR(VLOOKUP(CONCATENATE($N$6,"_",M18),選手名簿!$A:$E,5,FALSE))=TRUE,"",VLOOKUP(CONCATENATE($N$6,"_",M18),選手名簿!$A:$E,5,FALSE))</f>
        <v/>
      </c>
      <c r="T18" s="244" t="s">
        <v>343</v>
      </c>
      <c r="U18" s="245" t="str">
        <f>IF(ISERROR(VLOOKUP(CONCATENATE($U$6,"_",V18),選手名簿!$A:$E,5,FALSE))=TRUE,"",VLOOKUP(CONCATENATE($U$6,"_",V18),選手名簿!$A:$E,5,FALSE))</f>
        <v/>
      </c>
      <c r="V18" s="246"/>
      <c r="W18" s="246"/>
      <c r="X18" s="246"/>
      <c r="Y18" s="299"/>
      <c r="Z18" s="246"/>
      <c r="AA18" s="246"/>
      <c r="AB18" s="246"/>
      <c r="AC18" s="247" t="str">
        <f>IF(ISERROR(VLOOKUP(CONCATENATE($AC$6,"_",AB18),選手名簿!$A:$E,5,FALSE))=TRUE,"",VLOOKUP(CONCATENATE($AC$6,"_",AB18),選手名簿!$A:$E,5,FALSE))</f>
        <v/>
      </c>
    </row>
    <row r="19" spans="1:29" ht="26.25" hidden="1" customHeight="1" x14ac:dyDescent="0.15">
      <c r="E19" s="301" t="s">
        <v>343</v>
      </c>
      <c r="F19" s="302" t="str">
        <f>IF(ISERROR(VLOOKUP(CONCATENATE($F$6,"_",G19),選手名簿!$A:$E,5,FALSE))=TRUE,"",VLOOKUP(CONCATENATE($F$6,"_",G19),選手名簿!$A:$E,5,FALSE))</f>
        <v/>
      </c>
      <c r="G19" s="303"/>
      <c r="H19" s="303"/>
      <c r="I19" s="303"/>
      <c r="J19" s="304"/>
      <c r="K19" s="303"/>
      <c r="L19" s="303"/>
      <c r="M19" s="303"/>
      <c r="N19" s="305" t="str">
        <f>IF(ISERROR(VLOOKUP(CONCATENATE($N$6,"_",M19),選手名簿!$A:$E,5,FALSE))=TRUE,"",VLOOKUP(CONCATENATE($N$6,"_",M19),選手名簿!$A:$E,5,FALSE))</f>
        <v/>
      </c>
      <c r="T19" s="301" t="s">
        <v>343</v>
      </c>
      <c r="U19" s="302" t="str">
        <f>IF(ISERROR(VLOOKUP(CONCATENATE($U$6,"_",V19),選手名簿!$A:$E,5,FALSE))=TRUE,"",VLOOKUP(CONCATENATE($U$6,"_",V19),選手名簿!$A:$E,5,FALSE))</f>
        <v/>
      </c>
      <c r="V19" s="303"/>
      <c r="W19" s="303"/>
      <c r="X19" s="303"/>
      <c r="Y19" s="304"/>
      <c r="Z19" s="303"/>
      <c r="AA19" s="303"/>
      <c r="AB19" s="303"/>
      <c r="AC19" s="305" t="str">
        <f>IF(ISERROR(VLOOKUP(CONCATENATE($AC$6,"_",AB19),選手名簿!$A:$E,5,FALSE))=TRUE,"",VLOOKUP(CONCATENATE($AC$6,"_",AB19),選手名簿!$A:$E,5,FALSE))</f>
        <v/>
      </c>
    </row>
    <row r="20" spans="1:29" ht="26.25" customHeight="1" thickTop="1" x14ac:dyDescent="0.15">
      <c r="A20" s="787" t="s">
        <v>341</v>
      </c>
      <c r="B20" s="787"/>
      <c r="C20" s="787"/>
      <c r="D20" s="788"/>
      <c r="E20" s="227"/>
      <c r="F20" s="228" t="s">
        <v>242</v>
      </c>
      <c r="G20" s="228" t="s">
        <v>342</v>
      </c>
      <c r="H20" s="228" t="s">
        <v>317</v>
      </c>
      <c r="I20" s="228"/>
      <c r="J20" s="297"/>
      <c r="K20" s="228"/>
      <c r="L20" s="228" t="s">
        <v>317</v>
      </c>
      <c r="M20" s="228" t="s">
        <v>342</v>
      </c>
      <c r="N20" s="230" t="s">
        <v>242</v>
      </c>
      <c r="P20" s="787" t="s">
        <v>341</v>
      </c>
      <c r="Q20" s="787"/>
      <c r="R20" s="787"/>
      <c r="S20" s="788"/>
      <c r="T20" s="227"/>
      <c r="U20" s="228" t="s">
        <v>242</v>
      </c>
      <c r="V20" s="228" t="s">
        <v>342</v>
      </c>
      <c r="W20" s="228" t="s">
        <v>317</v>
      </c>
      <c r="X20" s="228"/>
      <c r="Y20" s="297"/>
      <c r="Z20" s="228"/>
      <c r="AA20" s="228" t="s">
        <v>317</v>
      </c>
      <c r="AB20" s="228" t="s">
        <v>342</v>
      </c>
      <c r="AC20" s="230" t="s">
        <v>242</v>
      </c>
    </row>
    <row r="21" spans="1:29" ht="26.25" customHeight="1" x14ac:dyDescent="0.15">
      <c r="A21" s="241" t="s">
        <v>342</v>
      </c>
      <c r="B21" s="786"/>
      <c r="C21" s="786"/>
      <c r="D21" s="786"/>
      <c r="E21" s="244" t="s">
        <v>243</v>
      </c>
      <c r="F21" s="245" t="str">
        <f>IF(ISERROR(VLOOKUP(CONCATENATE($F$6,"_",G21),選手名簿!$A:$E,5,FALSE))=TRUE,"",VLOOKUP(CONCATENATE($F$6,"_",G21),選手名簿!$A:$E,5,FALSE))</f>
        <v/>
      </c>
      <c r="G21" s="246"/>
      <c r="H21" s="246"/>
      <c r="I21" s="246"/>
      <c r="J21" s="299"/>
      <c r="K21" s="246"/>
      <c r="L21" s="246"/>
      <c r="M21" s="246"/>
      <c r="N21" s="247" t="str">
        <f>IF(ISERROR(VLOOKUP(CONCATENATE($N$6,"_",M21),選手名簿!$A:$E,5,FALSE))=TRUE,"",VLOOKUP(CONCATENATE($N$6,"_",M21),選手名簿!$A:$E,5,FALSE))</f>
        <v/>
      </c>
      <c r="P21" s="241" t="s">
        <v>342</v>
      </c>
      <c r="Q21" s="789"/>
      <c r="R21" s="789"/>
      <c r="S21" s="789"/>
      <c r="T21" s="244" t="s">
        <v>243</v>
      </c>
      <c r="U21" s="245" t="str">
        <f>IF(ISERROR(VLOOKUP(CONCATENATE($U$6,"_",V21),選手名簿!$A:$E,5,FALSE))=TRUE,"",VLOOKUP(CONCATENATE($U$6,"_",V21),選手名簿!$A:$E,5,FALSE))</f>
        <v/>
      </c>
      <c r="V21" s="246"/>
      <c r="W21" s="246"/>
      <c r="X21" s="246"/>
      <c r="Y21" s="299"/>
      <c r="Z21" s="246"/>
      <c r="AA21" s="246"/>
      <c r="AB21" s="246"/>
      <c r="AC21" s="247" t="str">
        <f>IF(ISERROR(VLOOKUP(CONCATENATE($AC$6,"_",AB21),選手名簿!$A:$E,5,FALSE))=TRUE,"",VLOOKUP(CONCATENATE($AC$6,"_",AB21),選手名簿!$A:$E,5,FALSE))</f>
        <v/>
      </c>
    </row>
    <row r="22" spans="1:29" ht="26.25" customHeight="1" x14ac:dyDescent="0.15">
      <c r="A22" s="241" t="s">
        <v>344</v>
      </c>
      <c r="B22" s="790" t="str">
        <f>IF(ISERROR(VLOOKUP(B21,審判員!$A:$C,2,FALSE))=TRUE,"",VLOOKUP(B21,審判員!$A:$C,2,FALSE))</f>
        <v/>
      </c>
      <c r="C22" s="791"/>
      <c r="D22" s="242" t="str">
        <f>IF(ISERROR(VLOOKUP(B21,審判員!$A:$C,3,FALSE))=TRUE,"",VLOOKUP(B21,審判員!$A:$C,3,FALSE))</f>
        <v/>
      </c>
      <c r="E22" s="244" t="s">
        <v>243</v>
      </c>
      <c r="F22" s="245" t="str">
        <f>IF(ISERROR(VLOOKUP(CONCATENATE($F$6,"_",G22),選手名簿!$A:$E,5,FALSE))=TRUE,"",VLOOKUP(CONCATENATE($F$6,"_",G22),選手名簿!$A:$E,5,FALSE))</f>
        <v/>
      </c>
      <c r="G22" s="246"/>
      <c r="H22" s="246"/>
      <c r="I22" s="246"/>
      <c r="J22" s="299"/>
      <c r="K22" s="246"/>
      <c r="L22" s="246"/>
      <c r="M22" s="246"/>
      <c r="N22" s="247" t="str">
        <f>IF(ISERROR(VLOOKUP(CONCATENATE($N$6,"_",M22),選手名簿!$A:$E,5,FALSE))=TRUE,"",VLOOKUP(CONCATENATE($N$6,"_",M22),選手名簿!$A:$E,5,FALSE))</f>
        <v/>
      </c>
      <c r="P22" s="241" t="s">
        <v>344</v>
      </c>
      <c r="Q22" s="790" t="str">
        <f>IF(ISERROR(VLOOKUP(Q21,審判員!$A:$C,2,FALSE))=TRUE,"",VLOOKUP(Q21,審判員!$A:$C,2,FALSE))</f>
        <v/>
      </c>
      <c r="R22" s="791"/>
      <c r="S22" s="242" t="str">
        <f>IF(ISERROR(VLOOKUP(Q21,審判員!$A:$C,3,FALSE))=TRUE,"",VLOOKUP(Q21,審判員!$A:$C,3,FALSE))</f>
        <v/>
      </c>
      <c r="T22" s="244" t="s">
        <v>243</v>
      </c>
      <c r="U22" s="245" t="str">
        <f>IF(ISERROR(VLOOKUP(CONCATENATE($U$6,"_",V22),選手名簿!$A:$E,5,FALSE))=TRUE,"",VLOOKUP(CONCATENATE($U$6,"_",V22),選手名簿!$A:$E,5,FALSE))</f>
        <v/>
      </c>
      <c r="V22" s="246"/>
      <c r="W22" s="246"/>
      <c r="X22" s="246"/>
      <c r="Y22" s="299"/>
      <c r="Z22" s="246"/>
      <c r="AA22" s="246"/>
      <c r="AB22" s="246"/>
      <c r="AC22" s="247" t="str">
        <f>IF(ISERROR(VLOOKUP(CONCATENATE($AC$6,"_",AB22),選手名簿!$A:$E,5,FALSE))=TRUE,"",VLOOKUP(CONCATENATE($AC$6,"_",AB22),選手名簿!$A:$E,5,FALSE))</f>
        <v/>
      </c>
    </row>
    <row r="23" spans="1:29" ht="26.25" customHeight="1" x14ac:dyDescent="0.15">
      <c r="A23" s="241" t="s">
        <v>342</v>
      </c>
      <c r="B23" s="789"/>
      <c r="C23" s="789"/>
      <c r="D23" s="789"/>
      <c r="E23" s="244" t="s">
        <v>243</v>
      </c>
      <c r="F23" s="245" t="str">
        <f>IF(ISERROR(VLOOKUP(CONCATENATE($F$6,"_",G23),選手名簿!$A:$E,5,FALSE))=TRUE,"",VLOOKUP(CONCATENATE($F$6,"_",G23),選手名簿!$A:$E,5,FALSE))</f>
        <v/>
      </c>
      <c r="G23" s="246"/>
      <c r="H23" s="246"/>
      <c r="I23" s="246"/>
      <c r="J23" s="299"/>
      <c r="K23" s="246"/>
      <c r="L23" s="246"/>
      <c r="M23" s="246"/>
      <c r="N23" s="247" t="str">
        <f>IF(ISERROR(VLOOKUP(CONCATENATE($N$6,"_",M23),選手名簿!$A:$E,5,FALSE))=TRUE,"",VLOOKUP(CONCATENATE($N$6,"_",M23),選手名簿!$A:$E,5,FALSE))</f>
        <v/>
      </c>
      <c r="P23" s="241" t="s">
        <v>342</v>
      </c>
      <c r="Q23" s="789"/>
      <c r="R23" s="789"/>
      <c r="S23" s="789"/>
      <c r="T23" s="244" t="s">
        <v>243</v>
      </c>
      <c r="U23" s="245" t="str">
        <f>IF(ISERROR(VLOOKUP(CONCATENATE($U$6,"_",V23),選手名簿!$A:$E,5,FALSE))=TRUE,"",VLOOKUP(CONCATENATE($U$6,"_",V23),選手名簿!$A:$E,5,FALSE))</f>
        <v/>
      </c>
      <c r="V23" s="246"/>
      <c r="W23" s="246"/>
      <c r="X23" s="246"/>
      <c r="Y23" s="299"/>
      <c r="Z23" s="246"/>
      <c r="AA23" s="246"/>
      <c r="AB23" s="246"/>
      <c r="AC23" s="247" t="str">
        <f>IF(ISERROR(VLOOKUP(CONCATENATE($AC$6,"_",AB23),選手名簿!$A:$E,5,FALSE))=TRUE,"",VLOOKUP(CONCATENATE($AC$6,"_",AB23),選手名簿!$A:$E,5,FALSE))</f>
        <v/>
      </c>
    </row>
    <row r="24" spans="1:29" ht="26.25" customHeight="1" x14ac:dyDescent="0.15">
      <c r="A24" s="241" t="s">
        <v>345</v>
      </c>
      <c r="B24" s="790" t="str">
        <f>IF(ISERROR(VLOOKUP(B23,審判員!$A:$C,2,FALSE))=TRUE,"",VLOOKUP(B23,審判員!$A:$C,2,FALSE))</f>
        <v/>
      </c>
      <c r="C24" s="791"/>
      <c r="D24" s="242" t="str">
        <f>IF(ISERROR(VLOOKUP(B23,審判員!$A:$C,3,FALSE))=TRUE,"",VLOOKUP(B23,審判員!$A:$C,3,FALSE))</f>
        <v/>
      </c>
      <c r="E24" s="244" t="s">
        <v>243</v>
      </c>
      <c r="F24" s="245" t="str">
        <f>IF(ISERROR(VLOOKUP(CONCATENATE($F$6,"_",G24),選手名簿!$A:$E,5,FALSE))=TRUE,"",VLOOKUP(CONCATENATE($F$6,"_",G24),選手名簿!$A:$E,5,FALSE))</f>
        <v/>
      </c>
      <c r="G24" s="246"/>
      <c r="H24" s="246"/>
      <c r="I24" s="246"/>
      <c r="J24" s="299"/>
      <c r="K24" s="246"/>
      <c r="L24" s="246"/>
      <c r="M24" s="246"/>
      <c r="N24" s="247" t="str">
        <f>IF(ISERROR(VLOOKUP(CONCATENATE($N$6,"_",M24),選手名簿!$A:$E,5,FALSE))=TRUE,"",VLOOKUP(CONCATENATE($N$6,"_",M24),選手名簿!$A:$E,5,FALSE))</f>
        <v/>
      </c>
      <c r="P24" s="241" t="s">
        <v>345</v>
      </c>
      <c r="Q24" s="790" t="str">
        <f>IF(ISERROR(VLOOKUP(Q23,審判員!$A:$C,2,FALSE))=TRUE,"",VLOOKUP(Q23,審判員!$A:$C,2,FALSE))</f>
        <v/>
      </c>
      <c r="R24" s="791"/>
      <c r="S24" s="242" t="str">
        <f>IF(ISERROR(VLOOKUP(Q23,審判員!$A:$C,3,FALSE))=TRUE,"",VLOOKUP(Q23,審判員!$A:$C,3,FALSE))</f>
        <v/>
      </c>
      <c r="T24" s="244" t="s">
        <v>243</v>
      </c>
      <c r="U24" s="245" t="str">
        <f>IF(ISERROR(VLOOKUP(CONCATENATE($U$6,"_",V24),選手名簿!$A:$E,5,FALSE))=TRUE,"",VLOOKUP(CONCATENATE($U$6,"_",V24),選手名簿!$A:$E,5,FALSE))</f>
        <v/>
      </c>
      <c r="V24" s="246"/>
      <c r="W24" s="246"/>
      <c r="X24" s="246"/>
      <c r="Y24" s="299"/>
      <c r="Z24" s="246"/>
      <c r="AA24" s="246"/>
      <c r="AB24" s="246"/>
      <c r="AC24" s="247" t="str">
        <f>IF(ISERROR(VLOOKUP(CONCATENATE($AC$6,"_",AB24),選手名簿!$A:$E,5,FALSE))=TRUE,"",VLOOKUP(CONCATENATE($AC$6,"_",AB24),選手名簿!$A:$E,5,FALSE))</f>
        <v/>
      </c>
    </row>
    <row r="25" spans="1:29" ht="26.25" customHeight="1" x14ac:dyDescent="0.15">
      <c r="A25" s="241" t="s">
        <v>342</v>
      </c>
      <c r="B25" s="789"/>
      <c r="C25" s="789"/>
      <c r="D25" s="789"/>
      <c r="E25" s="244" t="s">
        <v>243</v>
      </c>
      <c r="F25" s="245" t="str">
        <f>IF(ISERROR(VLOOKUP(CONCATENATE($F$6,"_",G25),選手名簿!$A:$E,5,FALSE))=TRUE,"",VLOOKUP(CONCATENATE($F$6,"_",G25),選手名簿!$A:$E,5,FALSE))</f>
        <v/>
      </c>
      <c r="G25" s="246"/>
      <c r="H25" s="246"/>
      <c r="I25" s="246"/>
      <c r="J25" s="299"/>
      <c r="K25" s="246"/>
      <c r="L25" s="246"/>
      <c r="M25" s="246"/>
      <c r="N25" s="247" t="str">
        <f>IF(ISERROR(VLOOKUP(CONCATENATE($N$6,"_",M25),選手名簿!$A:$E,5,FALSE))=TRUE,"",VLOOKUP(CONCATENATE($N$6,"_",M25),選手名簿!$A:$E,5,FALSE))</f>
        <v/>
      </c>
      <c r="P25" s="241" t="s">
        <v>342</v>
      </c>
      <c r="Q25" s="789"/>
      <c r="R25" s="789"/>
      <c r="S25" s="789"/>
      <c r="T25" s="244" t="s">
        <v>243</v>
      </c>
      <c r="U25" s="245" t="str">
        <f>IF(ISERROR(VLOOKUP(CONCATENATE($U$6,"_",V25),選手名簿!$A:$E,5,FALSE))=TRUE,"",VLOOKUP(CONCATENATE($U$6,"_",V25),選手名簿!$A:$E,5,FALSE))</f>
        <v/>
      </c>
      <c r="V25" s="246"/>
      <c r="W25" s="246"/>
      <c r="X25" s="246"/>
      <c r="Y25" s="299"/>
      <c r="Z25" s="246"/>
      <c r="AA25" s="246"/>
      <c r="AB25" s="246"/>
      <c r="AC25" s="247" t="str">
        <f>IF(ISERROR(VLOOKUP(CONCATENATE($AC$6,"_",AB25),選手名簿!$A:$E,5,FALSE))=TRUE,"",VLOOKUP(CONCATENATE($AC$6,"_",AB25),選手名簿!$A:$E,5,FALSE))</f>
        <v/>
      </c>
    </row>
    <row r="26" spans="1:29" ht="26.25" customHeight="1" x14ac:dyDescent="0.15">
      <c r="A26" s="241" t="s">
        <v>346</v>
      </c>
      <c r="B26" s="790" t="str">
        <f>IF(ISERROR(VLOOKUP(B25,審判員!$A:$C,2,FALSE))=TRUE,"",VLOOKUP(B25,審判員!$A:$C,2,FALSE))</f>
        <v/>
      </c>
      <c r="C26" s="791"/>
      <c r="D26" s="242" t="str">
        <f>IF(ISERROR(VLOOKUP(B25,審判員!$A:$C,3,FALSE))=TRUE,"",VLOOKUP(B25,審判員!$A:$C,3,FALSE))</f>
        <v/>
      </c>
      <c r="E26" s="244" t="s">
        <v>243</v>
      </c>
      <c r="F26" s="245" t="str">
        <f>IF(ISERROR(VLOOKUP(CONCATENATE($F$6,"_",G26),選手名簿!$A:$E,5,FALSE))=TRUE,"",VLOOKUP(CONCATENATE($F$6,"_",G26),選手名簿!$A:$E,5,FALSE))</f>
        <v/>
      </c>
      <c r="G26" s="246"/>
      <c r="H26" s="246"/>
      <c r="I26" s="246"/>
      <c r="J26" s="299"/>
      <c r="K26" s="246"/>
      <c r="L26" s="246"/>
      <c r="M26" s="246"/>
      <c r="N26" s="247" t="str">
        <f>IF(ISERROR(VLOOKUP(CONCATENATE($N$6,"_",M26),選手名簿!$A:$E,5,FALSE))=TRUE,"",VLOOKUP(CONCATENATE($N$6,"_",M26),選手名簿!$A:$E,5,FALSE))</f>
        <v/>
      </c>
      <c r="P26" s="241" t="s">
        <v>346</v>
      </c>
      <c r="Q26" s="790" t="str">
        <f>IF(ISERROR(VLOOKUP(Q25,審判員!$A:$C,2,FALSE))=TRUE,"",VLOOKUP(Q25,審判員!$A:$C,2,FALSE))</f>
        <v/>
      </c>
      <c r="R26" s="791"/>
      <c r="S26" s="242" t="str">
        <f>IF(ISERROR(VLOOKUP(Q25,審判員!$A:$C,3,FALSE))=TRUE,"",VLOOKUP(Q25,審判員!$A:$C,3,FALSE))</f>
        <v/>
      </c>
      <c r="T26" s="244" t="s">
        <v>243</v>
      </c>
      <c r="U26" s="245" t="str">
        <f>IF(ISERROR(VLOOKUP(CONCATENATE($U$6,"_",V26),選手名簿!$A:$E,5,FALSE))=TRUE,"",VLOOKUP(CONCATENATE($U$6,"_",V26),選手名簿!$A:$E,5,FALSE))</f>
        <v/>
      </c>
      <c r="V26" s="246"/>
      <c r="W26" s="246"/>
      <c r="X26" s="246"/>
      <c r="Y26" s="299"/>
      <c r="Z26" s="246"/>
      <c r="AA26" s="246"/>
      <c r="AB26" s="246"/>
      <c r="AC26" s="247" t="str">
        <f>IF(ISERROR(VLOOKUP(CONCATENATE($AC$6,"_",AB26),選手名簿!$A:$E,5,FALSE))=TRUE,"",VLOOKUP(CONCATENATE($AC$6,"_",AB26),選手名簿!$A:$E,5,FALSE))</f>
        <v/>
      </c>
    </row>
    <row r="27" spans="1:29" ht="26.25" customHeight="1" x14ac:dyDescent="0.15">
      <c r="A27" s="241" t="s">
        <v>342</v>
      </c>
      <c r="B27" s="789"/>
      <c r="C27" s="789"/>
      <c r="D27" s="789"/>
      <c r="E27" s="244" t="s">
        <v>243</v>
      </c>
      <c r="F27" s="245" t="str">
        <f>IF(ISERROR(VLOOKUP(CONCATENATE($F$6,"_",G27),選手名簿!$A:$E,5,FALSE))=TRUE,"",VLOOKUP(CONCATENATE($F$6,"_",G27),選手名簿!$A:$E,5,FALSE))</f>
        <v/>
      </c>
      <c r="G27" s="246"/>
      <c r="H27" s="246"/>
      <c r="I27" s="246"/>
      <c r="J27" s="299"/>
      <c r="K27" s="246"/>
      <c r="L27" s="246"/>
      <c r="M27" s="246"/>
      <c r="N27" s="247" t="str">
        <f>IF(ISERROR(VLOOKUP(CONCATENATE($N$6,"_",M27),選手名簿!$A:$E,5,FALSE))=TRUE,"",VLOOKUP(CONCATENATE($N$6,"_",M27),選手名簿!$A:$E,5,FALSE))</f>
        <v/>
      </c>
      <c r="P27" s="241" t="s">
        <v>342</v>
      </c>
      <c r="Q27" s="789"/>
      <c r="R27" s="789"/>
      <c r="S27" s="789"/>
      <c r="T27" s="244" t="s">
        <v>243</v>
      </c>
      <c r="U27" s="245" t="str">
        <f>IF(ISERROR(VLOOKUP(CONCATENATE($U$6,"_",V27),選手名簿!$A:$E,5,FALSE))=TRUE,"",VLOOKUP(CONCATENATE($U$6,"_",V27),選手名簿!$A:$E,5,FALSE))</f>
        <v/>
      </c>
      <c r="V27" s="246"/>
      <c r="W27" s="246"/>
      <c r="X27" s="246"/>
      <c r="Y27" s="299"/>
      <c r="Z27" s="246"/>
      <c r="AA27" s="246"/>
      <c r="AB27" s="246"/>
      <c r="AC27" s="247" t="str">
        <f>IF(ISERROR(VLOOKUP(CONCATENATE($AC$6,"_",AB27),選手名簿!$A:$E,5,FALSE))=TRUE,"",VLOOKUP(CONCATENATE($AC$6,"_",AB27),選手名簿!$A:$E,5,FALSE))</f>
        <v/>
      </c>
    </row>
    <row r="28" spans="1:29" ht="26.25" customHeight="1" x14ac:dyDescent="0.15">
      <c r="A28" s="241" t="s">
        <v>347</v>
      </c>
      <c r="B28" s="790" t="str">
        <f>IF(ISERROR(VLOOKUP(B27,審判員!$A:$C,2,FALSE))=TRUE,"",VLOOKUP(B27,審判員!$A:$C,2,FALSE))</f>
        <v/>
      </c>
      <c r="C28" s="791"/>
      <c r="D28" s="242" t="str">
        <f>IF(ISERROR(VLOOKUP(B27,審判員!$A:$C,3,FALSE))=TRUE,"",VLOOKUP(B27,審判員!$A:$C,3,FALSE))</f>
        <v/>
      </c>
      <c r="E28" s="248" t="s">
        <v>243</v>
      </c>
      <c r="F28" s="249" t="str">
        <f>IF(ISERROR(VLOOKUP(CONCATENATE($F$6,"_",G28),選手名簿!$A:$E,5,FALSE))=TRUE,"",VLOOKUP(CONCATENATE($F$6,"_",G28),選手名簿!$A:$E,5,FALSE))</f>
        <v/>
      </c>
      <c r="G28" s="250"/>
      <c r="H28" s="250"/>
      <c r="I28" s="250"/>
      <c r="J28" s="306"/>
      <c r="K28" s="250"/>
      <c r="L28" s="250"/>
      <c r="M28" s="250"/>
      <c r="N28" s="251" t="str">
        <f>IF(ISERROR(VLOOKUP(CONCATENATE($N$6,"_",M28),選手名簿!$A:$E,5,FALSE))=TRUE,"",VLOOKUP(CONCATENATE($N$6,"_",M28),選手名簿!$A:$E,5,FALSE))</f>
        <v/>
      </c>
      <c r="P28" s="241" t="s">
        <v>347</v>
      </c>
      <c r="Q28" s="790" t="str">
        <f>IF(ISERROR(VLOOKUP(Q27,審判員!$A:$C,2,FALSE))=TRUE,"",VLOOKUP(Q27,審判員!$A:$C,2,FALSE))</f>
        <v/>
      </c>
      <c r="R28" s="791"/>
      <c r="S28" s="242" t="str">
        <f>IF(ISERROR(VLOOKUP(Q27,審判員!$A:$C,3,FALSE))=TRUE,"",VLOOKUP(Q27,審判員!$A:$C,3,FALSE))</f>
        <v/>
      </c>
      <c r="T28" s="248" t="s">
        <v>243</v>
      </c>
      <c r="U28" s="249" t="str">
        <f>IF(ISERROR(VLOOKUP(CONCATENATE($U$6,"_",V28),選手名簿!$A:$E,5,FALSE))=TRUE,"",VLOOKUP(CONCATENATE($U$6,"_",V28),選手名簿!$A:$E,5,FALSE))</f>
        <v/>
      </c>
      <c r="V28" s="250"/>
      <c r="W28" s="250"/>
      <c r="X28" s="250"/>
      <c r="Y28" s="306"/>
      <c r="Z28" s="250"/>
      <c r="AA28" s="250"/>
      <c r="AB28" s="250"/>
      <c r="AC28" s="251" t="str">
        <f>IF(ISERROR(VLOOKUP(CONCATENATE($AC$6,"_",AB28),選手名簿!$A:$E,5,FALSE))=TRUE,"",VLOOKUP(CONCATENATE($AC$6,"_",AB28),選手名簿!$A:$E,5,FALSE))</f>
        <v/>
      </c>
    </row>
    <row r="29" spans="1:29" ht="9.9499999999999993" customHeight="1" x14ac:dyDescent="0.15">
      <c r="E29" s="252"/>
      <c r="T29" s="252"/>
    </row>
    <row r="30" spans="1:29" ht="9.9499999999999993" customHeight="1" x14ac:dyDescent="0.15">
      <c r="E30" s="252"/>
      <c r="T30" s="252"/>
    </row>
    <row r="31" spans="1:29" ht="9.9499999999999993" customHeight="1" x14ac:dyDescent="0.15">
      <c r="E31" s="252"/>
      <c r="T31" s="252"/>
    </row>
    <row r="32" spans="1:29" ht="9.9499999999999993" customHeight="1" x14ac:dyDescent="0.15">
      <c r="E32" s="252"/>
      <c r="T32" s="252"/>
    </row>
    <row r="33" spans="1:29" ht="27.4" customHeight="1" x14ac:dyDescent="0.15">
      <c r="B33" s="214" t="s">
        <v>396</v>
      </c>
      <c r="E33" s="252"/>
      <c r="Q33" s="214" t="s">
        <v>397</v>
      </c>
      <c r="T33" s="252"/>
    </row>
    <row r="34" spans="1:29" ht="27.4" customHeight="1" x14ac:dyDescent="0.15">
      <c r="A34" s="223" t="s">
        <v>334</v>
      </c>
      <c r="B34" s="768"/>
      <c r="C34" s="769"/>
      <c r="D34" s="770"/>
      <c r="E34" s="771">
        <v>0.43055555555555558</v>
      </c>
      <c r="F34" s="865" t="e">
        <f>VLOOKUP(決勝トーナメント!J26,組合せ抽選用!$S:$U,3,FALSE)</f>
        <v>#N/A</v>
      </c>
      <c r="G34" s="777" t="str">
        <f>IF(I34="","",SUM(I34:I35))</f>
        <v/>
      </c>
      <c r="H34" s="780" t="s">
        <v>123</v>
      </c>
      <c r="I34" s="224"/>
      <c r="J34" s="224" t="s">
        <v>335</v>
      </c>
      <c r="K34" s="224"/>
      <c r="L34" s="780" t="s">
        <v>336</v>
      </c>
      <c r="M34" s="777" t="str">
        <f>IF(K34="","",SUM(K34:K35))</f>
        <v/>
      </c>
      <c r="N34" s="868" t="e">
        <f>VLOOKUP(決勝トーナメント!L26,組合せ抽選用!$S:$U,3,FALSE)</f>
        <v>#N/A</v>
      </c>
      <c r="P34" s="223" t="s">
        <v>334</v>
      </c>
      <c r="Q34" s="768"/>
      <c r="R34" s="769"/>
      <c r="S34" s="770"/>
      <c r="T34" s="771">
        <v>0.43055555555555558</v>
      </c>
      <c r="U34" s="865" t="e">
        <f>VLOOKUP(決勝トーナメント!N26,組合せ抽選用!$S:$U,3,FALSE)</f>
        <v>#N/A</v>
      </c>
      <c r="V34" s="777" t="str">
        <f>IF(X34="","",SUM(X34:X35))</f>
        <v/>
      </c>
      <c r="W34" s="780" t="s">
        <v>123</v>
      </c>
      <c r="X34" s="224"/>
      <c r="Y34" s="224" t="s">
        <v>335</v>
      </c>
      <c r="Z34" s="224"/>
      <c r="AA34" s="780" t="s">
        <v>336</v>
      </c>
      <c r="AB34" s="777" t="str">
        <f>IF(Z34="","",SUM(Z34:Z35))</f>
        <v/>
      </c>
      <c r="AC34" s="868" t="e">
        <f>VLOOKUP(決勝トーナメント!P26,組合せ抽選用!$S:$U,3,FALSE)</f>
        <v>#N/A</v>
      </c>
    </row>
    <row r="35" spans="1:29" ht="27.4" customHeight="1" x14ac:dyDescent="0.15">
      <c r="A35" s="225" t="s">
        <v>337</v>
      </c>
      <c r="B35" s="786"/>
      <c r="C35" s="786"/>
      <c r="D35" s="768"/>
      <c r="E35" s="772"/>
      <c r="F35" s="866"/>
      <c r="G35" s="778"/>
      <c r="H35" s="781"/>
      <c r="J35" s="214" t="s">
        <v>338</v>
      </c>
      <c r="L35" s="781"/>
      <c r="M35" s="778"/>
      <c r="N35" s="869"/>
      <c r="P35" s="225" t="s">
        <v>337</v>
      </c>
      <c r="Q35" s="786"/>
      <c r="R35" s="786"/>
      <c r="S35" s="768"/>
      <c r="T35" s="772"/>
      <c r="U35" s="866"/>
      <c r="V35" s="778"/>
      <c r="W35" s="781"/>
      <c r="Y35" s="214" t="s">
        <v>338</v>
      </c>
      <c r="AA35" s="781"/>
      <c r="AB35" s="778"/>
      <c r="AC35" s="869"/>
    </row>
    <row r="36" spans="1:29" ht="27.4" customHeight="1" thickBot="1" x14ac:dyDescent="0.2">
      <c r="A36" s="225" t="s">
        <v>339</v>
      </c>
      <c r="B36" s="786"/>
      <c r="C36" s="786"/>
      <c r="D36" s="768"/>
      <c r="E36" s="773"/>
      <c r="F36" s="867"/>
      <c r="G36" s="779"/>
      <c r="H36" s="782"/>
      <c r="I36" s="226"/>
      <c r="J36" s="226" t="s">
        <v>340</v>
      </c>
      <c r="K36" s="226"/>
      <c r="L36" s="782"/>
      <c r="M36" s="779"/>
      <c r="N36" s="870"/>
      <c r="P36" s="225" t="s">
        <v>339</v>
      </c>
      <c r="Q36" s="786"/>
      <c r="R36" s="786"/>
      <c r="S36" s="768"/>
      <c r="T36" s="773"/>
      <c r="U36" s="867"/>
      <c r="V36" s="779"/>
      <c r="W36" s="782"/>
      <c r="X36" s="226"/>
      <c r="Y36" s="226" t="s">
        <v>340</v>
      </c>
      <c r="Z36" s="226"/>
      <c r="AA36" s="782"/>
      <c r="AB36" s="779"/>
      <c r="AC36" s="870"/>
    </row>
    <row r="37" spans="1:29" ht="26.25" hidden="1" customHeight="1" x14ac:dyDescent="0.15">
      <c r="E37" s="227"/>
      <c r="F37" s="228" t="s">
        <v>242</v>
      </c>
      <c r="G37" s="228" t="s">
        <v>342</v>
      </c>
      <c r="H37" s="228" t="s">
        <v>317</v>
      </c>
      <c r="I37" s="228"/>
      <c r="J37" s="297"/>
      <c r="K37" s="228"/>
      <c r="L37" s="228" t="s">
        <v>317</v>
      </c>
      <c r="M37" s="228" t="s">
        <v>342</v>
      </c>
      <c r="N37" s="230" t="s">
        <v>242</v>
      </c>
      <c r="T37" s="227"/>
      <c r="U37" s="228" t="s">
        <v>242</v>
      </c>
      <c r="V37" s="228" t="s">
        <v>342</v>
      </c>
      <c r="W37" s="228" t="s">
        <v>317</v>
      </c>
      <c r="X37" s="228"/>
      <c r="Y37" s="297"/>
      <c r="Z37" s="228"/>
      <c r="AA37" s="228" t="s">
        <v>317</v>
      </c>
      <c r="AB37" s="228" t="s">
        <v>342</v>
      </c>
      <c r="AC37" s="230" t="s">
        <v>242</v>
      </c>
    </row>
    <row r="38" spans="1:29" ht="26.25" hidden="1" customHeight="1" x14ac:dyDescent="0.15">
      <c r="E38" s="244" t="s">
        <v>343</v>
      </c>
      <c r="F38" s="298" t="str">
        <f>IF(ISERROR(VLOOKUP(CONCATENATE($F$34,"_",G38),選手名簿!$A:$E,5,FALSE))=TRUE,"",VLOOKUP(CONCATENATE($F$34,"_",G38),選手名簿!$A:$E,5,FALSE))</f>
        <v/>
      </c>
      <c r="G38" s="246"/>
      <c r="H38" s="246"/>
      <c r="I38" s="246"/>
      <c r="J38" s="299"/>
      <c r="K38" s="246"/>
      <c r="L38" s="246"/>
      <c r="M38" s="246"/>
      <c r="N38" s="300" t="str">
        <f>IF(ISERROR(VLOOKUP(CONCATENATE($N$34,"_",M38),選手名簿!$A:$E,5,FALSE))=TRUE,"",VLOOKUP(CONCATENATE($N$34,"_",M38),選手名簿!$A:$E,5,FALSE))</f>
        <v/>
      </c>
      <c r="T38" s="244" t="s">
        <v>343</v>
      </c>
      <c r="U38" s="298" t="str">
        <f>IF(ISERROR(VLOOKUP(CONCATENATE($U$34,"_",V38),選手名簿!$A:$E,5,FALSE))=TRUE,"",VLOOKUP(CONCATENATE($U$34,"_",V38),選手名簿!$A:$E,5,FALSE))</f>
        <v/>
      </c>
      <c r="V38" s="246"/>
      <c r="W38" s="246"/>
      <c r="X38" s="246"/>
      <c r="Y38" s="299"/>
      <c r="Z38" s="246"/>
      <c r="AA38" s="246"/>
      <c r="AB38" s="246"/>
      <c r="AC38" s="300" t="str">
        <f>IF(ISERROR(VLOOKUP(CONCATENATE($AC$34,"_",AB38),選手名簿!$A:$E,5,FALSE))=TRUE,"",VLOOKUP(CONCATENATE($AC$34,"_",AB38),選手名簿!$A:$E,5,FALSE))</f>
        <v/>
      </c>
    </row>
    <row r="39" spans="1:29" ht="26.25" hidden="1" customHeight="1" x14ac:dyDescent="0.15">
      <c r="E39" s="244" t="s">
        <v>343</v>
      </c>
      <c r="F39" s="232" t="str">
        <f>IF(ISERROR(VLOOKUP(CONCATENATE($F$34,"_",G39),選手名簿!$A:$E,5,FALSE))=TRUE,"",VLOOKUP(CONCATENATE($F$34,"_",G39),選手名簿!$A:$E,5,FALSE))</f>
        <v/>
      </c>
      <c r="G39" s="246"/>
      <c r="H39" s="246"/>
      <c r="I39" s="246"/>
      <c r="J39" s="299"/>
      <c r="K39" s="246"/>
      <c r="L39" s="246"/>
      <c r="M39" s="246"/>
      <c r="N39" s="300" t="str">
        <f>IF(ISERROR(VLOOKUP(CONCATENATE($N$34,"_",M39),選手名簿!$A:$E,5,FALSE))=TRUE,"",VLOOKUP(CONCATENATE($N$34,"_",M39),選手名簿!$A:$E,5,FALSE))</f>
        <v/>
      </c>
      <c r="T39" s="244" t="s">
        <v>343</v>
      </c>
      <c r="U39" s="232" t="str">
        <f>IF(ISERROR(VLOOKUP(CONCATENATE($U$34,"_",V39),選手名簿!$A:$E,5,FALSE))=TRUE,"",VLOOKUP(CONCATENATE($U$34,"_",V39),選手名簿!$A:$E,5,FALSE))</f>
        <v/>
      </c>
      <c r="V39" s="246"/>
      <c r="W39" s="246"/>
      <c r="X39" s="246"/>
      <c r="Y39" s="299"/>
      <c r="Z39" s="246"/>
      <c r="AA39" s="246"/>
      <c r="AB39" s="246"/>
      <c r="AC39" s="300" t="str">
        <f>IF(ISERROR(VLOOKUP(CONCATENATE($AC$34,"_",AB39),選手名簿!$A:$E,5,FALSE))=TRUE,"",VLOOKUP(CONCATENATE($AC$34,"_",AB39),選手名簿!$A:$E,5,FALSE))</f>
        <v/>
      </c>
    </row>
    <row r="40" spans="1:29" ht="26.25" hidden="1" customHeight="1" x14ac:dyDescent="0.15">
      <c r="E40" s="244" t="s">
        <v>343</v>
      </c>
      <c r="F40" s="245" t="str">
        <f>IF(ISERROR(VLOOKUP(CONCATENATE($F$34,"_",G40),選手名簿!$A:$E,5,FALSE))=TRUE,"",VLOOKUP(CONCATENATE($F$34,"_",G40),選手名簿!$A:$E,5,FALSE))</f>
        <v/>
      </c>
      <c r="G40" s="246"/>
      <c r="H40" s="246"/>
      <c r="I40" s="246"/>
      <c r="J40" s="299"/>
      <c r="K40" s="246"/>
      <c r="L40" s="246"/>
      <c r="M40" s="246"/>
      <c r="N40" s="300" t="str">
        <f>IF(ISERROR(VLOOKUP(CONCATENATE($N$34,"_",M40),選手名簿!$A:$E,5,FALSE))=TRUE,"",VLOOKUP(CONCATENATE($N$34,"_",M40),選手名簿!$A:$E,5,FALSE))</f>
        <v/>
      </c>
      <c r="T40" s="244" t="s">
        <v>343</v>
      </c>
      <c r="U40" s="245" t="str">
        <f>IF(ISERROR(VLOOKUP(CONCATENATE($U$34,"_",V40),選手名簿!$A:$E,5,FALSE))=TRUE,"",VLOOKUP(CONCATENATE($U$34,"_",V40),選手名簿!$A:$E,5,FALSE))</f>
        <v/>
      </c>
      <c r="V40" s="246"/>
      <c r="W40" s="246"/>
      <c r="X40" s="246"/>
      <c r="Y40" s="299"/>
      <c r="Z40" s="246"/>
      <c r="AA40" s="246"/>
      <c r="AB40" s="246"/>
      <c r="AC40" s="300" t="str">
        <f>IF(ISERROR(VLOOKUP(CONCATENATE($AC$34,"_",AB40),選手名簿!$A:$E,5,FALSE))=TRUE,"",VLOOKUP(CONCATENATE($AC$34,"_",AB40),選手名簿!$A:$E,5,FALSE))</f>
        <v/>
      </c>
    </row>
    <row r="41" spans="1:29" ht="26.25" hidden="1" customHeight="1" x14ac:dyDescent="0.15">
      <c r="E41" s="244" t="s">
        <v>343</v>
      </c>
      <c r="F41" s="245" t="str">
        <f>IF(ISERROR(VLOOKUP(CONCATENATE($F$34,"_",G41),選手名簿!$A:$E,5,FALSE))=TRUE,"",VLOOKUP(CONCATENATE($F$34,"_",G41),選手名簿!$A:$E,5,FALSE))</f>
        <v/>
      </c>
      <c r="G41" s="246"/>
      <c r="H41" s="246"/>
      <c r="I41" s="246"/>
      <c r="J41" s="299"/>
      <c r="K41" s="246"/>
      <c r="L41" s="246"/>
      <c r="M41" s="246"/>
      <c r="N41" s="300" t="str">
        <f>IF(ISERROR(VLOOKUP(CONCATENATE($N$34,"_",M41),選手名簿!$A:$E,5,FALSE))=TRUE,"",VLOOKUP(CONCATENATE($N$34,"_",M41),選手名簿!$A:$E,5,FALSE))</f>
        <v/>
      </c>
      <c r="T41" s="244" t="s">
        <v>343</v>
      </c>
      <c r="U41" s="245" t="str">
        <f>IF(ISERROR(VLOOKUP(CONCATENATE($U$34,"_",V41),選手名簿!$A:$E,5,FALSE))=TRUE,"",VLOOKUP(CONCATENATE($U$34,"_",V41),選手名簿!$A:$E,5,FALSE))</f>
        <v/>
      </c>
      <c r="V41" s="246"/>
      <c r="W41" s="246"/>
      <c r="X41" s="246"/>
      <c r="Y41" s="299"/>
      <c r="Z41" s="246"/>
      <c r="AA41" s="246"/>
      <c r="AB41" s="246"/>
      <c r="AC41" s="300" t="str">
        <f>IF(ISERROR(VLOOKUP(CONCATENATE($AC$34,"_",AB41),選手名簿!$A:$E,5,FALSE))=TRUE,"",VLOOKUP(CONCATENATE($AC$34,"_",AB41),選手名簿!$A:$E,5,FALSE))</f>
        <v/>
      </c>
    </row>
    <row r="42" spans="1:29" ht="26.25" hidden="1" customHeight="1" x14ac:dyDescent="0.15">
      <c r="E42" s="244" t="s">
        <v>343</v>
      </c>
      <c r="F42" s="245" t="str">
        <f>IF(ISERROR(VLOOKUP(CONCATENATE($F$34,"_",G42),選手名簿!$A:$E,5,FALSE))=TRUE,"",VLOOKUP(CONCATENATE($F$34,"_",G42),選手名簿!$A:$E,5,FALSE))</f>
        <v/>
      </c>
      <c r="G42" s="246"/>
      <c r="H42" s="246"/>
      <c r="I42" s="246"/>
      <c r="J42" s="299"/>
      <c r="K42" s="246"/>
      <c r="L42" s="246"/>
      <c r="M42" s="246"/>
      <c r="N42" s="235" t="str">
        <f>IF(ISERROR(VLOOKUP(CONCATENATE($N$34,"_",M42),選手名簿!$A:$E,5,FALSE))=TRUE,"",VLOOKUP(CONCATENATE($N$34,"_",M42),選手名簿!$A:$E,5,FALSE))</f>
        <v/>
      </c>
      <c r="T42" s="244" t="s">
        <v>343</v>
      </c>
      <c r="U42" s="245" t="str">
        <f>IF(ISERROR(VLOOKUP(CONCATENATE($U$34,"_",V42),選手名簿!$A:$E,5,FALSE))=TRUE,"",VLOOKUP(CONCATENATE($U$34,"_",V42),選手名簿!$A:$E,5,FALSE))</f>
        <v/>
      </c>
      <c r="V42" s="246"/>
      <c r="W42" s="246"/>
      <c r="X42" s="246"/>
      <c r="Y42" s="299"/>
      <c r="Z42" s="246"/>
      <c r="AA42" s="246"/>
      <c r="AB42" s="246"/>
      <c r="AC42" s="235" t="str">
        <f>IF(ISERROR(VLOOKUP(CONCATENATE($AC$34,"_",AB42),選手名簿!$A:$E,5,FALSE))=TRUE,"",VLOOKUP(CONCATENATE($AC$34,"_",AB42),選手名簿!$A:$E,5,FALSE))</f>
        <v/>
      </c>
    </row>
    <row r="43" spans="1:29" ht="26.25" hidden="1" customHeight="1" x14ac:dyDescent="0.15">
      <c r="E43" s="244" t="s">
        <v>343</v>
      </c>
      <c r="F43" s="245" t="str">
        <f>IF(ISERROR(VLOOKUP(CONCATENATE($F$34,"_",G43),選手名簿!$A:$E,5,FALSE))=TRUE,"",VLOOKUP(CONCATENATE($F$34,"_",G43),選手名簿!$A:$E,5,FALSE))</f>
        <v/>
      </c>
      <c r="G43" s="246"/>
      <c r="H43" s="246"/>
      <c r="I43" s="246"/>
      <c r="J43" s="299"/>
      <c r="K43" s="246"/>
      <c r="L43" s="246"/>
      <c r="M43" s="246"/>
      <c r="N43" s="247" t="str">
        <f>IF(ISERROR(VLOOKUP(CONCATENATE($N$34,"_",M43),選手名簿!$A:$E,5,FALSE))=TRUE,"",VLOOKUP(CONCATENATE($N$34,"_",M43),選手名簿!$A:$E,5,FALSE))</f>
        <v/>
      </c>
      <c r="T43" s="244" t="s">
        <v>343</v>
      </c>
      <c r="U43" s="245" t="str">
        <f>IF(ISERROR(VLOOKUP(CONCATENATE($U$34,"_",V43),選手名簿!$A:$E,5,FALSE))=TRUE,"",VLOOKUP(CONCATENATE($U$34,"_",V43),選手名簿!$A:$E,5,FALSE))</f>
        <v/>
      </c>
      <c r="V43" s="246"/>
      <c r="W43" s="246"/>
      <c r="X43" s="246"/>
      <c r="Y43" s="299"/>
      <c r="Z43" s="246"/>
      <c r="AA43" s="246"/>
      <c r="AB43" s="246"/>
      <c r="AC43" s="247" t="str">
        <f>IF(ISERROR(VLOOKUP(CONCATENATE($AC$34,"_",AB43),選手名簿!$A:$E,5,FALSE))=TRUE,"",VLOOKUP(CONCATENATE($AC$34,"_",AB43),選手名簿!$A:$E,5,FALSE))</f>
        <v/>
      </c>
    </row>
    <row r="44" spans="1:29" ht="26.25" hidden="1" customHeight="1" x14ac:dyDescent="0.15">
      <c r="E44" s="244" t="s">
        <v>343</v>
      </c>
      <c r="F44" s="245" t="str">
        <f>IF(ISERROR(VLOOKUP(CONCATENATE($F$34,"_",G44),選手名簿!$A:$E,5,FALSE))=TRUE,"",VLOOKUP(CONCATENATE($F$34,"_",G44),選手名簿!$A:$E,5,FALSE))</f>
        <v/>
      </c>
      <c r="G44" s="246"/>
      <c r="H44" s="246"/>
      <c r="I44" s="246"/>
      <c r="J44" s="299"/>
      <c r="K44" s="246"/>
      <c r="L44" s="246"/>
      <c r="M44" s="246"/>
      <c r="N44" s="247" t="str">
        <f>IF(ISERROR(VLOOKUP(CONCATENATE($N$34,"_",M44),選手名簿!$A:$E,5,FALSE))=TRUE,"",VLOOKUP(CONCATENATE($N$34,"_",M44),選手名簿!$A:$E,5,FALSE))</f>
        <v/>
      </c>
      <c r="T44" s="244" t="s">
        <v>343</v>
      </c>
      <c r="U44" s="245" t="str">
        <f>IF(ISERROR(VLOOKUP(CONCATENATE($U$34,"_",V44),選手名簿!$A:$E,5,FALSE))=TRUE,"",VLOOKUP(CONCATENATE($U$34,"_",V44),選手名簿!$A:$E,5,FALSE))</f>
        <v/>
      </c>
      <c r="V44" s="246"/>
      <c r="W44" s="246"/>
      <c r="X44" s="246"/>
      <c r="Y44" s="299"/>
      <c r="Z44" s="246"/>
      <c r="AA44" s="246"/>
      <c r="AB44" s="246"/>
      <c r="AC44" s="247" t="str">
        <f>IF(ISERROR(VLOOKUP(CONCATENATE($AC$34,"_",AB44),選手名簿!$A:$E,5,FALSE))=TRUE,"",VLOOKUP(CONCATENATE($AC$34,"_",AB44),選手名簿!$A:$E,5,FALSE))</f>
        <v/>
      </c>
    </row>
    <row r="45" spans="1:29" ht="26.25" hidden="1" customHeight="1" x14ac:dyDescent="0.15">
      <c r="E45" s="244" t="s">
        <v>343</v>
      </c>
      <c r="F45" s="245" t="str">
        <f>IF(ISERROR(VLOOKUP(CONCATENATE($F$34,"_",G45),選手名簿!$A:$E,5,FALSE))=TRUE,"",VLOOKUP(CONCATENATE($F$34,"_",G45),選手名簿!$A:$E,5,FALSE))</f>
        <v/>
      </c>
      <c r="G45" s="246"/>
      <c r="H45" s="246"/>
      <c r="I45" s="246"/>
      <c r="J45" s="299"/>
      <c r="K45" s="246"/>
      <c r="L45" s="246"/>
      <c r="M45" s="246"/>
      <c r="N45" s="247" t="str">
        <f>IF(ISERROR(VLOOKUP(CONCATENATE($N$34,"_",M45),選手名簿!$A:$E,5,FALSE))=TRUE,"",VLOOKUP(CONCATENATE($N$34,"_",M45),選手名簿!$A:$E,5,FALSE))</f>
        <v/>
      </c>
      <c r="T45" s="244" t="s">
        <v>343</v>
      </c>
      <c r="U45" s="245" t="str">
        <f>IF(ISERROR(VLOOKUP(CONCATENATE($U$34,"_",V45),選手名簿!$A:$E,5,FALSE))=TRUE,"",VLOOKUP(CONCATENATE($U$34,"_",V45),選手名簿!$A:$E,5,FALSE))</f>
        <v/>
      </c>
      <c r="V45" s="246"/>
      <c r="W45" s="246"/>
      <c r="X45" s="246"/>
      <c r="Y45" s="299"/>
      <c r="Z45" s="246"/>
      <c r="AA45" s="246"/>
      <c r="AB45" s="246"/>
      <c r="AC45" s="247" t="str">
        <f>IF(ISERROR(VLOOKUP(CONCATENATE($AC$34,"_",AB45),選手名簿!$A:$E,5,FALSE))=TRUE,"",VLOOKUP(CONCATENATE($AC$34,"_",AB45),選手名簿!$A:$E,5,FALSE))</f>
        <v/>
      </c>
    </row>
    <row r="46" spans="1:29" ht="26.25" hidden="1" customHeight="1" x14ac:dyDescent="0.15">
      <c r="E46" s="244" t="s">
        <v>343</v>
      </c>
      <c r="F46" s="245" t="str">
        <f>IF(ISERROR(VLOOKUP(CONCATENATE($F$34,"_",G46),選手名簿!$A:$E,5,FALSE))=TRUE,"",VLOOKUP(CONCATENATE($F$34,"_",G46),選手名簿!$A:$E,5,FALSE))</f>
        <v/>
      </c>
      <c r="G46" s="246"/>
      <c r="H46" s="246"/>
      <c r="I46" s="246"/>
      <c r="J46" s="299"/>
      <c r="K46" s="246"/>
      <c r="L46" s="246"/>
      <c r="M46" s="246"/>
      <c r="N46" s="247" t="str">
        <f>IF(ISERROR(VLOOKUP(CONCATENATE($N$34,"_",M46),選手名簿!$A:$E,5,FALSE))=TRUE,"",VLOOKUP(CONCATENATE($N$34,"_",M46),選手名簿!$A:$E,5,FALSE))</f>
        <v/>
      </c>
      <c r="T46" s="244" t="s">
        <v>343</v>
      </c>
      <c r="U46" s="245" t="str">
        <f>IF(ISERROR(VLOOKUP(CONCATENATE($U$34,"_",V46),選手名簿!$A:$E,5,FALSE))=TRUE,"",VLOOKUP(CONCATENATE($U$34,"_",V46),選手名簿!$A:$E,5,FALSE))</f>
        <v/>
      </c>
      <c r="V46" s="246"/>
      <c r="W46" s="246"/>
      <c r="X46" s="246"/>
      <c r="Y46" s="299"/>
      <c r="Z46" s="246"/>
      <c r="AA46" s="246"/>
      <c r="AB46" s="246"/>
      <c r="AC46" s="247" t="str">
        <f>IF(ISERROR(VLOOKUP(CONCATENATE($AC$34,"_",AB46),選手名簿!$A:$E,5,FALSE))=TRUE,"",VLOOKUP(CONCATENATE($AC$34,"_",AB46),選手名簿!$A:$E,5,FALSE))</f>
        <v/>
      </c>
    </row>
    <row r="47" spans="1:29" ht="26.25" hidden="1" customHeight="1" x14ac:dyDescent="0.15">
      <c r="E47" s="301" t="s">
        <v>343</v>
      </c>
      <c r="F47" s="302" t="str">
        <f>IF(ISERROR(VLOOKUP(CONCATENATE($F$34,"_",G47),選手名簿!$A:$E,5,FALSE))=TRUE,"",VLOOKUP(CONCATENATE($F$34,"_",G47),選手名簿!$A:$E,5,FALSE))</f>
        <v/>
      </c>
      <c r="G47" s="303"/>
      <c r="H47" s="303"/>
      <c r="I47" s="303"/>
      <c r="J47" s="304"/>
      <c r="K47" s="303"/>
      <c r="L47" s="303"/>
      <c r="M47" s="303"/>
      <c r="N47" s="305" t="str">
        <f>IF(ISERROR(VLOOKUP(CONCATENATE($N$34,"_",M47),選手名簿!$A:$E,5,FALSE))=TRUE,"",VLOOKUP(CONCATENATE($N$34,"_",M47),選手名簿!$A:$E,5,FALSE))</f>
        <v/>
      </c>
      <c r="T47" s="301" t="s">
        <v>343</v>
      </c>
      <c r="U47" s="302" t="str">
        <f>IF(ISERROR(VLOOKUP(CONCATENATE($U$34,"_",V47),選手名簿!$A:$E,5,FALSE))=TRUE,"",VLOOKUP(CONCATENATE($U$34,"_",V47),選手名簿!$A:$E,5,FALSE))</f>
        <v/>
      </c>
      <c r="V47" s="303"/>
      <c r="W47" s="303"/>
      <c r="X47" s="303"/>
      <c r="Y47" s="304"/>
      <c r="Z47" s="303"/>
      <c r="AA47" s="303"/>
      <c r="AB47" s="303"/>
      <c r="AC47" s="305" t="str">
        <f>IF(ISERROR(VLOOKUP(CONCATENATE($AC$34,"_",AB47),選手名簿!$A:$E,5,FALSE))=TRUE,"",VLOOKUP(CONCATENATE($AC$34,"_",AB47),選手名簿!$A:$E,5,FALSE))</f>
        <v/>
      </c>
    </row>
    <row r="48" spans="1:29" ht="26.25" customHeight="1" thickTop="1" x14ac:dyDescent="0.15">
      <c r="A48" s="787" t="s">
        <v>341</v>
      </c>
      <c r="B48" s="787"/>
      <c r="C48" s="787"/>
      <c r="D48" s="788"/>
      <c r="E48" s="227"/>
      <c r="F48" s="228" t="s">
        <v>242</v>
      </c>
      <c r="G48" s="228" t="s">
        <v>342</v>
      </c>
      <c r="H48" s="228" t="s">
        <v>317</v>
      </c>
      <c r="I48" s="228"/>
      <c r="J48" s="297"/>
      <c r="K48" s="228"/>
      <c r="L48" s="228" t="s">
        <v>317</v>
      </c>
      <c r="M48" s="228" t="s">
        <v>342</v>
      </c>
      <c r="N48" s="230" t="s">
        <v>242</v>
      </c>
      <c r="P48" s="787" t="s">
        <v>341</v>
      </c>
      <c r="Q48" s="787"/>
      <c r="R48" s="787"/>
      <c r="S48" s="788"/>
      <c r="T48" s="227"/>
      <c r="U48" s="228" t="s">
        <v>242</v>
      </c>
      <c r="V48" s="228" t="s">
        <v>342</v>
      </c>
      <c r="W48" s="228" t="s">
        <v>317</v>
      </c>
      <c r="X48" s="228"/>
      <c r="Y48" s="297"/>
      <c r="Z48" s="228"/>
      <c r="AA48" s="228" t="s">
        <v>317</v>
      </c>
      <c r="AB48" s="228" t="s">
        <v>342</v>
      </c>
      <c r="AC48" s="230" t="s">
        <v>242</v>
      </c>
    </row>
    <row r="49" spans="1:29" ht="26.25" customHeight="1" x14ac:dyDescent="0.15">
      <c r="A49" s="241" t="s">
        <v>342</v>
      </c>
      <c r="B49" s="789"/>
      <c r="C49" s="789"/>
      <c r="D49" s="789"/>
      <c r="E49" s="244" t="s">
        <v>243</v>
      </c>
      <c r="F49" s="245" t="str">
        <f>IF(ISERROR(VLOOKUP(CONCATENATE($F$34,"_",G49),選手名簿!$A:$E,5,FALSE))=TRUE,"",VLOOKUP(CONCATENATE($F$34,"_",G49),選手名簿!$A:$E,5,FALSE))</f>
        <v/>
      </c>
      <c r="G49" s="246"/>
      <c r="H49" s="246"/>
      <c r="I49" s="246"/>
      <c r="J49" s="299"/>
      <c r="K49" s="246"/>
      <c r="L49" s="246"/>
      <c r="M49" s="246"/>
      <c r="N49" s="247" t="str">
        <f>IF(ISERROR(VLOOKUP(CONCATENATE($N$34,"_",M49),選手名簿!$A:$E,5,FALSE))=TRUE,"",VLOOKUP(CONCATENATE($N$34,"_",M49),選手名簿!$A:$E,5,FALSE))</f>
        <v/>
      </c>
      <c r="P49" s="241" t="s">
        <v>342</v>
      </c>
      <c r="Q49" s="789"/>
      <c r="R49" s="789"/>
      <c r="S49" s="789"/>
      <c r="T49" s="244" t="s">
        <v>243</v>
      </c>
      <c r="U49" s="245" t="str">
        <f>IF(ISERROR(VLOOKUP(CONCATENATE($U$34,"_",V49),選手名簿!$A:$E,5,FALSE))=TRUE,"",VLOOKUP(CONCATENATE($U$34,"_",V49),選手名簿!$A:$E,5,FALSE))</f>
        <v/>
      </c>
      <c r="V49" s="246"/>
      <c r="W49" s="246"/>
      <c r="X49" s="246"/>
      <c r="Y49" s="299"/>
      <c r="Z49" s="246"/>
      <c r="AA49" s="246"/>
      <c r="AB49" s="246"/>
      <c r="AC49" s="247" t="str">
        <f>IF(ISERROR(VLOOKUP(CONCATENATE($AC$34,"_",AB49),選手名簿!$A:$E,5,FALSE))=TRUE,"",VLOOKUP(CONCATENATE($AC$34,"_",AB49),選手名簿!$A:$E,5,FALSE))</f>
        <v/>
      </c>
    </row>
    <row r="50" spans="1:29" ht="26.25" customHeight="1" x14ac:dyDescent="0.15">
      <c r="A50" s="241" t="s">
        <v>344</v>
      </c>
      <c r="B50" s="790" t="str">
        <f>IF(ISERROR(VLOOKUP(B49,審判員!$A:$C,2,FALSE))=TRUE,"",VLOOKUP(B49,審判員!$A:$C,2,FALSE))</f>
        <v/>
      </c>
      <c r="C50" s="791"/>
      <c r="D50" s="242" t="str">
        <f>IF(ISERROR(VLOOKUP(B49,審判員!$A:$C,3,FALSE))=TRUE,"",VLOOKUP(B49,審判員!$A:$C,3,FALSE))</f>
        <v/>
      </c>
      <c r="E50" s="244" t="s">
        <v>243</v>
      </c>
      <c r="F50" s="245" t="str">
        <f>IF(ISERROR(VLOOKUP(CONCATENATE($F$34,"_",G50),選手名簿!$A:$E,5,FALSE))=TRUE,"",VLOOKUP(CONCATENATE($F$34,"_",G50),選手名簿!$A:$E,5,FALSE))</f>
        <v/>
      </c>
      <c r="G50" s="246"/>
      <c r="H50" s="246"/>
      <c r="I50" s="246"/>
      <c r="J50" s="299"/>
      <c r="K50" s="246"/>
      <c r="L50" s="246"/>
      <c r="M50" s="246"/>
      <c r="N50" s="247" t="str">
        <f>IF(ISERROR(VLOOKUP(CONCATENATE($N$34,"_",M50),選手名簿!$A:$E,5,FALSE))=TRUE,"",VLOOKUP(CONCATENATE($N$34,"_",M50),選手名簿!$A:$E,5,FALSE))</f>
        <v/>
      </c>
      <c r="P50" s="241" t="s">
        <v>344</v>
      </c>
      <c r="Q50" s="790" t="str">
        <f>IF(ISERROR(VLOOKUP(Q49,審判員!$A:$C,2,FALSE))=TRUE,"",VLOOKUP(Q49,審判員!$A:$C,2,FALSE))</f>
        <v/>
      </c>
      <c r="R50" s="791"/>
      <c r="S50" s="242" t="str">
        <f>IF(ISERROR(VLOOKUP(Q49,審判員!$A:$C,3,FALSE))=TRUE,"",VLOOKUP(Q49,審判員!$A:$C,3,FALSE))</f>
        <v/>
      </c>
      <c r="T50" s="244" t="s">
        <v>243</v>
      </c>
      <c r="U50" s="245" t="str">
        <f>IF(ISERROR(VLOOKUP(CONCATENATE($U$34,"_",V50),選手名簿!$A:$E,5,FALSE))=TRUE,"",VLOOKUP(CONCATENATE($U$34,"_",V50),選手名簿!$A:$E,5,FALSE))</f>
        <v/>
      </c>
      <c r="V50" s="246"/>
      <c r="W50" s="246"/>
      <c r="X50" s="246"/>
      <c r="Y50" s="299"/>
      <c r="Z50" s="246"/>
      <c r="AA50" s="246"/>
      <c r="AB50" s="246"/>
      <c r="AC50" s="247" t="str">
        <f>IF(ISERROR(VLOOKUP(CONCATENATE($AC$34,"_",AB50),選手名簿!$A:$E,5,FALSE))=TRUE,"",VLOOKUP(CONCATENATE($AC$34,"_",AB50),選手名簿!$A:$E,5,FALSE))</f>
        <v/>
      </c>
    </row>
    <row r="51" spans="1:29" ht="26.25" customHeight="1" x14ac:dyDescent="0.15">
      <c r="A51" s="241" t="s">
        <v>342</v>
      </c>
      <c r="B51" s="789"/>
      <c r="C51" s="789"/>
      <c r="D51" s="789"/>
      <c r="E51" s="244" t="s">
        <v>243</v>
      </c>
      <c r="F51" s="245" t="str">
        <f>IF(ISERROR(VLOOKUP(CONCATENATE($F$34,"_",G51),選手名簿!$A:$E,5,FALSE))=TRUE,"",VLOOKUP(CONCATENATE($F$34,"_",G51),選手名簿!$A:$E,5,FALSE))</f>
        <v/>
      </c>
      <c r="G51" s="246"/>
      <c r="H51" s="246"/>
      <c r="I51" s="246"/>
      <c r="J51" s="299"/>
      <c r="K51" s="246"/>
      <c r="L51" s="246"/>
      <c r="M51" s="246"/>
      <c r="N51" s="247" t="str">
        <f>IF(ISERROR(VLOOKUP(CONCATENATE($N$34,"_",M51),選手名簿!$A:$E,5,FALSE))=TRUE,"",VLOOKUP(CONCATENATE($N$34,"_",M51),選手名簿!$A:$E,5,FALSE))</f>
        <v/>
      </c>
      <c r="P51" s="241" t="s">
        <v>342</v>
      </c>
      <c r="Q51" s="789"/>
      <c r="R51" s="789"/>
      <c r="S51" s="789"/>
      <c r="T51" s="244" t="s">
        <v>243</v>
      </c>
      <c r="U51" s="245" t="str">
        <f>IF(ISERROR(VLOOKUP(CONCATENATE($U$34,"_",V51),選手名簿!$A:$E,5,FALSE))=TRUE,"",VLOOKUP(CONCATENATE($U$34,"_",V51),選手名簿!$A:$E,5,FALSE))</f>
        <v/>
      </c>
      <c r="V51" s="246"/>
      <c r="W51" s="246"/>
      <c r="X51" s="246"/>
      <c r="Y51" s="299"/>
      <c r="Z51" s="246"/>
      <c r="AA51" s="246"/>
      <c r="AB51" s="246"/>
      <c r="AC51" s="247" t="str">
        <f>IF(ISERROR(VLOOKUP(CONCATENATE($AC$34,"_",AB51),選手名簿!$A:$E,5,FALSE))=TRUE,"",VLOOKUP(CONCATENATE($AC$34,"_",AB51),選手名簿!$A:$E,5,FALSE))</f>
        <v/>
      </c>
    </row>
    <row r="52" spans="1:29" ht="26.25" customHeight="1" x14ac:dyDescent="0.15">
      <c r="A52" s="241" t="s">
        <v>345</v>
      </c>
      <c r="B52" s="790" t="str">
        <f>IF(ISERROR(VLOOKUP(B51,審判員!$A:$C,2,FALSE))=TRUE,"",VLOOKUP(B51,審判員!$A:$C,2,FALSE))</f>
        <v/>
      </c>
      <c r="C52" s="791"/>
      <c r="D52" s="242" t="str">
        <f>IF(ISERROR(VLOOKUP(B51,審判員!$A:$C,3,FALSE))=TRUE,"",VLOOKUP(B51,審判員!$A:$C,3,FALSE))</f>
        <v/>
      </c>
      <c r="E52" s="244" t="s">
        <v>243</v>
      </c>
      <c r="F52" s="245" t="str">
        <f>IF(ISERROR(VLOOKUP(CONCATENATE($F$34,"_",G52),選手名簿!$A:$E,5,FALSE))=TRUE,"",VLOOKUP(CONCATENATE($F$34,"_",G52),選手名簿!$A:$E,5,FALSE))</f>
        <v/>
      </c>
      <c r="G52" s="246"/>
      <c r="H52" s="246"/>
      <c r="I52" s="246"/>
      <c r="J52" s="299"/>
      <c r="K52" s="246"/>
      <c r="L52" s="246"/>
      <c r="M52" s="246"/>
      <c r="N52" s="247" t="str">
        <f>IF(ISERROR(VLOOKUP(CONCATENATE($N$34,"_",M52),選手名簿!$A:$E,5,FALSE))=TRUE,"",VLOOKUP(CONCATENATE($N$34,"_",M52),選手名簿!$A:$E,5,FALSE))</f>
        <v/>
      </c>
      <c r="P52" s="241" t="s">
        <v>345</v>
      </c>
      <c r="Q52" s="790" t="str">
        <f>IF(ISERROR(VLOOKUP(Q51,審判員!$A:$C,2,FALSE))=TRUE,"",VLOOKUP(Q51,審判員!$A:$C,2,FALSE))</f>
        <v/>
      </c>
      <c r="R52" s="791"/>
      <c r="S52" s="242" t="str">
        <f>IF(ISERROR(VLOOKUP(Q51,審判員!$A:$C,3,FALSE))=TRUE,"",VLOOKUP(Q51,審判員!$A:$C,3,FALSE))</f>
        <v/>
      </c>
      <c r="T52" s="244" t="s">
        <v>243</v>
      </c>
      <c r="U52" s="245" t="str">
        <f>IF(ISERROR(VLOOKUP(CONCATENATE($U$34,"_",V52),選手名簿!$A:$E,5,FALSE))=TRUE,"",VLOOKUP(CONCATENATE($U$34,"_",V52),選手名簿!$A:$E,5,FALSE))</f>
        <v/>
      </c>
      <c r="V52" s="246"/>
      <c r="W52" s="246"/>
      <c r="X52" s="246"/>
      <c r="Y52" s="299"/>
      <c r="Z52" s="246"/>
      <c r="AA52" s="246"/>
      <c r="AB52" s="246"/>
      <c r="AC52" s="247" t="str">
        <f>IF(ISERROR(VLOOKUP(CONCATENATE($AC$34,"_",AB52),選手名簿!$A:$E,5,FALSE))=TRUE,"",VLOOKUP(CONCATENATE($AC$34,"_",AB52),選手名簿!$A:$E,5,FALSE))</f>
        <v/>
      </c>
    </row>
    <row r="53" spans="1:29" ht="26.25" customHeight="1" x14ac:dyDescent="0.15">
      <c r="A53" s="241" t="s">
        <v>342</v>
      </c>
      <c r="B53" s="789"/>
      <c r="C53" s="789"/>
      <c r="D53" s="789"/>
      <c r="E53" s="244" t="s">
        <v>243</v>
      </c>
      <c r="F53" s="245" t="str">
        <f>IF(ISERROR(VLOOKUP(CONCATENATE($F$34,"_",G53),選手名簿!$A:$E,5,FALSE))=TRUE,"",VLOOKUP(CONCATENATE($F$34,"_",G53),選手名簿!$A:$E,5,FALSE))</f>
        <v/>
      </c>
      <c r="G53" s="246"/>
      <c r="H53" s="246"/>
      <c r="I53" s="246"/>
      <c r="J53" s="299"/>
      <c r="K53" s="246"/>
      <c r="L53" s="246"/>
      <c r="M53" s="246"/>
      <c r="N53" s="247" t="str">
        <f>IF(ISERROR(VLOOKUP(CONCATENATE($N$34,"_",M53),選手名簿!$A:$E,5,FALSE))=TRUE,"",VLOOKUP(CONCATENATE($N$34,"_",M53),選手名簿!$A:$E,5,FALSE))</f>
        <v/>
      </c>
      <c r="P53" s="241" t="s">
        <v>342</v>
      </c>
      <c r="Q53" s="789"/>
      <c r="R53" s="789"/>
      <c r="S53" s="789"/>
      <c r="T53" s="244" t="s">
        <v>243</v>
      </c>
      <c r="U53" s="245" t="str">
        <f>IF(ISERROR(VLOOKUP(CONCATENATE($U$34,"_",V53),選手名簿!$A:$E,5,FALSE))=TRUE,"",VLOOKUP(CONCATENATE($U$34,"_",V53),選手名簿!$A:$E,5,FALSE))</f>
        <v/>
      </c>
      <c r="V53" s="246"/>
      <c r="W53" s="246"/>
      <c r="X53" s="246"/>
      <c r="Y53" s="299"/>
      <c r="Z53" s="246"/>
      <c r="AA53" s="246"/>
      <c r="AB53" s="246"/>
      <c r="AC53" s="247" t="str">
        <f>IF(ISERROR(VLOOKUP(CONCATENATE($AC$34,"_",AB53),選手名簿!$A:$E,5,FALSE))=TRUE,"",VLOOKUP(CONCATENATE($AC$34,"_",AB53),選手名簿!$A:$E,5,FALSE))</f>
        <v/>
      </c>
    </row>
    <row r="54" spans="1:29" ht="26.25" customHeight="1" x14ac:dyDescent="0.15">
      <c r="A54" s="241" t="s">
        <v>346</v>
      </c>
      <c r="B54" s="790" t="str">
        <f>IF(ISERROR(VLOOKUP(B53,審判員!$A:$C,2,FALSE))=TRUE,"",VLOOKUP(B53,審判員!$A:$C,2,FALSE))</f>
        <v/>
      </c>
      <c r="C54" s="791"/>
      <c r="D54" s="242" t="str">
        <f>IF(ISERROR(VLOOKUP(B53,審判員!$A:$C,3,FALSE))=TRUE,"",VLOOKUP(B53,審判員!$A:$C,3,FALSE))</f>
        <v/>
      </c>
      <c r="E54" s="244" t="s">
        <v>243</v>
      </c>
      <c r="F54" s="245" t="str">
        <f>IF(ISERROR(VLOOKUP(CONCATENATE($F$34,"_",G54),選手名簿!$A:$E,5,FALSE))=TRUE,"",VLOOKUP(CONCATENATE($F$34,"_",G54),選手名簿!$A:$E,5,FALSE))</f>
        <v/>
      </c>
      <c r="G54" s="246"/>
      <c r="H54" s="246"/>
      <c r="I54" s="246"/>
      <c r="J54" s="299"/>
      <c r="K54" s="246"/>
      <c r="L54" s="246"/>
      <c r="M54" s="246"/>
      <c r="N54" s="247" t="str">
        <f>IF(ISERROR(VLOOKUP(CONCATENATE($N$34,"_",M54),選手名簿!$A:$E,5,FALSE))=TRUE,"",VLOOKUP(CONCATENATE($N$34,"_",M54),選手名簿!$A:$E,5,FALSE))</f>
        <v/>
      </c>
      <c r="P54" s="241" t="s">
        <v>346</v>
      </c>
      <c r="Q54" s="790" t="str">
        <f>IF(ISERROR(VLOOKUP(Q53,審判員!$A:$C,2,FALSE))=TRUE,"",VLOOKUP(Q53,審判員!$A:$C,2,FALSE))</f>
        <v/>
      </c>
      <c r="R54" s="791"/>
      <c r="S54" s="242" t="str">
        <f>IF(ISERROR(VLOOKUP(Q53,審判員!$A:$C,3,FALSE))=TRUE,"",VLOOKUP(Q53,審判員!$A:$C,3,FALSE))</f>
        <v/>
      </c>
      <c r="T54" s="244" t="s">
        <v>243</v>
      </c>
      <c r="U54" s="245" t="str">
        <f>IF(ISERROR(VLOOKUP(CONCATENATE($U$34,"_",V54),選手名簿!$A:$E,5,FALSE))=TRUE,"",VLOOKUP(CONCATENATE($U$34,"_",V54),選手名簿!$A:$E,5,FALSE))</f>
        <v/>
      </c>
      <c r="V54" s="246"/>
      <c r="W54" s="246"/>
      <c r="X54" s="246"/>
      <c r="Y54" s="299"/>
      <c r="Z54" s="246"/>
      <c r="AA54" s="246"/>
      <c r="AB54" s="246"/>
      <c r="AC54" s="247" t="str">
        <f>IF(ISERROR(VLOOKUP(CONCATENATE($AC$34,"_",AB54),選手名簿!$A:$E,5,FALSE))=TRUE,"",VLOOKUP(CONCATENATE($AC$34,"_",AB54),選手名簿!$A:$E,5,FALSE))</f>
        <v/>
      </c>
    </row>
    <row r="55" spans="1:29" ht="26.25" customHeight="1" x14ac:dyDescent="0.15">
      <c r="A55" s="241" t="s">
        <v>342</v>
      </c>
      <c r="B55" s="789"/>
      <c r="C55" s="789"/>
      <c r="D55" s="789"/>
      <c r="E55" s="244" t="s">
        <v>243</v>
      </c>
      <c r="F55" s="245" t="str">
        <f>IF(ISERROR(VLOOKUP(CONCATENATE($F$34,"_",G55),選手名簿!$A:$E,5,FALSE))=TRUE,"",VLOOKUP(CONCATENATE($F$34,"_",G55),選手名簿!$A:$E,5,FALSE))</f>
        <v/>
      </c>
      <c r="G55" s="246"/>
      <c r="H55" s="246"/>
      <c r="I55" s="246"/>
      <c r="J55" s="299"/>
      <c r="K55" s="246"/>
      <c r="L55" s="246"/>
      <c r="M55" s="246"/>
      <c r="N55" s="247" t="str">
        <f>IF(ISERROR(VLOOKUP(CONCATENATE($N$34,"_",M55),選手名簿!$A:$E,5,FALSE))=TRUE,"",VLOOKUP(CONCATENATE($N$34,"_",M55),選手名簿!$A:$E,5,FALSE))</f>
        <v/>
      </c>
      <c r="P55" s="241" t="s">
        <v>342</v>
      </c>
      <c r="Q55" s="789"/>
      <c r="R55" s="789"/>
      <c r="S55" s="789"/>
      <c r="T55" s="244" t="s">
        <v>243</v>
      </c>
      <c r="U55" s="245" t="str">
        <f>IF(ISERROR(VLOOKUP(CONCATENATE($U$34,"_",V55),選手名簿!$A:$E,5,FALSE))=TRUE,"",VLOOKUP(CONCATENATE($U$34,"_",V55),選手名簿!$A:$E,5,FALSE))</f>
        <v/>
      </c>
      <c r="V55" s="246"/>
      <c r="W55" s="246"/>
      <c r="X55" s="246"/>
      <c r="Y55" s="299"/>
      <c r="Z55" s="246"/>
      <c r="AA55" s="246"/>
      <c r="AB55" s="246"/>
      <c r="AC55" s="247" t="str">
        <f>IF(ISERROR(VLOOKUP(CONCATENATE($AC$34,"_",AB55),選手名簿!$A:$E,5,FALSE))=TRUE,"",VLOOKUP(CONCATENATE($AC$34,"_",AB55),選手名簿!$A:$E,5,FALSE))</f>
        <v/>
      </c>
    </row>
    <row r="56" spans="1:29" ht="26.25" customHeight="1" x14ac:dyDescent="0.15">
      <c r="A56" s="241" t="s">
        <v>347</v>
      </c>
      <c r="B56" s="790" t="str">
        <f>IF(ISERROR(VLOOKUP(B55,審判員!$A:$C,2,FALSE))=TRUE,"",VLOOKUP(B55,審判員!$A:$C,2,FALSE))</f>
        <v/>
      </c>
      <c r="C56" s="791"/>
      <c r="D56" s="242" t="str">
        <f>IF(ISERROR(VLOOKUP(B55,審判員!$A:$C,3,FALSE))=TRUE,"",VLOOKUP(B55,審判員!$A:$C,3,FALSE))</f>
        <v/>
      </c>
      <c r="E56" s="248" t="s">
        <v>243</v>
      </c>
      <c r="F56" s="249" t="str">
        <f>IF(ISERROR(VLOOKUP(CONCATENATE($F$34,"_",G56),選手名簿!$A:$E,5,FALSE))=TRUE,"",VLOOKUP(CONCATENATE($F$34,"_",G56),選手名簿!$A:$E,5,FALSE))</f>
        <v/>
      </c>
      <c r="G56" s="250"/>
      <c r="H56" s="250"/>
      <c r="I56" s="250"/>
      <c r="J56" s="306"/>
      <c r="K56" s="250"/>
      <c r="L56" s="250"/>
      <c r="M56" s="250"/>
      <c r="N56" s="251" t="str">
        <f>IF(ISERROR(VLOOKUP(CONCATENATE($N$34,"_",M56),選手名簿!$A:$E,5,FALSE))=TRUE,"",VLOOKUP(CONCATENATE($N$34,"_",M56),選手名簿!$A:$E,5,FALSE))</f>
        <v/>
      </c>
      <c r="P56" s="241" t="s">
        <v>347</v>
      </c>
      <c r="Q56" s="790" t="str">
        <f>IF(ISERROR(VLOOKUP(Q55,審判員!$A:$C,2,FALSE))=TRUE,"",VLOOKUP(Q55,審判員!$A:$C,2,FALSE))</f>
        <v/>
      </c>
      <c r="R56" s="791"/>
      <c r="S56" s="242" t="str">
        <f>IF(ISERROR(VLOOKUP(Q55,審判員!$A:$C,3,FALSE))=TRUE,"",VLOOKUP(Q55,審判員!$A:$C,3,FALSE))</f>
        <v/>
      </c>
      <c r="T56" s="248" t="s">
        <v>243</v>
      </c>
      <c r="U56" s="249" t="str">
        <f>IF(ISERROR(VLOOKUP(CONCATENATE($U$34,"_",V56),選手名簿!$A:$E,5,FALSE))=TRUE,"",VLOOKUP(CONCATENATE($U$34,"_",V56),選手名簿!$A:$E,5,FALSE))</f>
        <v/>
      </c>
      <c r="V56" s="250"/>
      <c r="W56" s="250"/>
      <c r="X56" s="250"/>
      <c r="Y56" s="306"/>
      <c r="Z56" s="250"/>
      <c r="AA56" s="250"/>
      <c r="AB56" s="250"/>
      <c r="AC56" s="251" t="str">
        <f>IF(ISERROR(VLOOKUP(CONCATENATE($AC$34,"_",AB56),選手名簿!$A:$E,5,FALSE))=TRUE,"",VLOOKUP(CONCATENATE($AC$34,"_",AB56),選手名簿!$A:$E,5,FALSE))</f>
        <v/>
      </c>
    </row>
    <row r="57" spans="1:29" ht="9.9499999999999993" customHeight="1" x14ac:dyDescent="0.15">
      <c r="E57" s="252"/>
      <c r="T57" s="252"/>
    </row>
    <row r="58" spans="1:29" ht="9.9499999999999993" customHeight="1" x14ac:dyDescent="0.15">
      <c r="E58" s="252"/>
      <c r="T58" s="252"/>
    </row>
    <row r="59" spans="1:29" ht="9.9499999999999993" customHeight="1" x14ac:dyDescent="0.15">
      <c r="E59" s="252"/>
      <c r="T59" s="252"/>
    </row>
    <row r="60" spans="1:29" ht="9.9499999999999993" customHeight="1" x14ac:dyDescent="0.15">
      <c r="E60" s="252"/>
      <c r="T60" s="252"/>
    </row>
    <row r="61" spans="1:29" ht="27.4" customHeight="1" thickBot="1" x14ac:dyDescent="0.2">
      <c r="B61" s="214" t="s">
        <v>399</v>
      </c>
      <c r="E61" s="252"/>
      <c r="Q61" s="214" t="s">
        <v>398</v>
      </c>
      <c r="T61" s="252"/>
    </row>
    <row r="62" spans="1:29" ht="27.4" customHeight="1" x14ac:dyDescent="0.15">
      <c r="A62" s="223" t="s">
        <v>334</v>
      </c>
      <c r="B62" s="768"/>
      <c r="C62" s="769"/>
      <c r="D62" s="770"/>
      <c r="E62" s="771">
        <v>0.46527777777777773</v>
      </c>
      <c r="F62" s="865" t="e">
        <f>VLOOKUP(決勝トーナメント!C21,組合せ抽選用!$S:$U,3,FALSE)</f>
        <v>#N/A</v>
      </c>
      <c r="G62" s="777" t="str">
        <f>IF(I62="","",SUM(I62:I63))</f>
        <v/>
      </c>
      <c r="H62" s="780" t="s">
        <v>123</v>
      </c>
      <c r="I62" s="224"/>
      <c r="J62" s="224" t="s">
        <v>335</v>
      </c>
      <c r="K62" s="224"/>
      <c r="L62" s="780" t="s">
        <v>336</v>
      </c>
      <c r="M62" s="777" t="str">
        <f>IF(K62="","",SUM(K62:K63))</f>
        <v/>
      </c>
      <c r="N62" s="868" t="e">
        <f>VLOOKUP(決勝トーナメント!G21,組合せ抽選用!$S:$U,3,FALSE)</f>
        <v>#N/A</v>
      </c>
      <c r="P62" s="223" t="s">
        <v>334</v>
      </c>
      <c r="Q62" s="768"/>
      <c r="R62" s="769"/>
      <c r="S62" s="770"/>
      <c r="T62" s="771">
        <v>0.46527777777777773</v>
      </c>
      <c r="U62" s="865" t="e">
        <f>VLOOKUP(決勝トーナメント!C28,組合せ抽選用!$S:$U,3,FALSE)</f>
        <v>#N/A</v>
      </c>
      <c r="V62" s="777" t="str">
        <f>IF(X62="","",SUM(X62:X63))</f>
        <v/>
      </c>
      <c r="W62" s="780" t="s">
        <v>123</v>
      </c>
      <c r="X62" s="224"/>
      <c r="Y62" s="224" t="s">
        <v>335</v>
      </c>
      <c r="Z62" s="224"/>
      <c r="AA62" s="780" t="s">
        <v>336</v>
      </c>
      <c r="AB62" s="777" t="str">
        <f>IF(Z62="","",SUM(Z62:Z63))</f>
        <v/>
      </c>
      <c r="AC62" s="868" t="e">
        <f>VLOOKUP(決勝トーナメント!G28,組合せ抽選用!$S:$U,3,FALSE)</f>
        <v>#N/A</v>
      </c>
    </row>
    <row r="63" spans="1:29" ht="27.4" customHeight="1" x14ac:dyDescent="0.15">
      <c r="A63" s="225" t="s">
        <v>337</v>
      </c>
      <c r="B63" s="786"/>
      <c r="C63" s="786"/>
      <c r="D63" s="768"/>
      <c r="E63" s="772"/>
      <c r="F63" s="866"/>
      <c r="G63" s="778"/>
      <c r="H63" s="781"/>
      <c r="J63" s="214" t="s">
        <v>338</v>
      </c>
      <c r="L63" s="781"/>
      <c r="M63" s="778"/>
      <c r="N63" s="869"/>
      <c r="P63" s="225" t="s">
        <v>337</v>
      </c>
      <c r="Q63" s="786" t="s">
        <v>313</v>
      </c>
      <c r="R63" s="786"/>
      <c r="S63" s="768"/>
      <c r="T63" s="772"/>
      <c r="U63" s="866"/>
      <c r="V63" s="778"/>
      <c r="W63" s="781"/>
      <c r="Y63" s="214" t="s">
        <v>338</v>
      </c>
      <c r="AA63" s="781"/>
      <c r="AB63" s="778"/>
      <c r="AC63" s="869"/>
    </row>
    <row r="64" spans="1:29" ht="27.4" customHeight="1" thickBot="1" x14ac:dyDescent="0.2">
      <c r="A64" s="225" t="s">
        <v>339</v>
      </c>
      <c r="B64" s="786"/>
      <c r="C64" s="786"/>
      <c r="D64" s="768"/>
      <c r="E64" s="773"/>
      <c r="F64" s="867"/>
      <c r="G64" s="779"/>
      <c r="H64" s="782"/>
      <c r="I64" s="226"/>
      <c r="J64" s="226" t="s">
        <v>340</v>
      </c>
      <c r="K64" s="226"/>
      <c r="L64" s="782"/>
      <c r="M64" s="779"/>
      <c r="N64" s="870"/>
      <c r="P64" s="225" t="s">
        <v>339</v>
      </c>
      <c r="Q64" s="786"/>
      <c r="R64" s="786"/>
      <c r="S64" s="768"/>
      <c r="T64" s="773"/>
      <c r="U64" s="867"/>
      <c r="V64" s="779"/>
      <c r="W64" s="782"/>
      <c r="X64" s="226"/>
      <c r="Y64" s="226" t="s">
        <v>340</v>
      </c>
      <c r="Z64" s="226"/>
      <c r="AA64" s="782"/>
      <c r="AB64" s="779"/>
      <c r="AC64" s="870"/>
    </row>
    <row r="65" spans="1:29" ht="26.25" hidden="1" customHeight="1" x14ac:dyDescent="0.15">
      <c r="E65" s="227"/>
      <c r="F65" s="228" t="s">
        <v>242</v>
      </c>
      <c r="G65" s="228" t="s">
        <v>342</v>
      </c>
      <c r="H65" s="228" t="s">
        <v>317</v>
      </c>
      <c r="I65" s="228"/>
      <c r="J65" s="297"/>
      <c r="K65" s="228"/>
      <c r="L65" s="228" t="s">
        <v>317</v>
      </c>
      <c r="M65" s="228" t="s">
        <v>342</v>
      </c>
      <c r="N65" s="230" t="s">
        <v>242</v>
      </c>
      <c r="T65" s="227"/>
      <c r="U65" s="228" t="s">
        <v>242</v>
      </c>
      <c r="V65" s="228" t="s">
        <v>342</v>
      </c>
      <c r="W65" s="228" t="s">
        <v>317</v>
      </c>
      <c r="X65" s="228"/>
      <c r="Y65" s="297"/>
      <c r="Z65" s="228"/>
      <c r="AA65" s="228" t="s">
        <v>317</v>
      </c>
      <c r="AB65" s="228" t="s">
        <v>342</v>
      </c>
      <c r="AC65" s="230" t="s">
        <v>242</v>
      </c>
    </row>
    <row r="66" spans="1:29" ht="26.25" hidden="1" customHeight="1" x14ac:dyDescent="0.15">
      <c r="E66" s="244" t="s">
        <v>343</v>
      </c>
      <c r="F66" s="298" t="str">
        <f>IF(ISERROR(VLOOKUP(CONCATENATE($F$62,"_",G66),選手名簿!$A:$E,5,FALSE))=TRUE,"",VLOOKUP(CONCATENATE($F$62,"_",G66),選手名簿!$A:$E,5,FALSE))</f>
        <v/>
      </c>
      <c r="G66" s="246"/>
      <c r="H66" s="246"/>
      <c r="I66" s="246"/>
      <c r="J66" s="299"/>
      <c r="K66" s="246"/>
      <c r="L66" s="246"/>
      <c r="M66" s="246"/>
      <c r="N66" s="300" t="str">
        <f>IF(ISERROR(VLOOKUP(CONCATENATE($N$62,"_",M66),選手名簿!$A:$E,5,FALSE))=TRUE,"",VLOOKUP(CONCATENATE($N$62,"_",M66),選手名簿!$A:$E,5,FALSE))</f>
        <v/>
      </c>
      <c r="T66" s="244" t="s">
        <v>343</v>
      </c>
      <c r="U66" s="298" t="str">
        <f>IF(ISERROR(VLOOKUP(CONCATENATE($U$62,"_",V66),選手名簿!$A:$E,5,FALSE))=TRUE,"",VLOOKUP(CONCATENATE($U$62,"_",V66),選手名簿!$A:$E,5,FALSE))</f>
        <v/>
      </c>
      <c r="V66" s="246"/>
      <c r="W66" s="246"/>
      <c r="X66" s="246"/>
      <c r="Y66" s="299"/>
      <c r="Z66" s="246"/>
      <c r="AA66" s="246"/>
      <c r="AB66" s="246"/>
      <c r="AC66" s="300" t="str">
        <f>IF(ISERROR(VLOOKUP(CONCATENATE($AC$62,"_",AB66),選手名簿!$A:$E,5,FALSE))=TRUE,"",VLOOKUP(CONCATENATE($AC$62,"_",AB66),選手名簿!$A:$E,5,FALSE))</f>
        <v/>
      </c>
    </row>
    <row r="67" spans="1:29" ht="26.25" hidden="1" customHeight="1" x14ac:dyDescent="0.15">
      <c r="E67" s="244" t="s">
        <v>343</v>
      </c>
      <c r="F67" s="232" t="str">
        <f>IF(ISERROR(VLOOKUP(CONCATENATE($F$62,"_",G67),選手名簿!$A:$E,5,FALSE))=TRUE,"",VLOOKUP(CONCATENATE($F$62,"_",G67),選手名簿!$A:$E,5,FALSE))</f>
        <v/>
      </c>
      <c r="G67" s="246"/>
      <c r="H67" s="246"/>
      <c r="I67" s="246"/>
      <c r="J67" s="299"/>
      <c r="K67" s="246"/>
      <c r="L67" s="246"/>
      <c r="M67" s="246"/>
      <c r="N67" s="300" t="str">
        <f>IF(ISERROR(VLOOKUP(CONCATENATE($N$62,"_",M67),選手名簿!$A:$E,5,FALSE))=TRUE,"",VLOOKUP(CONCATENATE($N$62,"_",M67),選手名簿!$A:$E,5,FALSE))</f>
        <v/>
      </c>
      <c r="T67" s="244" t="s">
        <v>343</v>
      </c>
      <c r="U67" s="232" t="str">
        <f>IF(ISERROR(VLOOKUP(CONCATENATE($U$62,"_",V67),選手名簿!$A:$E,5,FALSE))=TRUE,"",VLOOKUP(CONCATENATE($U$62,"_",V67),選手名簿!$A:$E,5,FALSE))</f>
        <v/>
      </c>
      <c r="V67" s="246"/>
      <c r="W67" s="246"/>
      <c r="X67" s="246"/>
      <c r="Y67" s="299"/>
      <c r="Z67" s="246"/>
      <c r="AA67" s="246"/>
      <c r="AB67" s="246"/>
      <c r="AC67" s="300" t="str">
        <f>IF(ISERROR(VLOOKUP(CONCATENATE($AC$62,"_",AB67),選手名簿!$A:$E,5,FALSE))=TRUE,"",VLOOKUP(CONCATENATE($AC$62,"_",AB67),選手名簿!$A:$E,5,FALSE))</f>
        <v/>
      </c>
    </row>
    <row r="68" spans="1:29" ht="26.25" hidden="1" customHeight="1" x14ac:dyDescent="0.15">
      <c r="E68" s="244" t="s">
        <v>343</v>
      </c>
      <c r="F68" s="298" t="str">
        <f>IF(ISERROR(VLOOKUP(CONCATENATE($F$62,"_",G68),選手名簿!$A:$E,5,FALSE))=TRUE,"",VLOOKUP(CONCATENATE($F$62,"_",G68),選手名簿!$A:$E,5,FALSE))</f>
        <v/>
      </c>
      <c r="G68" s="246"/>
      <c r="H68" s="246"/>
      <c r="I68" s="246"/>
      <c r="J68" s="299"/>
      <c r="K68" s="246"/>
      <c r="L68" s="246"/>
      <c r="M68" s="246"/>
      <c r="N68" s="300" t="str">
        <f>IF(ISERROR(VLOOKUP(CONCATENATE($N$62,"_",M68),選手名簿!$A:$E,5,FALSE))=TRUE,"",VLOOKUP(CONCATENATE($N$62,"_",M68),選手名簿!$A:$E,5,FALSE))</f>
        <v/>
      </c>
      <c r="T68" s="244" t="s">
        <v>343</v>
      </c>
      <c r="U68" s="298" t="str">
        <f>IF(ISERROR(VLOOKUP(CONCATENATE($U$62,"_",V68),選手名簿!$A:$E,5,FALSE))=TRUE,"",VLOOKUP(CONCATENATE($U$62,"_",V68),選手名簿!$A:$E,5,FALSE))</f>
        <v/>
      </c>
      <c r="V68" s="246"/>
      <c r="W68" s="246"/>
      <c r="X68" s="246"/>
      <c r="Y68" s="299"/>
      <c r="Z68" s="246"/>
      <c r="AA68" s="246"/>
      <c r="AB68" s="246"/>
      <c r="AC68" s="300" t="str">
        <f>IF(ISERROR(VLOOKUP(CONCATENATE($AC$62,"_",AB68),選手名簿!$A:$E,5,FALSE))=TRUE,"",VLOOKUP(CONCATENATE($AC$62,"_",AB68),選手名簿!$A:$E,5,FALSE))</f>
        <v/>
      </c>
    </row>
    <row r="69" spans="1:29" ht="26.25" hidden="1" customHeight="1" x14ac:dyDescent="0.15">
      <c r="E69" s="244" t="s">
        <v>343</v>
      </c>
      <c r="F69" s="232" t="str">
        <f>IF(ISERROR(VLOOKUP(CONCATENATE($F$62,"_",G69),選手名簿!$A:$E,5,FALSE))=TRUE,"",VLOOKUP(CONCATENATE($F$62,"_",G69),選手名簿!$A:$E,5,FALSE))</f>
        <v/>
      </c>
      <c r="G69" s="246"/>
      <c r="H69" s="246"/>
      <c r="I69" s="246"/>
      <c r="J69" s="299"/>
      <c r="K69" s="246"/>
      <c r="L69" s="246"/>
      <c r="M69" s="246"/>
      <c r="N69" s="300" t="str">
        <f>IF(ISERROR(VLOOKUP(CONCATENATE($N$62,"_",M69),選手名簿!$A:$E,5,FALSE))=TRUE,"",VLOOKUP(CONCATENATE($N$62,"_",M69),選手名簿!$A:$E,5,FALSE))</f>
        <v/>
      </c>
      <c r="T69" s="244" t="s">
        <v>343</v>
      </c>
      <c r="U69" s="232" t="str">
        <f>IF(ISERROR(VLOOKUP(CONCATENATE($U$62,"_",V69),選手名簿!$A:$E,5,FALSE))=TRUE,"",VLOOKUP(CONCATENATE($U$62,"_",V69),選手名簿!$A:$E,5,FALSE))</f>
        <v/>
      </c>
      <c r="V69" s="246"/>
      <c r="W69" s="246"/>
      <c r="X69" s="246"/>
      <c r="Y69" s="299"/>
      <c r="Z69" s="246"/>
      <c r="AA69" s="246"/>
      <c r="AB69" s="246"/>
      <c r="AC69" s="300" t="str">
        <f>IF(ISERROR(VLOOKUP(CONCATENATE($AC$62,"_",AB69),選手名簿!$A:$E,5,FALSE))=TRUE,"",VLOOKUP(CONCATENATE($AC$62,"_",AB69),選手名簿!$A:$E,5,FALSE))</f>
        <v/>
      </c>
    </row>
    <row r="70" spans="1:29" ht="26.25" hidden="1" customHeight="1" x14ac:dyDescent="0.15">
      <c r="E70" s="244" t="s">
        <v>343</v>
      </c>
      <c r="F70" s="245" t="str">
        <f>IF(ISERROR(VLOOKUP(CONCATENATE($F$62,"_",G70),選手名簿!$A:$E,5,FALSE))=TRUE,"",VLOOKUP(CONCATENATE($F$62,"_",G70),選手名簿!$A:$E,5,FALSE))</f>
        <v/>
      </c>
      <c r="G70" s="246"/>
      <c r="H70" s="246"/>
      <c r="I70" s="246"/>
      <c r="J70" s="299"/>
      <c r="K70" s="246"/>
      <c r="L70" s="246"/>
      <c r="M70" s="246"/>
      <c r="N70" s="300" t="str">
        <f>IF(ISERROR(VLOOKUP(CONCATENATE($N$62,"_",M70),選手名簿!$A:$E,5,FALSE))=TRUE,"",VLOOKUP(CONCATENATE($N$62,"_",M70),選手名簿!$A:$E,5,FALSE))</f>
        <v/>
      </c>
      <c r="T70" s="244" t="s">
        <v>343</v>
      </c>
      <c r="U70" s="245" t="str">
        <f>IF(ISERROR(VLOOKUP(CONCATENATE($U$62,"_",V70),選手名簿!$A:$E,5,FALSE))=TRUE,"",VLOOKUP(CONCATENATE($U$62,"_",V70),選手名簿!$A:$E,5,FALSE))</f>
        <v/>
      </c>
      <c r="V70" s="246"/>
      <c r="W70" s="246"/>
      <c r="X70" s="246"/>
      <c r="Y70" s="299"/>
      <c r="Z70" s="246"/>
      <c r="AA70" s="246"/>
      <c r="AB70" s="246"/>
      <c r="AC70" s="300" t="str">
        <f>IF(ISERROR(VLOOKUP(CONCATENATE($AC$62,"_",AB70),選手名簿!$A:$E,5,FALSE))=TRUE,"",VLOOKUP(CONCATENATE($AC$62,"_",AB70),選手名簿!$A:$E,5,FALSE))</f>
        <v/>
      </c>
    </row>
    <row r="71" spans="1:29" ht="26.25" hidden="1" customHeight="1" x14ac:dyDescent="0.15">
      <c r="E71" s="244" t="s">
        <v>343</v>
      </c>
      <c r="F71" s="245" t="str">
        <f>IF(ISERROR(VLOOKUP(CONCATENATE($F$62,"_",G71),選手名簿!$A:$E,5,FALSE))=TRUE,"",VLOOKUP(CONCATENATE($F$62,"_",G71),選手名簿!$A:$E,5,FALSE))</f>
        <v/>
      </c>
      <c r="G71" s="246"/>
      <c r="H71" s="246"/>
      <c r="I71" s="246"/>
      <c r="J71" s="299"/>
      <c r="K71" s="246"/>
      <c r="L71" s="246"/>
      <c r="M71" s="246"/>
      <c r="N71" s="300" t="str">
        <f>IF(ISERROR(VLOOKUP(CONCATENATE($N$62,"_",M71),選手名簿!$A:$E,5,FALSE))=TRUE,"",VLOOKUP(CONCATENATE($N$62,"_",M71),選手名簿!$A:$E,5,FALSE))</f>
        <v/>
      </c>
      <c r="T71" s="244" t="s">
        <v>343</v>
      </c>
      <c r="U71" s="245" t="str">
        <f>IF(ISERROR(VLOOKUP(CONCATENATE($U$62,"_",V71),選手名簿!$A:$E,5,FALSE))=TRUE,"",VLOOKUP(CONCATENATE($U$62,"_",V71),選手名簿!$A:$E,5,FALSE))</f>
        <v/>
      </c>
      <c r="V71" s="246"/>
      <c r="W71" s="246"/>
      <c r="X71" s="246"/>
      <c r="Y71" s="299"/>
      <c r="Z71" s="246"/>
      <c r="AA71" s="246"/>
      <c r="AB71" s="246"/>
      <c r="AC71" s="300" t="str">
        <f>IF(ISERROR(VLOOKUP(CONCATENATE($AC$62,"_",AB71),選手名簿!$A:$E,5,FALSE))=TRUE,"",VLOOKUP(CONCATENATE($AC$62,"_",AB71),選手名簿!$A:$E,5,FALSE))</f>
        <v/>
      </c>
    </row>
    <row r="72" spans="1:29" ht="26.25" hidden="1" customHeight="1" x14ac:dyDescent="0.15">
      <c r="E72" s="244" t="s">
        <v>343</v>
      </c>
      <c r="F72" s="245" t="str">
        <f>IF(ISERROR(VLOOKUP(CONCATENATE($F$62,"_",G72),選手名簿!$A:$E,5,FALSE))=TRUE,"",VLOOKUP(CONCATENATE($F$62,"_",G72),選手名簿!$A:$E,5,FALSE))</f>
        <v/>
      </c>
      <c r="G72" s="246"/>
      <c r="H72" s="246"/>
      <c r="I72" s="246"/>
      <c r="J72" s="299"/>
      <c r="K72" s="246"/>
      <c r="L72" s="246"/>
      <c r="M72" s="246"/>
      <c r="N72" s="235" t="str">
        <f>IF(ISERROR(VLOOKUP(CONCATENATE($N$62,"_",M72),選手名簿!$A:$E,5,FALSE))=TRUE,"",VLOOKUP(CONCATENATE($N$62,"_",M72),選手名簿!$A:$E,5,FALSE))</f>
        <v/>
      </c>
      <c r="T72" s="244" t="s">
        <v>343</v>
      </c>
      <c r="U72" s="245" t="str">
        <f>IF(ISERROR(VLOOKUP(CONCATENATE($U$62,"_",V72),選手名簿!$A:$E,5,FALSE))=TRUE,"",VLOOKUP(CONCATENATE($U$62,"_",V72),選手名簿!$A:$E,5,FALSE))</f>
        <v/>
      </c>
      <c r="V72" s="246"/>
      <c r="W72" s="246"/>
      <c r="X72" s="246"/>
      <c r="Y72" s="299"/>
      <c r="Z72" s="246"/>
      <c r="AA72" s="246"/>
      <c r="AB72" s="246"/>
      <c r="AC72" s="235" t="str">
        <f>IF(ISERROR(VLOOKUP(CONCATENATE($AC$62,"_",AB72),選手名簿!$A:$E,5,FALSE))=TRUE,"",VLOOKUP(CONCATENATE($AC$62,"_",AB72),選手名簿!$A:$E,5,FALSE))</f>
        <v/>
      </c>
    </row>
    <row r="73" spans="1:29" ht="26.25" hidden="1" customHeight="1" x14ac:dyDescent="0.15">
      <c r="E73" s="244" t="s">
        <v>343</v>
      </c>
      <c r="F73" s="245" t="str">
        <f>IF(ISERROR(VLOOKUP(CONCATENATE($F$62,"_",G73),選手名簿!$A:$E,5,FALSE))=TRUE,"",VLOOKUP(CONCATENATE($F$62,"_",G73),選手名簿!$A:$E,5,FALSE))</f>
        <v/>
      </c>
      <c r="G73" s="246"/>
      <c r="H73" s="246"/>
      <c r="I73" s="246"/>
      <c r="J73" s="299"/>
      <c r="K73" s="246"/>
      <c r="L73" s="246"/>
      <c r="M73" s="246"/>
      <c r="N73" s="247" t="str">
        <f>IF(ISERROR(VLOOKUP(CONCATENATE($N$62,"_",M73),選手名簿!$A:$E,5,FALSE))=TRUE,"",VLOOKUP(CONCATENATE($N$62,"_",M73),選手名簿!$A:$E,5,FALSE))</f>
        <v/>
      </c>
      <c r="T73" s="244" t="s">
        <v>343</v>
      </c>
      <c r="U73" s="245" t="str">
        <f>IF(ISERROR(VLOOKUP(CONCATENATE($U$62,"_",V73),選手名簿!$A:$E,5,FALSE))=TRUE,"",VLOOKUP(CONCATENATE($U$62,"_",V73),選手名簿!$A:$E,5,FALSE))</f>
        <v/>
      </c>
      <c r="V73" s="246"/>
      <c r="W73" s="246"/>
      <c r="X73" s="246"/>
      <c r="Y73" s="299"/>
      <c r="Z73" s="246"/>
      <c r="AA73" s="246"/>
      <c r="AB73" s="246"/>
      <c r="AC73" s="247" t="str">
        <f>IF(ISERROR(VLOOKUP(CONCATENATE($AC$62,"_",AB73),選手名簿!$A:$E,5,FALSE))=TRUE,"",VLOOKUP(CONCATENATE($AC$62,"_",AB73),選手名簿!$A:$E,5,FALSE))</f>
        <v/>
      </c>
    </row>
    <row r="74" spans="1:29" ht="26.25" hidden="1" customHeight="1" x14ac:dyDescent="0.15">
      <c r="E74" s="244" t="s">
        <v>343</v>
      </c>
      <c r="F74" s="245" t="str">
        <f>IF(ISERROR(VLOOKUP(CONCATENATE($F$62,"_",G74),選手名簿!$A:$E,5,FALSE))=TRUE,"",VLOOKUP(CONCATENATE($F$62,"_",G74),選手名簿!$A:$E,5,FALSE))</f>
        <v/>
      </c>
      <c r="G74" s="246"/>
      <c r="H74" s="246"/>
      <c r="I74" s="246"/>
      <c r="J74" s="299"/>
      <c r="K74" s="246"/>
      <c r="L74" s="246"/>
      <c r="M74" s="246"/>
      <c r="N74" s="247" t="str">
        <f>IF(ISERROR(VLOOKUP(CONCATENATE($N$62,"_",M74),選手名簿!$A:$E,5,FALSE))=TRUE,"",VLOOKUP(CONCATENATE($N$62,"_",M74),選手名簿!$A:$E,5,FALSE))</f>
        <v/>
      </c>
      <c r="T74" s="244" t="s">
        <v>343</v>
      </c>
      <c r="U74" s="245" t="str">
        <f>IF(ISERROR(VLOOKUP(CONCATENATE($U$62,"_",V74),選手名簿!$A:$E,5,FALSE))=TRUE,"",VLOOKUP(CONCATENATE($U$62,"_",V74),選手名簿!$A:$E,5,FALSE))</f>
        <v/>
      </c>
      <c r="V74" s="246"/>
      <c r="W74" s="246"/>
      <c r="X74" s="246"/>
      <c r="Y74" s="299"/>
      <c r="Z74" s="246"/>
      <c r="AA74" s="246"/>
      <c r="AB74" s="246"/>
      <c r="AC74" s="247" t="str">
        <f>IF(ISERROR(VLOOKUP(CONCATENATE($AC$62,"_",AB74),選手名簿!$A:$E,5,FALSE))=TRUE,"",VLOOKUP(CONCATENATE($AC$62,"_",AB74),選手名簿!$A:$E,5,FALSE))</f>
        <v/>
      </c>
    </row>
    <row r="75" spans="1:29" ht="26.25" hidden="1" customHeight="1" x14ac:dyDescent="0.15">
      <c r="E75" s="244" t="s">
        <v>343</v>
      </c>
      <c r="F75" s="245" t="str">
        <f>IF(ISERROR(VLOOKUP(CONCATENATE($F$62,"_",G75),選手名簿!$A:$E,5,FALSE))=TRUE,"",VLOOKUP(CONCATENATE($F$62,"_",G75),選手名簿!$A:$E,5,FALSE))</f>
        <v/>
      </c>
      <c r="G75" s="246"/>
      <c r="H75" s="246"/>
      <c r="I75" s="246"/>
      <c r="J75" s="299"/>
      <c r="K75" s="246"/>
      <c r="L75" s="246"/>
      <c r="M75" s="246"/>
      <c r="N75" s="247" t="str">
        <f>IF(ISERROR(VLOOKUP(CONCATENATE($N$62,"_",M75),選手名簿!$A:$E,5,FALSE))=TRUE,"",VLOOKUP(CONCATENATE($N$62,"_",M75),選手名簿!$A:$E,5,FALSE))</f>
        <v/>
      </c>
      <c r="T75" s="244" t="s">
        <v>343</v>
      </c>
      <c r="U75" s="245" t="str">
        <f>IF(ISERROR(VLOOKUP(CONCATENATE($U$62,"_",V75),選手名簿!$A:$E,5,FALSE))=TRUE,"",VLOOKUP(CONCATENATE($U$62,"_",V75),選手名簿!$A:$E,5,FALSE))</f>
        <v/>
      </c>
      <c r="V75" s="246"/>
      <c r="W75" s="246"/>
      <c r="X75" s="246"/>
      <c r="Y75" s="299"/>
      <c r="Z75" s="246"/>
      <c r="AA75" s="246"/>
      <c r="AB75" s="246"/>
      <c r="AC75" s="247" t="str">
        <f>IF(ISERROR(VLOOKUP(CONCATENATE($AC$62,"_",AB75),選手名簿!$A:$E,5,FALSE))=TRUE,"",VLOOKUP(CONCATENATE($AC$62,"_",AB75),選手名簿!$A:$E,5,FALSE))</f>
        <v/>
      </c>
    </row>
    <row r="76" spans="1:29" ht="26.25" hidden="1" customHeight="1" x14ac:dyDescent="0.15">
      <c r="E76" s="244" t="s">
        <v>343</v>
      </c>
      <c r="F76" s="245" t="str">
        <f>IF(ISERROR(VLOOKUP(CONCATENATE($F$62,"_",G76),選手名簿!$A:$E,5,FALSE))=TRUE,"",VLOOKUP(CONCATENATE($F$62,"_",G76),選手名簿!$A:$E,5,FALSE))</f>
        <v/>
      </c>
      <c r="G76" s="246"/>
      <c r="H76" s="246"/>
      <c r="I76" s="246"/>
      <c r="J76" s="299"/>
      <c r="K76" s="246"/>
      <c r="L76" s="246"/>
      <c r="M76" s="246"/>
      <c r="N76" s="247" t="str">
        <f>IF(ISERROR(VLOOKUP(CONCATENATE($N$62,"_",M76),選手名簿!$A:$E,5,FALSE))=TRUE,"",VLOOKUP(CONCATENATE($N$62,"_",M76),選手名簿!$A:$E,5,FALSE))</f>
        <v/>
      </c>
      <c r="T76" s="244" t="s">
        <v>343</v>
      </c>
      <c r="U76" s="245" t="str">
        <f>IF(ISERROR(VLOOKUP(CONCATENATE($U$62,"_",V76),選手名簿!$A:$E,5,FALSE))=TRUE,"",VLOOKUP(CONCATENATE($U$62,"_",V76),選手名簿!$A:$E,5,FALSE))</f>
        <v/>
      </c>
      <c r="V76" s="246"/>
      <c r="W76" s="246"/>
      <c r="X76" s="246"/>
      <c r="Y76" s="299"/>
      <c r="Z76" s="246"/>
      <c r="AA76" s="246"/>
      <c r="AB76" s="246"/>
      <c r="AC76" s="247" t="str">
        <f>IF(ISERROR(VLOOKUP(CONCATENATE($AC$62,"_",AB76),選手名簿!$A:$E,5,FALSE))=TRUE,"",VLOOKUP(CONCATENATE($AC$62,"_",AB76),選手名簿!$A:$E,5,FALSE))</f>
        <v/>
      </c>
    </row>
    <row r="77" spans="1:29" ht="26.25" hidden="1" customHeight="1" x14ac:dyDescent="0.15">
      <c r="E77" s="301" t="s">
        <v>343</v>
      </c>
      <c r="F77" s="302" t="str">
        <f>IF(ISERROR(VLOOKUP(CONCATENATE($F$62,"_",G77),選手名簿!$A:$E,5,FALSE))=TRUE,"",VLOOKUP(CONCATENATE($F$62,"_",G77),選手名簿!$A:$E,5,FALSE))</f>
        <v/>
      </c>
      <c r="G77" s="303"/>
      <c r="H77" s="303"/>
      <c r="I77" s="303"/>
      <c r="J77" s="304"/>
      <c r="K77" s="303"/>
      <c r="L77" s="303"/>
      <c r="M77" s="303"/>
      <c r="N77" s="305" t="str">
        <f>IF(ISERROR(VLOOKUP(CONCATENATE($N$62,"_",M77),選手名簿!$A:$E,5,FALSE))=TRUE,"",VLOOKUP(CONCATENATE($N$62,"_",M77),選手名簿!$A:$E,5,FALSE))</f>
        <v/>
      </c>
      <c r="T77" s="301" t="s">
        <v>343</v>
      </c>
      <c r="U77" s="302" t="str">
        <f>IF(ISERROR(VLOOKUP(CONCATENATE($U$62,"_",V77),選手名簿!$A:$E,5,FALSE))=TRUE,"",VLOOKUP(CONCATENATE($U$62,"_",V77),選手名簿!$A:$E,5,FALSE))</f>
        <v/>
      </c>
      <c r="V77" s="303"/>
      <c r="W77" s="303"/>
      <c r="X77" s="303"/>
      <c r="Y77" s="304"/>
      <c r="Z77" s="303"/>
      <c r="AA77" s="303"/>
      <c r="AB77" s="303"/>
      <c r="AC77" s="305" t="str">
        <f>IF(ISERROR(VLOOKUP(CONCATENATE($AC$62,"_",AB77),選手名簿!$A:$E,5,FALSE))=TRUE,"",VLOOKUP(CONCATENATE($AC$62,"_",AB77),選手名簿!$A:$E,5,FALSE))</f>
        <v/>
      </c>
    </row>
    <row r="78" spans="1:29" ht="26.25" customHeight="1" thickTop="1" x14ac:dyDescent="0.15">
      <c r="A78" s="787" t="s">
        <v>341</v>
      </c>
      <c r="B78" s="787"/>
      <c r="C78" s="787"/>
      <c r="D78" s="788"/>
      <c r="E78" s="227"/>
      <c r="F78" s="228" t="s">
        <v>242</v>
      </c>
      <c r="G78" s="228" t="s">
        <v>342</v>
      </c>
      <c r="H78" s="228" t="s">
        <v>317</v>
      </c>
      <c r="I78" s="228"/>
      <c r="J78" s="297"/>
      <c r="K78" s="228"/>
      <c r="L78" s="228" t="s">
        <v>317</v>
      </c>
      <c r="M78" s="228" t="s">
        <v>342</v>
      </c>
      <c r="N78" s="230" t="s">
        <v>242</v>
      </c>
      <c r="P78" s="787" t="s">
        <v>341</v>
      </c>
      <c r="Q78" s="787"/>
      <c r="R78" s="787"/>
      <c r="S78" s="788"/>
      <c r="T78" s="227"/>
      <c r="U78" s="228" t="s">
        <v>242</v>
      </c>
      <c r="V78" s="228" t="s">
        <v>342</v>
      </c>
      <c r="W78" s="228" t="s">
        <v>317</v>
      </c>
      <c r="X78" s="228"/>
      <c r="Y78" s="297"/>
      <c r="Z78" s="228"/>
      <c r="AA78" s="228" t="s">
        <v>317</v>
      </c>
      <c r="AB78" s="228" t="s">
        <v>342</v>
      </c>
      <c r="AC78" s="230" t="s">
        <v>242</v>
      </c>
    </row>
    <row r="79" spans="1:29" ht="26.25" customHeight="1" x14ac:dyDescent="0.15">
      <c r="A79" s="241" t="s">
        <v>342</v>
      </c>
      <c r="B79" s="789"/>
      <c r="C79" s="789"/>
      <c r="D79" s="789"/>
      <c r="E79" s="244" t="s">
        <v>243</v>
      </c>
      <c r="F79" s="245" t="str">
        <f>IF(ISERROR(VLOOKUP(CONCATENATE($F$62,"_",G79),選手名簿!$A:$E,5,FALSE))=TRUE,"",VLOOKUP(CONCATENATE($F$62,"_",G79),選手名簿!$A:$E,5,FALSE))</f>
        <v/>
      </c>
      <c r="G79" s="246"/>
      <c r="H79" s="246"/>
      <c r="I79" s="246"/>
      <c r="J79" s="299"/>
      <c r="K79" s="246"/>
      <c r="L79" s="246"/>
      <c r="M79" s="246"/>
      <c r="N79" s="247" t="str">
        <f>IF(ISERROR(VLOOKUP(CONCATENATE($N$62,"_",M79),選手名簿!$A:$E,5,FALSE))=TRUE,"",VLOOKUP(CONCATENATE($N$62,"_",M79),選手名簿!$A:$E,5,FALSE))</f>
        <v/>
      </c>
      <c r="P79" s="241" t="s">
        <v>342</v>
      </c>
      <c r="Q79" s="789"/>
      <c r="R79" s="789"/>
      <c r="S79" s="789"/>
      <c r="T79" s="244" t="s">
        <v>243</v>
      </c>
      <c r="U79" s="245" t="str">
        <f>IF(ISERROR(VLOOKUP(CONCATENATE($U$62,"_",V79),選手名簿!$A:$E,5,FALSE))=TRUE,"",VLOOKUP(CONCATENATE($U$62,"_",V79),選手名簿!$A:$E,5,FALSE))</f>
        <v/>
      </c>
      <c r="V79" s="246"/>
      <c r="W79" s="246"/>
      <c r="X79" s="246"/>
      <c r="Y79" s="299"/>
      <c r="Z79" s="246"/>
      <c r="AA79" s="246"/>
      <c r="AB79" s="246"/>
      <c r="AC79" s="247" t="str">
        <f>IF(ISERROR(VLOOKUP(CONCATENATE($AC$62,"_",AB79),選手名簿!$A:$E,5,FALSE))=TRUE,"",VLOOKUP(CONCATENATE($AC$62,"_",AB79),選手名簿!$A:$E,5,FALSE))</f>
        <v/>
      </c>
    </row>
    <row r="80" spans="1:29" ht="26.25" customHeight="1" x14ac:dyDescent="0.15">
      <c r="A80" s="241" t="s">
        <v>344</v>
      </c>
      <c r="B80" s="790" t="str">
        <f>IF(ISERROR(VLOOKUP(B79,審判員!$A:$C,2,FALSE))=TRUE,"",VLOOKUP(B79,審判員!$A:$C,2,FALSE))</f>
        <v/>
      </c>
      <c r="C80" s="791"/>
      <c r="D80" s="242" t="str">
        <f>IF(ISERROR(VLOOKUP(B79,審判員!$A:$C,3,FALSE))=TRUE,"",VLOOKUP(B79,審判員!$A:$C,3,FALSE))</f>
        <v/>
      </c>
      <c r="E80" s="244" t="s">
        <v>243</v>
      </c>
      <c r="F80" s="245" t="str">
        <f>IF(ISERROR(VLOOKUP(CONCATENATE($F$62,"_",G80),選手名簿!$A:$E,5,FALSE))=TRUE,"",VLOOKUP(CONCATENATE($F$62,"_",G80),選手名簿!$A:$E,5,FALSE))</f>
        <v/>
      </c>
      <c r="G80" s="246"/>
      <c r="H80" s="246"/>
      <c r="I80" s="246"/>
      <c r="J80" s="299"/>
      <c r="K80" s="246"/>
      <c r="L80" s="246"/>
      <c r="M80" s="246"/>
      <c r="N80" s="247" t="str">
        <f>IF(ISERROR(VLOOKUP(CONCATENATE($N$62,"_",M80),選手名簿!$A:$E,5,FALSE))=TRUE,"",VLOOKUP(CONCATENATE($N$62,"_",M80),選手名簿!$A:$E,5,FALSE))</f>
        <v/>
      </c>
      <c r="P80" s="241" t="s">
        <v>344</v>
      </c>
      <c r="Q80" s="790" t="str">
        <f>IF(ISERROR(VLOOKUP(Q79,審判員!$A:$C,2,FALSE))=TRUE,"",VLOOKUP(Q79,審判員!$A:$C,2,FALSE))</f>
        <v/>
      </c>
      <c r="R80" s="791"/>
      <c r="S80" s="242" t="str">
        <f>IF(ISERROR(VLOOKUP(Q79,審判員!$A:$C,3,FALSE))=TRUE,"",VLOOKUP(Q79,審判員!$A:$C,3,FALSE))</f>
        <v/>
      </c>
      <c r="T80" s="244" t="s">
        <v>243</v>
      </c>
      <c r="U80" s="245" t="str">
        <f>IF(ISERROR(VLOOKUP(CONCATENATE($U$62,"_",V80),選手名簿!$A:$E,5,FALSE))=TRUE,"",VLOOKUP(CONCATENATE($U$62,"_",V80),選手名簿!$A:$E,5,FALSE))</f>
        <v/>
      </c>
      <c r="V80" s="246"/>
      <c r="W80" s="246"/>
      <c r="X80" s="246"/>
      <c r="Y80" s="299"/>
      <c r="Z80" s="246"/>
      <c r="AA80" s="246"/>
      <c r="AB80" s="246"/>
      <c r="AC80" s="247" t="str">
        <f>IF(ISERROR(VLOOKUP(CONCATENATE($AC$62,"_",AB80),選手名簿!$A:$E,5,FALSE))=TRUE,"",VLOOKUP(CONCATENATE($AC$62,"_",AB80),選手名簿!$A:$E,5,FALSE))</f>
        <v/>
      </c>
    </row>
    <row r="81" spans="1:29" ht="26.25" customHeight="1" x14ac:dyDescent="0.15">
      <c r="A81" s="241" t="s">
        <v>342</v>
      </c>
      <c r="B81" s="789"/>
      <c r="C81" s="789"/>
      <c r="D81" s="789"/>
      <c r="E81" s="244" t="s">
        <v>243</v>
      </c>
      <c r="F81" s="245" t="str">
        <f>IF(ISERROR(VLOOKUP(CONCATENATE($F$62,"_",G81),選手名簿!$A:$E,5,FALSE))=TRUE,"",VLOOKUP(CONCATENATE($F$62,"_",G81),選手名簿!$A:$E,5,FALSE))</f>
        <v/>
      </c>
      <c r="G81" s="246"/>
      <c r="H81" s="246"/>
      <c r="I81" s="246"/>
      <c r="J81" s="299"/>
      <c r="K81" s="246"/>
      <c r="L81" s="246"/>
      <c r="M81" s="246"/>
      <c r="N81" s="247" t="str">
        <f>IF(ISERROR(VLOOKUP(CONCATENATE($N$62,"_",M81),選手名簿!$A:$E,5,FALSE))=TRUE,"",VLOOKUP(CONCATENATE($N$62,"_",M81),選手名簿!$A:$E,5,FALSE))</f>
        <v/>
      </c>
      <c r="P81" s="307" t="s">
        <v>342</v>
      </c>
      <c r="Q81" s="871"/>
      <c r="R81" s="871"/>
      <c r="S81" s="872"/>
      <c r="T81" s="244" t="s">
        <v>243</v>
      </c>
      <c r="U81" s="245" t="str">
        <f>IF(ISERROR(VLOOKUP(CONCATENATE($U$62,"_",V81),選手名簿!$A:$E,5,FALSE))=TRUE,"",VLOOKUP(CONCATENATE($U$62,"_",V81),選手名簿!$A:$E,5,FALSE))</f>
        <v/>
      </c>
      <c r="V81" s="246"/>
      <c r="W81" s="246"/>
      <c r="X81" s="246"/>
      <c r="Y81" s="299"/>
      <c r="Z81" s="246"/>
      <c r="AA81" s="246"/>
      <c r="AB81" s="246"/>
      <c r="AC81" s="247" t="str">
        <f>IF(ISERROR(VLOOKUP(CONCATENATE($AC$62,"_",AB81),選手名簿!$A:$E,5,FALSE))=TRUE,"",VLOOKUP(CONCATENATE($AC$62,"_",AB81),選手名簿!$A:$E,5,FALSE))</f>
        <v/>
      </c>
    </row>
    <row r="82" spans="1:29" ht="26.25" customHeight="1" x14ac:dyDescent="0.15">
      <c r="A82" s="241" t="s">
        <v>345</v>
      </c>
      <c r="B82" s="790" t="str">
        <f>IF(ISERROR(VLOOKUP(B81,審判員!$A:$C,2,FALSE))=TRUE,"",VLOOKUP(B81,審判員!$A:$C,2,FALSE))</f>
        <v/>
      </c>
      <c r="C82" s="791"/>
      <c r="D82" s="242" t="str">
        <f>IF(ISERROR(VLOOKUP(B81,審判員!$A:$C,3,FALSE))=TRUE,"",VLOOKUP(B81,審判員!$A:$C,3,FALSE))</f>
        <v/>
      </c>
      <c r="E82" s="244" t="s">
        <v>243</v>
      </c>
      <c r="F82" s="245" t="str">
        <f>IF(ISERROR(VLOOKUP(CONCATENATE($F$62,"_",G82),選手名簿!$A:$E,5,FALSE))=TRUE,"",VLOOKUP(CONCATENATE($F$62,"_",G82),選手名簿!$A:$E,5,FALSE))</f>
        <v/>
      </c>
      <c r="G82" s="246"/>
      <c r="H82" s="246"/>
      <c r="I82" s="246"/>
      <c r="J82" s="299"/>
      <c r="K82" s="246"/>
      <c r="L82" s="246"/>
      <c r="M82" s="246"/>
      <c r="N82" s="247" t="str">
        <f>IF(ISERROR(VLOOKUP(CONCATENATE($N$62,"_",M82),選手名簿!$A:$E,5,FALSE))=TRUE,"",VLOOKUP(CONCATENATE($N$62,"_",M82),選手名簿!$A:$E,5,FALSE))</f>
        <v/>
      </c>
      <c r="P82" s="307" t="s">
        <v>345</v>
      </c>
      <c r="Q82" s="873" t="str">
        <f>IF(ISERROR(VLOOKUP(Q81,審判員!$A:$C,2,FALSE))=TRUE,"",VLOOKUP(Q81,審判員!$A:$C,2,FALSE))</f>
        <v/>
      </c>
      <c r="R82" s="874"/>
      <c r="S82" s="307" t="str">
        <f>IF(ISERROR(VLOOKUP(Q81,審判員!$A:$C,3,FALSE))=TRUE,"",VLOOKUP(Q81,審判員!$A:$C,3,FALSE))</f>
        <v/>
      </c>
      <c r="T82" s="244" t="s">
        <v>243</v>
      </c>
      <c r="U82" s="245" t="str">
        <f>IF(ISERROR(VLOOKUP(CONCATENATE($U$62,"_",V82),選手名簿!$A:$E,5,FALSE))=TRUE,"",VLOOKUP(CONCATENATE($U$62,"_",V82),選手名簿!$A:$E,5,FALSE))</f>
        <v/>
      </c>
      <c r="V82" s="246"/>
      <c r="W82" s="246"/>
      <c r="X82" s="246"/>
      <c r="Y82" s="299"/>
      <c r="Z82" s="246"/>
      <c r="AA82" s="246"/>
      <c r="AB82" s="246"/>
      <c r="AC82" s="247" t="str">
        <f>IF(ISERROR(VLOOKUP(CONCATENATE($AC$62,"_",AB82),選手名簿!$A:$E,5,FALSE))=TRUE,"",VLOOKUP(CONCATENATE($AC$62,"_",AB82),選手名簿!$A:$E,5,FALSE))</f>
        <v/>
      </c>
    </row>
    <row r="83" spans="1:29" ht="26.25" customHeight="1" x14ac:dyDescent="0.15">
      <c r="A83" s="241" t="s">
        <v>342</v>
      </c>
      <c r="B83" s="789"/>
      <c r="C83" s="789"/>
      <c r="D83" s="789"/>
      <c r="E83" s="244" t="s">
        <v>243</v>
      </c>
      <c r="F83" s="245" t="str">
        <f>IF(ISERROR(VLOOKUP(CONCATENATE($F$62,"_",G83),選手名簿!$A:$E,5,FALSE))=TRUE,"",VLOOKUP(CONCATENATE($F$62,"_",G83),選手名簿!$A:$E,5,FALSE))</f>
        <v/>
      </c>
      <c r="G83" s="246"/>
      <c r="H83" s="246"/>
      <c r="I83" s="246"/>
      <c r="J83" s="299"/>
      <c r="K83" s="246"/>
      <c r="L83" s="246"/>
      <c r="M83" s="246"/>
      <c r="N83" s="247" t="str">
        <f>IF(ISERROR(VLOOKUP(CONCATENATE($N$62,"_",M83),選手名簿!$A:$E,5,FALSE))=TRUE,"",VLOOKUP(CONCATENATE($N$62,"_",M83),選手名簿!$A:$E,5,FALSE))</f>
        <v/>
      </c>
      <c r="P83" s="307" t="s">
        <v>342</v>
      </c>
      <c r="Q83" s="871"/>
      <c r="R83" s="871"/>
      <c r="S83" s="872"/>
      <c r="T83" s="244" t="s">
        <v>243</v>
      </c>
      <c r="U83" s="245" t="str">
        <f>IF(ISERROR(VLOOKUP(CONCATENATE($U$62,"_",V83),選手名簿!$A:$E,5,FALSE))=TRUE,"",VLOOKUP(CONCATENATE($U$62,"_",V83),選手名簿!$A:$E,5,FALSE))</f>
        <v/>
      </c>
      <c r="V83" s="246"/>
      <c r="W83" s="246"/>
      <c r="X83" s="246"/>
      <c r="Y83" s="299"/>
      <c r="Z83" s="246"/>
      <c r="AA83" s="246"/>
      <c r="AB83" s="246"/>
      <c r="AC83" s="247" t="str">
        <f>IF(ISERROR(VLOOKUP(CONCATENATE($AC$62,"_",AB83),選手名簿!$A:$E,5,FALSE))=TRUE,"",VLOOKUP(CONCATENATE($AC$62,"_",AB83),選手名簿!$A:$E,5,FALSE))</f>
        <v/>
      </c>
    </row>
    <row r="84" spans="1:29" ht="26.25" customHeight="1" x14ac:dyDescent="0.15">
      <c r="A84" s="241" t="s">
        <v>346</v>
      </c>
      <c r="B84" s="790" t="str">
        <f>IF(ISERROR(VLOOKUP(B83,審判員!$A:$C,2,FALSE))=TRUE,"",VLOOKUP(B83,審判員!$A:$C,2,FALSE))</f>
        <v/>
      </c>
      <c r="C84" s="791"/>
      <c r="D84" s="242" t="str">
        <f>IF(ISERROR(VLOOKUP(B83,審判員!$A:$C,3,FALSE))=TRUE,"",VLOOKUP(B83,審判員!$A:$C,3,FALSE))</f>
        <v/>
      </c>
      <c r="E84" s="244" t="s">
        <v>243</v>
      </c>
      <c r="F84" s="245" t="str">
        <f>IF(ISERROR(VLOOKUP(CONCATENATE($F$62,"_",G84),選手名簿!$A:$E,5,FALSE))=TRUE,"",VLOOKUP(CONCATENATE($F$62,"_",G84),選手名簿!$A:$E,5,FALSE))</f>
        <v/>
      </c>
      <c r="G84" s="246"/>
      <c r="H84" s="246"/>
      <c r="I84" s="246"/>
      <c r="J84" s="299"/>
      <c r="K84" s="246"/>
      <c r="L84" s="246"/>
      <c r="M84" s="246"/>
      <c r="N84" s="247" t="str">
        <f>IF(ISERROR(VLOOKUP(CONCATENATE($N$62,"_",M84),選手名簿!$A:$E,5,FALSE))=TRUE,"",VLOOKUP(CONCATENATE($N$62,"_",M84),選手名簿!$A:$E,5,FALSE))</f>
        <v/>
      </c>
      <c r="P84" s="307" t="s">
        <v>346</v>
      </c>
      <c r="Q84" s="873" t="str">
        <f>IF(ISERROR(VLOOKUP(Q83,審判員!$A:$C,2,FALSE))=TRUE,"",VLOOKUP(Q83,審判員!$A:$C,2,FALSE))</f>
        <v/>
      </c>
      <c r="R84" s="874"/>
      <c r="S84" s="307" t="str">
        <f>IF(ISERROR(VLOOKUP(Q83,審判員!$A:$C,3,FALSE))=TRUE,"",VLOOKUP(Q83,審判員!$A:$C,3,FALSE))</f>
        <v/>
      </c>
      <c r="T84" s="244" t="s">
        <v>243</v>
      </c>
      <c r="U84" s="245" t="str">
        <f>IF(ISERROR(VLOOKUP(CONCATENATE($U$62,"_",V84),選手名簿!$A:$E,5,FALSE))=TRUE,"",VLOOKUP(CONCATENATE($U$62,"_",V84),選手名簿!$A:$E,5,FALSE))</f>
        <v/>
      </c>
      <c r="V84" s="246"/>
      <c r="W84" s="246"/>
      <c r="X84" s="246"/>
      <c r="Y84" s="299"/>
      <c r="Z84" s="246"/>
      <c r="AA84" s="246"/>
      <c r="AB84" s="246"/>
      <c r="AC84" s="247" t="str">
        <f>IF(ISERROR(VLOOKUP(CONCATENATE($AC$62,"_",AB84),選手名簿!$A:$E,5,FALSE))=TRUE,"",VLOOKUP(CONCATENATE($AC$62,"_",AB84),選手名簿!$A:$E,5,FALSE))</f>
        <v/>
      </c>
    </row>
    <row r="85" spans="1:29" ht="26.25" customHeight="1" x14ac:dyDescent="0.15">
      <c r="A85" s="241" t="s">
        <v>342</v>
      </c>
      <c r="B85" s="789"/>
      <c r="C85" s="789"/>
      <c r="D85" s="789"/>
      <c r="E85" s="244" t="s">
        <v>243</v>
      </c>
      <c r="F85" s="245" t="str">
        <f>IF(ISERROR(VLOOKUP(CONCATENATE($F$62,"_",G85),選手名簿!$A:$E,5,FALSE))=TRUE,"",VLOOKUP(CONCATENATE($F$62,"_",G85),選手名簿!$A:$E,5,FALSE))</f>
        <v/>
      </c>
      <c r="G85" s="246"/>
      <c r="H85" s="246"/>
      <c r="I85" s="246"/>
      <c r="J85" s="299"/>
      <c r="K85" s="246"/>
      <c r="L85" s="246"/>
      <c r="M85" s="246"/>
      <c r="N85" s="247" t="str">
        <f>IF(ISERROR(VLOOKUP(CONCATENATE($N$62,"_",M85),選手名簿!$A:$E,5,FALSE))=TRUE,"",VLOOKUP(CONCATENATE($N$62,"_",M85),選手名簿!$A:$E,5,FALSE))</f>
        <v/>
      </c>
      <c r="P85" s="241" t="s">
        <v>342</v>
      </c>
      <c r="Q85" s="786"/>
      <c r="R85" s="786"/>
      <c r="S85" s="786"/>
      <c r="T85" s="244" t="s">
        <v>243</v>
      </c>
      <c r="U85" s="245" t="str">
        <f>IF(ISERROR(VLOOKUP(CONCATENATE($U$62,"_",V85),選手名簿!$A:$E,5,FALSE))=TRUE,"",VLOOKUP(CONCATENATE($U$62,"_",V85),選手名簿!$A:$E,5,FALSE))</f>
        <v/>
      </c>
      <c r="V85" s="246"/>
      <c r="W85" s="246"/>
      <c r="X85" s="246"/>
      <c r="Y85" s="299"/>
      <c r="Z85" s="246"/>
      <c r="AA85" s="246"/>
      <c r="AB85" s="246"/>
      <c r="AC85" s="247" t="str">
        <f>IF(ISERROR(VLOOKUP(CONCATENATE($AC$62,"_",AB85),選手名簿!$A:$E,5,FALSE))=TRUE,"",VLOOKUP(CONCATENATE($AC$62,"_",AB85),選手名簿!$A:$E,5,FALSE))</f>
        <v/>
      </c>
    </row>
    <row r="86" spans="1:29" ht="26.25" customHeight="1" thickBot="1" x14ac:dyDescent="0.2">
      <c r="A86" s="241" t="s">
        <v>347</v>
      </c>
      <c r="B86" s="790" t="str">
        <f>IF(ISERROR(VLOOKUP(B85,審判員!$A:$C,2,FALSE))=TRUE,"",VLOOKUP(B85,審判員!$A:$C,2,FALSE))</f>
        <v/>
      </c>
      <c r="C86" s="791"/>
      <c r="D86" s="242" t="str">
        <f>IF(ISERROR(VLOOKUP(B85,審判員!$A:$C,3,FALSE))=TRUE,"",VLOOKUP(B85,審判員!$A:$C,3,FALSE))</f>
        <v/>
      </c>
      <c r="E86" s="248" t="s">
        <v>243</v>
      </c>
      <c r="F86" s="249" t="str">
        <f>IF(ISERROR(VLOOKUP(CONCATENATE($F$62,"_",G86),選手名簿!$A:$E,5,FALSE))=TRUE,"",VLOOKUP(CONCATENATE($F$62,"_",G86),選手名簿!$A:$E,5,FALSE))</f>
        <v/>
      </c>
      <c r="G86" s="250"/>
      <c r="H86" s="250"/>
      <c r="I86" s="250"/>
      <c r="J86" s="306"/>
      <c r="K86" s="250"/>
      <c r="L86" s="250"/>
      <c r="M86" s="250"/>
      <c r="N86" s="251" t="str">
        <f>IF(ISERROR(VLOOKUP(CONCATENATE($N$62,"_",M86),選手名簿!$A:$E,5,FALSE))=TRUE,"",VLOOKUP(CONCATENATE($N$62,"_",M86),選手名簿!$A:$E,5,FALSE))</f>
        <v/>
      </c>
      <c r="P86" s="241" t="s">
        <v>347</v>
      </c>
      <c r="Q86" s="790" t="str">
        <f>IF(ISERROR(VLOOKUP(Q85,審判員!$A:$C,2,FALSE))=TRUE,"",VLOOKUP(Q85,審判員!$A:$C,2,FALSE))</f>
        <v/>
      </c>
      <c r="R86" s="791"/>
      <c r="S86" s="242" t="str">
        <f>IF(ISERROR(VLOOKUP(Q85,審判員!$A:$C,3,FALSE))=TRUE,"",VLOOKUP(Q85,審判員!$A:$C,3,FALSE))</f>
        <v/>
      </c>
      <c r="T86" s="248" t="s">
        <v>243</v>
      </c>
      <c r="U86" s="249" t="str">
        <f>IF(ISERROR(VLOOKUP(CONCATENATE($U$62,"_",V86),選手名簿!$A:$E,5,FALSE))=TRUE,"",VLOOKUP(CONCATENATE($U$62,"_",V86),選手名簿!$A:$E,5,FALSE))</f>
        <v/>
      </c>
      <c r="V86" s="250"/>
      <c r="W86" s="250"/>
      <c r="X86" s="250"/>
      <c r="Y86" s="306"/>
      <c r="Z86" s="250"/>
      <c r="AA86" s="250"/>
      <c r="AB86" s="250"/>
      <c r="AC86" s="251" t="str">
        <f>IF(ISERROR(VLOOKUP(CONCATENATE($AC$62,"_",AB86),選手名簿!$A:$E,5,FALSE))=TRUE,"",VLOOKUP(CONCATENATE($AC$62,"_",AB86),選手名簿!$A:$E,5,FALSE))</f>
        <v/>
      </c>
    </row>
    <row r="87" spans="1:29" ht="9.9499999999999993" customHeight="1" x14ac:dyDescent="0.15">
      <c r="E87" s="252"/>
      <c r="T87" s="252"/>
    </row>
    <row r="88" spans="1:29" ht="9.9499999999999993" customHeight="1" x14ac:dyDescent="0.15">
      <c r="E88" s="252"/>
      <c r="T88" s="252"/>
    </row>
    <row r="89" spans="1:29" ht="9.9499999999999993" customHeight="1" x14ac:dyDescent="0.15">
      <c r="E89" s="252"/>
      <c r="T89" s="252"/>
    </row>
    <row r="90" spans="1:29" ht="9.9499999999999993" customHeight="1" x14ac:dyDescent="0.15">
      <c r="E90" s="252"/>
      <c r="T90" s="252"/>
    </row>
    <row r="91" spans="1:29" ht="27.4" customHeight="1" thickBot="1" x14ac:dyDescent="0.2">
      <c r="B91" s="214" t="s">
        <v>401</v>
      </c>
      <c r="E91" s="252"/>
      <c r="Q91" s="214" t="s">
        <v>400</v>
      </c>
      <c r="T91" s="252"/>
    </row>
    <row r="92" spans="1:29" ht="27.4" customHeight="1" x14ac:dyDescent="0.15">
      <c r="A92" s="223" t="s">
        <v>334</v>
      </c>
      <c r="B92" s="768"/>
      <c r="C92" s="769"/>
      <c r="D92" s="770"/>
      <c r="E92" s="771">
        <v>0.5</v>
      </c>
      <c r="F92" s="865" t="e">
        <f>VLOOKUP(決勝トーナメント!K21,組合せ抽選用!$S:$U,3,FALSE)</f>
        <v>#N/A</v>
      </c>
      <c r="G92" s="777" t="str">
        <f>IF(I92="","",SUM(I92:I93))</f>
        <v/>
      </c>
      <c r="H92" s="780" t="s">
        <v>123</v>
      </c>
      <c r="I92" s="224"/>
      <c r="J92" s="224" t="s">
        <v>335</v>
      </c>
      <c r="K92" s="224"/>
      <c r="L92" s="780" t="s">
        <v>336</v>
      </c>
      <c r="M92" s="777" t="str">
        <f>IF(K92="","",SUM(K92:K93))</f>
        <v/>
      </c>
      <c r="N92" s="868" t="e">
        <f>VLOOKUP(決勝トーナメント!O21,組合せ抽選用!$S:$U,3,FALSE)</f>
        <v>#N/A</v>
      </c>
      <c r="P92" s="223" t="s">
        <v>334</v>
      </c>
      <c r="Q92" s="768"/>
      <c r="R92" s="769"/>
      <c r="S92" s="770"/>
      <c r="T92" s="771">
        <v>0.5</v>
      </c>
      <c r="U92" s="865" t="e">
        <f>VLOOKUP(決勝トーナメント!K28,組合せ抽選用!$S:$U,3,FALSE)</f>
        <v>#N/A</v>
      </c>
      <c r="V92" s="777" t="str">
        <f>IF(X92="","",SUM(X92:X93))</f>
        <v/>
      </c>
      <c r="W92" s="780" t="s">
        <v>123</v>
      </c>
      <c r="X92" s="224"/>
      <c r="Y92" s="224" t="s">
        <v>335</v>
      </c>
      <c r="Z92" s="224"/>
      <c r="AA92" s="780" t="s">
        <v>336</v>
      </c>
      <c r="AB92" s="777" t="str">
        <f>IF(Z92="","",SUM(Z92:Z93))</f>
        <v/>
      </c>
      <c r="AC92" s="868" t="e">
        <f>VLOOKUP(決勝トーナメント!O28,組合せ抽選用!$S:$U,3,FALSE)</f>
        <v>#N/A</v>
      </c>
    </row>
    <row r="93" spans="1:29" ht="27.4" customHeight="1" x14ac:dyDescent="0.15">
      <c r="A93" s="225" t="s">
        <v>337</v>
      </c>
      <c r="B93" s="786"/>
      <c r="C93" s="786"/>
      <c r="D93" s="768"/>
      <c r="E93" s="772"/>
      <c r="F93" s="866"/>
      <c r="G93" s="778"/>
      <c r="H93" s="781"/>
      <c r="J93" s="214" t="s">
        <v>338</v>
      </c>
      <c r="L93" s="781"/>
      <c r="M93" s="778"/>
      <c r="N93" s="869"/>
      <c r="P93" s="225" t="s">
        <v>337</v>
      </c>
      <c r="Q93" s="786" t="s">
        <v>313</v>
      </c>
      <c r="R93" s="786"/>
      <c r="S93" s="768"/>
      <c r="T93" s="772"/>
      <c r="U93" s="866"/>
      <c r="V93" s="778"/>
      <c r="W93" s="781"/>
      <c r="Y93" s="214" t="s">
        <v>338</v>
      </c>
      <c r="AA93" s="781"/>
      <c r="AB93" s="778"/>
      <c r="AC93" s="869"/>
    </row>
    <row r="94" spans="1:29" ht="27.4" customHeight="1" thickBot="1" x14ac:dyDescent="0.2">
      <c r="A94" s="225" t="s">
        <v>339</v>
      </c>
      <c r="B94" s="786"/>
      <c r="C94" s="786"/>
      <c r="D94" s="768"/>
      <c r="E94" s="773"/>
      <c r="F94" s="867"/>
      <c r="G94" s="779"/>
      <c r="H94" s="782"/>
      <c r="I94" s="226"/>
      <c r="J94" s="226" t="s">
        <v>340</v>
      </c>
      <c r="K94" s="226"/>
      <c r="L94" s="782"/>
      <c r="M94" s="779"/>
      <c r="N94" s="870"/>
      <c r="P94" s="225" t="s">
        <v>339</v>
      </c>
      <c r="Q94" s="786"/>
      <c r="R94" s="786"/>
      <c r="S94" s="768"/>
      <c r="T94" s="773"/>
      <c r="U94" s="867"/>
      <c r="V94" s="779"/>
      <c r="W94" s="782"/>
      <c r="X94" s="226"/>
      <c r="Y94" s="226" t="s">
        <v>340</v>
      </c>
      <c r="Z94" s="226"/>
      <c r="AA94" s="782"/>
      <c r="AB94" s="779"/>
      <c r="AC94" s="870"/>
    </row>
    <row r="95" spans="1:29" ht="26.25" hidden="1" customHeight="1" x14ac:dyDescent="0.15">
      <c r="E95" s="227"/>
      <c r="F95" s="228" t="s">
        <v>242</v>
      </c>
      <c r="G95" s="228" t="s">
        <v>342</v>
      </c>
      <c r="H95" s="228" t="s">
        <v>317</v>
      </c>
      <c r="I95" s="228"/>
      <c r="J95" s="297"/>
      <c r="K95" s="228"/>
      <c r="L95" s="228" t="s">
        <v>317</v>
      </c>
      <c r="M95" s="228" t="s">
        <v>342</v>
      </c>
      <c r="N95" s="230" t="s">
        <v>242</v>
      </c>
      <c r="T95" s="227"/>
      <c r="U95" s="228" t="s">
        <v>242</v>
      </c>
      <c r="V95" s="228" t="s">
        <v>342</v>
      </c>
      <c r="W95" s="228" t="s">
        <v>317</v>
      </c>
      <c r="X95" s="228"/>
      <c r="Y95" s="297"/>
      <c r="Z95" s="228"/>
      <c r="AA95" s="228" t="s">
        <v>317</v>
      </c>
      <c r="AB95" s="228" t="s">
        <v>342</v>
      </c>
      <c r="AC95" s="230" t="s">
        <v>242</v>
      </c>
    </row>
    <row r="96" spans="1:29" ht="26.25" hidden="1" customHeight="1" x14ac:dyDescent="0.15">
      <c r="E96" s="244" t="s">
        <v>343</v>
      </c>
      <c r="F96" s="298" t="str">
        <f>IF(ISERROR(VLOOKUP(CONCATENATE($F$62,"_",G96),選手名簿!$A:$E,5,FALSE))=TRUE,"",VLOOKUP(CONCATENATE($F$62,"_",G96),選手名簿!$A:$E,5,FALSE))</f>
        <v/>
      </c>
      <c r="G96" s="246"/>
      <c r="H96" s="246"/>
      <c r="I96" s="246"/>
      <c r="J96" s="299"/>
      <c r="K96" s="246"/>
      <c r="L96" s="246"/>
      <c r="M96" s="246"/>
      <c r="N96" s="300" t="str">
        <f>IF(ISERROR(VLOOKUP(CONCATENATE($N$62,"_",M96),選手名簿!$A:$E,5,FALSE))=TRUE,"",VLOOKUP(CONCATENATE($N$62,"_",M96),選手名簿!$A:$E,5,FALSE))</f>
        <v/>
      </c>
      <c r="T96" s="244" t="s">
        <v>343</v>
      </c>
      <c r="U96" s="298" t="str">
        <f>IF(ISERROR(VLOOKUP(CONCATENATE($U$62,"_",V96),選手名簿!$A:$E,5,FALSE))=TRUE,"",VLOOKUP(CONCATENATE($U$62,"_",V96),選手名簿!$A:$E,5,FALSE))</f>
        <v/>
      </c>
      <c r="V96" s="246"/>
      <c r="W96" s="246"/>
      <c r="X96" s="246"/>
      <c r="Y96" s="299"/>
      <c r="Z96" s="246"/>
      <c r="AA96" s="246"/>
      <c r="AB96" s="246"/>
      <c r="AC96" s="300" t="str">
        <f>IF(ISERROR(VLOOKUP(CONCATENATE($AC$62,"_",AB96),選手名簿!$A:$E,5,FALSE))=TRUE,"",VLOOKUP(CONCATENATE($AC$62,"_",AB96),選手名簿!$A:$E,5,FALSE))</f>
        <v/>
      </c>
    </row>
    <row r="97" spans="1:29" ht="26.25" hidden="1" customHeight="1" x14ac:dyDescent="0.15">
      <c r="E97" s="244" t="s">
        <v>343</v>
      </c>
      <c r="F97" s="232" t="str">
        <f>IF(ISERROR(VLOOKUP(CONCATENATE($F$62,"_",G97),選手名簿!$A:$E,5,FALSE))=TRUE,"",VLOOKUP(CONCATENATE($F$62,"_",G97),選手名簿!$A:$E,5,FALSE))</f>
        <v/>
      </c>
      <c r="G97" s="246"/>
      <c r="H97" s="246"/>
      <c r="I97" s="246"/>
      <c r="J97" s="299"/>
      <c r="K97" s="246"/>
      <c r="L97" s="246"/>
      <c r="M97" s="246"/>
      <c r="N97" s="300" t="str">
        <f>IF(ISERROR(VLOOKUP(CONCATENATE($N$62,"_",M97),選手名簿!$A:$E,5,FALSE))=TRUE,"",VLOOKUP(CONCATENATE($N$62,"_",M97),選手名簿!$A:$E,5,FALSE))</f>
        <v/>
      </c>
      <c r="T97" s="244" t="s">
        <v>343</v>
      </c>
      <c r="U97" s="232" t="str">
        <f>IF(ISERROR(VLOOKUP(CONCATENATE($U$62,"_",V97),選手名簿!$A:$E,5,FALSE))=TRUE,"",VLOOKUP(CONCATENATE($U$62,"_",V97),選手名簿!$A:$E,5,FALSE))</f>
        <v/>
      </c>
      <c r="V97" s="246"/>
      <c r="W97" s="246"/>
      <c r="X97" s="246"/>
      <c r="Y97" s="299"/>
      <c r="Z97" s="246"/>
      <c r="AA97" s="246"/>
      <c r="AB97" s="246"/>
      <c r="AC97" s="300" t="str">
        <f>IF(ISERROR(VLOOKUP(CONCATENATE($AC$62,"_",AB97),選手名簿!$A:$E,5,FALSE))=TRUE,"",VLOOKUP(CONCATENATE($AC$62,"_",AB97),選手名簿!$A:$E,5,FALSE))</f>
        <v/>
      </c>
    </row>
    <row r="98" spans="1:29" ht="26.25" hidden="1" customHeight="1" x14ac:dyDescent="0.15">
      <c r="E98" s="244" t="s">
        <v>343</v>
      </c>
      <c r="F98" s="298" t="str">
        <f>IF(ISERROR(VLOOKUP(CONCATENATE($F$62,"_",G98),選手名簿!$A:$E,5,FALSE))=TRUE,"",VLOOKUP(CONCATENATE($F$62,"_",G98),選手名簿!$A:$E,5,FALSE))</f>
        <v/>
      </c>
      <c r="G98" s="246"/>
      <c r="H98" s="246"/>
      <c r="I98" s="246"/>
      <c r="J98" s="299"/>
      <c r="K98" s="246"/>
      <c r="L98" s="246"/>
      <c r="M98" s="246"/>
      <c r="N98" s="300" t="str">
        <f>IF(ISERROR(VLOOKUP(CONCATENATE($N$62,"_",M98),選手名簿!$A:$E,5,FALSE))=TRUE,"",VLOOKUP(CONCATENATE($N$62,"_",M98),選手名簿!$A:$E,5,FALSE))</f>
        <v/>
      </c>
      <c r="T98" s="244" t="s">
        <v>343</v>
      </c>
      <c r="U98" s="298" t="str">
        <f>IF(ISERROR(VLOOKUP(CONCATENATE($U$62,"_",V98),選手名簿!$A:$E,5,FALSE))=TRUE,"",VLOOKUP(CONCATENATE($U$62,"_",V98),選手名簿!$A:$E,5,FALSE))</f>
        <v/>
      </c>
      <c r="V98" s="246"/>
      <c r="W98" s="246"/>
      <c r="X98" s="246"/>
      <c r="Y98" s="299"/>
      <c r="Z98" s="246"/>
      <c r="AA98" s="246"/>
      <c r="AB98" s="246"/>
      <c r="AC98" s="300" t="str">
        <f>IF(ISERROR(VLOOKUP(CONCATENATE($AC$62,"_",AB98),選手名簿!$A:$E,5,FALSE))=TRUE,"",VLOOKUP(CONCATENATE($AC$62,"_",AB98),選手名簿!$A:$E,5,FALSE))</f>
        <v/>
      </c>
    </row>
    <row r="99" spans="1:29" ht="26.25" hidden="1" customHeight="1" x14ac:dyDescent="0.15">
      <c r="E99" s="244" t="s">
        <v>343</v>
      </c>
      <c r="F99" s="232" t="str">
        <f>IF(ISERROR(VLOOKUP(CONCATENATE($F$62,"_",G99),選手名簿!$A:$E,5,FALSE))=TRUE,"",VLOOKUP(CONCATENATE($F$62,"_",G99),選手名簿!$A:$E,5,FALSE))</f>
        <v/>
      </c>
      <c r="G99" s="246"/>
      <c r="H99" s="246"/>
      <c r="I99" s="246"/>
      <c r="J99" s="299"/>
      <c r="K99" s="246"/>
      <c r="L99" s="246"/>
      <c r="M99" s="246"/>
      <c r="N99" s="300" t="str">
        <f>IF(ISERROR(VLOOKUP(CONCATENATE($N$62,"_",M99),選手名簿!$A:$E,5,FALSE))=TRUE,"",VLOOKUP(CONCATENATE($N$62,"_",M99),選手名簿!$A:$E,5,FALSE))</f>
        <v/>
      </c>
      <c r="T99" s="244" t="s">
        <v>343</v>
      </c>
      <c r="U99" s="232" t="str">
        <f>IF(ISERROR(VLOOKUP(CONCATENATE($U$62,"_",V99),選手名簿!$A:$E,5,FALSE))=TRUE,"",VLOOKUP(CONCATENATE($U$62,"_",V99),選手名簿!$A:$E,5,FALSE))</f>
        <v/>
      </c>
      <c r="V99" s="246"/>
      <c r="W99" s="246"/>
      <c r="X99" s="246"/>
      <c r="Y99" s="299"/>
      <c r="Z99" s="246"/>
      <c r="AA99" s="246"/>
      <c r="AB99" s="246"/>
      <c r="AC99" s="300" t="str">
        <f>IF(ISERROR(VLOOKUP(CONCATENATE($AC$62,"_",AB99),選手名簿!$A:$E,5,FALSE))=TRUE,"",VLOOKUP(CONCATENATE($AC$62,"_",AB99),選手名簿!$A:$E,5,FALSE))</f>
        <v/>
      </c>
    </row>
    <row r="100" spans="1:29" ht="26.25" hidden="1" customHeight="1" x14ac:dyDescent="0.15">
      <c r="E100" s="244" t="s">
        <v>343</v>
      </c>
      <c r="F100" s="245" t="str">
        <f>IF(ISERROR(VLOOKUP(CONCATENATE($F$62,"_",G100),選手名簿!$A:$E,5,FALSE))=TRUE,"",VLOOKUP(CONCATENATE($F$62,"_",G100),選手名簿!$A:$E,5,FALSE))</f>
        <v/>
      </c>
      <c r="G100" s="246"/>
      <c r="H100" s="246"/>
      <c r="I100" s="246"/>
      <c r="J100" s="299"/>
      <c r="K100" s="246"/>
      <c r="L100" s="246"/>
      <c r="M100" s="246"/>
      <c r="N100" s="300" t="str">
        <f>IF(ISERROR(VLOOKUP(CONCATENATE($N$62,"_",M100),選手名簿!$A:$E,5,FALSE))=TRUE,"",VLOOKUP(CONCATENATE($N$62,"_",M100),選手名簿!$A:$E,5,FALSE))</f>
        <v/>
      </c>
      <c r="T100" s="244" t="s">
        <v>343</v>
      </c>
      <c r="U100" s="245" t="str">
        <f>IF(ISERROR(VLOOKUP(CONCATENATE($U$62,"_",V100),選手名簿!$A:$E,5,FALSE))=TRUE,"",VLOOKUP(CONCATENATE($U$62,"_",V100),選手名簿!$A:$E,5,FALSE))</f>
        <v/>
      </c>
      <c r="V100" s="246"/>
      <c r="W100" s="246"/>
      <c r="X100" s="246"/>
      <c r="Y100" s="299"/>
      <c r="Z100" s="246"/>
      <c r="AA100" s="246"/>
      <c r="AB100" s="246"/>
      <c r="AC100" s="300" t="str">
        <f>IF(ISERROR(VLOOKUP(CONCATENATE($AC$62,"_",AB100),選手名簿!$A:$E,5,FALSE))=TRUE,"",VLOOKUP(CONCATENATE($AC$62,"_",AB100),選手名簿!$A:$E,5,FALSE))</f>
        <v/>
      </c>
    </row>
    <row r="101" spans="1:29" ht="26.25" hidden="1" customHeight="1" x14ac:dyDescent="0.15">
      <c r="E101" s="244" t="s">
        <v>343</v>
      </c>
      <c r="F101" s="245" t="str">
        <f>IF(ISERROR(VLOOKUP(CONCATENATE($F$62,"_",G101),選手名簿!$A:$E,5,FALSE))=TRUE,"",VLOOKUP(CONCATENATE($F$62,"_",G101),選手名簿!$A:$E,5,FALSE))</f>
        <v/>
      </c>
      <c r="G101" s="246"/>
      <c r="H101" s="246"/>
      <c r="I101" s="246"/>
      <c r="J101" s="299"/>
      <c r="K101" s="246"/>
      <c r="L101" s="246"/>
      <c r="M101" s="246"/>
      <c r="N101" s="300" t="str">
        <f>IF(ISERROR(VLOOKUP(CONCATENATE($N$62,"_",M101),選手名簿!$A:$E,5,FALSE))=TRUE,"",VLOOKUP(CONCATENATE($N$62,"_",M101),選手名簿!$A:$E,5,FALSE))</f>
        <v/>
      </c>
      <c r="T101" s="244" t="s">
        <v>343</v>
      </c>
      <c r="U101" s="245" t="str">
        <f>IF(ISERROR(VLOOKUP(CONCATENATE($U$62,"_",V101),選手名簿!$A:$E,5,FALSE))=TRUE,"",VLOOKUP(CONCATENATE($U$62,"_",V101),選手名簿!$A:$E,5,FALSE))</f>
        <v/>
      </c>
      <c r="V101" s="246"/>
      <c r="W101" s="246"/>
      <c r="X101" s="246"/>
      <c r="Y101" s="299"/>
      <c r="Z101" s="246"/>
      <c r="AA101" s="246"/>
      <c r="AB101" s="246"/>
      <c r="AC101" s="300" t="str">
        <f>IF(ISERROR(VLOOKUP(CONCATENATE($AC$62,"_",AB101),選手名簿!$A:$E,5,FALSE))=TRUE,"",VLOOKUP(CONCATENATE($AC$62,"_",AB101),選手名簿!$A:$E,5,FALSE))</f>
        <v/>
      </c>
    </row>
    <row r="102" spans="1:29" ht="26.25" hidden="1" customHeight="1" x14ac:dyDescent="0.15">
      <c r="E102" s="244" t="s">
        <v>343</v>
      </c>
      <c r="F102" s="245" t="str">
        <f>IF(ISERROR(VLOOKUP(CONCATENATE($F$62,"_",G102),選手名簿!$A:$E,5,FALSE))=TRUE,"",VLOOKUP(CONCATENATE($F$62,"_",G102),選手名簿!$A:$E,5,FALSE))</f>
        <v/>
      </c>
      <c r="G102" s="246"/>
      <c r="H102" s="246"/>
      <c r="I102" s="246"/>
      <c r="J102" s="299"/>
      <c r="K102" s="246"/>
      <c r="L102" s="246"/>
      <c r="M102" s="246"/>
      <c r="N102" s="235" t="str">
        <f>IF(ISERROR(VLOOKUP(CONCATENATE($N$62,"_",M102),選手名簿!$A:$E,5,FALSE))=TRUE,"",VLOOKUP(CONCATENATE($N$62,"_",M102),選手名簿!$A:$E,5,FALSE))</f>
        <v/>
      </c>
      <c r="T102" s="244" t="s">
        <v>343</v>
      </c>
      <c r="U102" s="245" t="str">
        <f>IF(ISERROR(VLOOKUP(CONCATENATE($U$62,"_",V102),選手名簿!$A:$E,5,FALSE))=TRUE,"",VLOOKUP(CONCATENATE($U$62,"_",V102),選手名簿!$A:$E,5,FALSE))</f>
        <v/>
      </c>
      <c r="V102" s="246"/>
      <c r="W102" s="246"/>
      <c r="X102" s="246"/>
      <c r="Y102" s="299"/>
      <c r="Z102" s="246"/>
      <c r="AA102" s="246"/>
      <c r="AB102" s="246"/>
      <c r="AC102" s="235" t="str">
        <f>IF(ISERROR(VLOOKUP(CONCATENATE($AC$62,"_",AB102),選手名簿!$A:$E,5,FALSE))=TRUE,"",VLOOKUP(CONCATENATE($AC$62,"_",AB102),選手名簿!$A:$E,5,FALSE))</f>
        <v/>
      </c>
    </row>
    <row r="103" spans="1:29" ht="26.25" hidden="1" customHeight="1" x14ac:dyDescent="0.15">
      <c r="E103" s="244" t="s">
        <v>343</v>
      </c>
      <c r="F103" s="245" t="str">
        <f>IF(ISERROR(VLOOKUP(CONCATENATE($F$62,"_",G103),選手名簿!$A:$E,5,FALSE))=TRUE,"",VLOOKUP(CONCATENATE($F$62,"_",G103),選手名簿!$A:$E,5,FALSE))</f>
        <v/>
      </c>
      <c r="G103" s="246"/>
      <c r="H103" s="246"/>
      <c r="I103" s="246"/>
      <c r="J103" s="299"/>
      <c r="K103" s="246"/>
      <c r="L103" s="246"/>
      <c r="M103" s="246"/>
      <c r="N103" s="247" t="str">
        <f>IF(ISERROR(VLOOKUP(CONCATENATE($N$62,"_",M103),選手名簿!$A:$E,5,FALSE))=TRUE,"",VLOOKUP(CONCATENATE($N$62,"_",M103),選手名簿!$A:$E,5,FALSE))</f>
        <v/>
      </c>
      <c r="T103" s="244" t="s">
        <v>343</v>
      </c>
      <c r="U103" s="245" t="str">
        <f>IF(ISERROR(VLOOKUP(CONCATENATE($U$62,"_",V103),選手名簿!$A:$E,5,FALSE))=TRUE,"",VLOOKUP(CONCATENATE($U$62,"_",V103),選手名簿!$A:$E,5,FALSE))</f>
        <v/>
      </c>
      <c r="V103" s="246"/>
      <c r="W103" s="246"/>
      <c r="X103" s="246"/>
      <c r="Y103" s="299"/>
      <c r="Z103" s="246"/>
      <c r="AA103" s="246"/>
      <c r="AB103" s="246"/>
      <c r="AC103" s="247" t="str">
        <f>IF(ISERROR(VLOOKUP(CONCATENATE($AC$62,"_",AB103),選手名簿!$A:$E,5,FALSE))=TRUE,"",VLOOKUP(CONCATENATE($AC$62,"_",AB103),選手名簿!$A:$E,5,FALSE))</f>
        <v/>
      </c>
    </row>
    <row r="104" spans="1:29" ht="26.25" hidden="1" customHeight="1" x14ac:dyDescent="0.15">
      <c r="E104" s="244" t="s">
        <v>343</v>
      </c>
      <c r="F104" s="245" t="str">
        <f>IF(ISERROR(VLOOKUP(CONCATENATE($F$62,"_",G104),選手名簿!$A:$E,5,FALSE))=TRUE,"",VLOOKUP(CONCATENATE($F$62,"_",G104),選手名簿!$A:$E,5,FALSE))</f>
        <v/>
      </c>
      <c r="G104" s="246"/>
      <c r="H104" s="246"/>
      <c r="I104" s="246"/>
      <c r="J104" s="299"/>
      <c r="K104" s="246"/>
      <c r="L104" s="246"/>
      <c r="M104" s="246"/>
      <c r="N104" s="247" t="str">
        <f>IF(ISERROR(VLOOKUP(CONCATENATE($N$62,"_",M104),選手名簿!$A:$E,5,FALSE))=TRUE,"",VLOOKUP(CONCATENATE($N$62,"_",M104),選手名簿!$A:$E,5,FALSE))</f>
        <v/>
      </c>
      <c r="T104" s="244" t="s">
        <v>343</v>
      </c>
      <c r="U104" s="245" t="str">
        <f>IF(ISERROR(VLOOKUP(CONCATENATE($U$62,"_",V104),選手名簿!$A:$E,5,FALSE))=TRUE,"",VLOOKUP(CONCATENATE($U$62,"_",V104),選手名簿!$A:$E,5,FALSE))</f>
        <v/>
      </c>
      <c r="V104" s="246"/>
      <c r="W104" s="246"/>
      <c r="X104" s="246"/>
      <c r="Y104" s="299"/>
      <c r="Z104" s="246"/>
      <c r="AA104" s="246"/>
      <c r="AB104" s="246"/>
      <c r="AC104" s="247" t="str">
        <f>IF(ISERROR(VLOOKUP(CONCATENATE($AC$62,"_",AB104),選手名簿!$A:$E,5,FALSE))=TRUE,"",VLOOKUP(CONCATENATE($AC$62,"_",AB104),選手名簿!$A:$E,5,FALSE))</f>
        <v/>
      </c>
    </row>
    <row r="105" spans="1:29" ht="26.25" hidden="1" customHeight="1" x14ac:dyDescent="0.15">
      <c r="E105" s="244" t="s">
        <v>343</v>
      </c>
      <c r="F105" s="245" t="str">
        <f>IF(ISERROR(VLOOKUP(CONCATENATE($F$62,"_",G105),選手名簿!$A:$E,5,FALSE))=TRUE,"",VLOOKUP(CONCATENATE($F$62,"_",G105),選手名簿!$A:$E,5,FALSE))</f>
        <v/>
      </c>
      <c r="G105" s="246"/>
      <c r="H105" s="246"/>
      <c r="I105" s="246"/>
      <c r="J105" s="299"/>
      <c r="K105" s="246"/>
      <c r="L105" s="246"/>
      <c r="M105" s="246"/>
      <c r="N105" s="247" t="str">
        <f>IF(ISERROR(VLOOKUP(CONCATENATE($N$62,"_",M105),選手名簿!$A:$E,5,FALSE))=TRUE,"",VLOOKUP(CONCATENATE($N$62,"_",M105),選手名簿!$A:$E,5,FALSE))</f>
        <v/>
      </c>
      <c r="T105" s="244" t="s">
        <v>343</v>
      </c>
      <c r="U105" s="245" t="str">
        <f>IF(ISERROR(VLOOKUP(CONCATENATE($U$62,"_",V105),選手名簿!$A:$E,5,FALSE))=TRUE,"",VLOOKUP(CONCATENATE($U$62,"_",V105),選手名簿!$A:$E,5,FALSE))</f>
        <v/>
      </c>
      <c r="V105" s="246"/>
      <c r="W105" s="246"/>
      <c r="X105" s="246"/>
      <c r="Y105" s="299"/>
      <c r="Z105" s="246"/>
      <c r="AA105" s="246"/>
      <c r="AB105" s="246"/>
      <c r="AC105" s="247" t="str">
        <f>IF(ISERROR(VLOOKUP(CONCATENATE($AC$62,"_",AB105),選手名簿!$A:$E,5,FALSE))=TRUE,"",VLOOKUP(CONCATENATE($AC$62,"_",AB105),選手名簿!$A:$E,5,FALSE))</f>
        <v/>
      </c>
    </row>
    <row r="106" spans="1:29" ht="26.25" hidden="1" customHeight="1" x14ac:dyDescent="0.15">
      <c r="E106" s="244" t="s">
        <v>343</v>
      </c>
      <c r="F106" s="245" t="str">
        <f>IF(ISERROR(VLOOKUP(CONCATENATE($F$62,"_",G106),選手名簿!$A:$E,5,FALSE))=TRUE,"",VLOOKUP(CONCATENATE($F$62,"_",G106),選手名簿!$A:$E,5,FALSE))</f>
        <v/>
      </c>
      <c r="G106" s="246"/>
      <c r="H106" s="246"/>
      <c r="I106" s="246"/>
      <c r="J106" s="299"/>
      <c r="K106" s="246"/>
      <c r="L106" s="246"/>
      <c r="M106" s="246"/>
      <c r="N106" s="247" t="str">
        <f>IF(ISERROR(VLOOKUP(CONCATENATE($N$62,"_",M106),選手名簿!$A:$E,5,FALSE))=TRUE,"",VLOOKUP(CONCATENATE($N$62,"_",M106),選手名簿!$A:$E,5,FALSE))</f>
        <v/>
      </c>
      <c r="T106" s="244" t="s">
        <v>343</v>
      </c>
      <c r="U106" s="245" t="str">
        <f>IF(ISERROR(VLOOKUP(CONCATENATE($U$62,"_",V106),選手名簿!$A:$E,5,FALSE))=TRUE,"",VLOOKUP(CONCATENATE($U$62,"_",V106),選手名簿!$A:$E,5,FALSE))</f>
        <v/>
      </c>
      <c r="V106" s="246"/>
      <c r="W106" s="246"/>
      <c r="X106" s="246"/>
      <c r="Y106" s="299"/>
      <c r="Z106" s="246"/>
      <c r="AA106" s="246"/>
      <c r="AB106" s="246"/>
      <c r="AC106" s="247" t="str">
        <f>IF(ISERROR(VLOOKUP(CONCATENATE($AC$62,"_",AB106),選手名簿!$A:$E,5,FALSE))=TRUE,"",VLOOKUP(CONCATENATE($AC$62,"_",AB106),選手名簿!$A:$E,5,FALSE))</f>
        <v/>
      </c>
    </row>
    <row r="107" spans="1:29" ht="26.25" hidden="1" customHeight="1" x14ac:dyDescent="0.15">
      <c r="E107" s="301" t="s">
        <v>343</v>
      </c>
      <c r="F107" s="302" t="str">
        <f>IF(ISERROR(VLOOKUP(CONCATENATE($F$62,"_",G107),選手名簿!$A:$E,5,FALSE))=TRUE,"",VLOOKUP(CONCATENATE($F$62,"_",G107),選手名簿!$A:$E,5,FALSE))</f>
        <v/>
      </c>
      <c r="G107" s="303"/>
      <c r="H107" s="303"/>
      <c r="I107" s="303"/>
      <c r="J107" s="304"/>
      <c r="K107" s="303"/>
      <c r="L107" s="303"/>
      <c r="M107" s="303"/>
      <c r="N107" s="305" t="str">
        <f>IF(ISERROR(VLOOKUP(CONCATENATE($N$62,"_",M107),選手名簿!$A:$E,5,FALSE))=TRUE,"",VLOOKUP(CONCATENATE($N$62,"_",M107),選手名簿!$A:$E,5,FALSE))</f>
        <v/>
      </c>
      <c r="T107" s="301" t="s">
        <v>343</v>
      </c>
      <c r="U107" s="302" t="str">
        <f>IF(ISERROR(VLOOKUP(CONCATENATE($U$62,"_",V107),選手名簿!$A:$E,5,FALSE))=TRUE,"",VLOOKUP(CONCATENATE($U$62,"_",V107),選手名簿!$A:$E,5,FALSE))</f>
        <v/>
      </c>
      <c r="V107" s="303"/>
      <c r="W107" s="303"/>
      <c r="X107" s="303"/>
      <c r="Y107" s="304"/>
      <c r="Z107" s="303"/>
      <c r="AA107" s="303"/>
      <c r="AB107" s="303"/>
      <c r="AC107" s="305" t="str">
        <f>IF(ISERROR(VLOOKUP(CONCATENATE($AC$62,"_",AB107),選手名簿!$A:$E,5,FALSE))=TRUE,"",VLOOKUP(CONCATENATE($AC$62,"_",AB107),選手名簿!$A:$E,5,FALSE))</f>
        <v/>
      </c>
    </row>
    <row r="108" spans="1:29" ht="26.25" customHeight="1" thickTop="1" x14ac:dyDescent="0.15">
      <c r="A108" s="787" t="s">
        <v>341</v>
      </c>
      <c r="B108" s="787"/>
      <c r="C108" s="787"/>
      <c r="D108" s="788"/>
      <c r="E108" s="227"/>
      <c r="F108" s="228" t="s">
        <v>242</v>
      </c>
      <c r="G108" s="228" t="s">
        <v>342</v>
      </c>
      <c r="H108" s="228" t="s">
        <v>317</v>
      </c>
      <c r="I108" s="228"/>
      <c r="J108" s="297"/>
      <c r="K108" s="228"/>
      <c r="L108" s="228" t="s">
        <v>317</v>
      </c>
      <c r="M108" s="228" t="s">
        <v>342</v>
      </c>
      <c r="N108" s="230" t="s">
        <v>242</v>
      </c>
      <c r="P108" s="787" t="s">
        <v>341</v>
      </c>
      <c r="Q108" s="787"/>
      <c r="R108" s="787"/>
      <c r="S108" s="788"/>
      <c r="T108" s="227"/>
      <c r="U108" s="228" t="s">
        <v>242</v>
      </c>
      <c r="V108" s="228" t="s">
        <v>342</v>
      </c>
      <c r="W108" s="228" t="s">
        <v>317</v>
      </c>
      <c r="X108" s="228"/>
      <c r="Y108" s="297"/>
      <c r="Z108" s="228"/>
      <c r="AA108" s="228" t="s">
        <v>317</v>
      </c>
      <c r="AB108" s="228" t="s">
        <v>342</v>
      </c>
      <c r="AC108" s="230" t="s">
        <v>242</v>
      </c>
    </row>
    <row r="109" spans="1:29" ht="26.25" customHeight="1" x14ac:dyDescent="0.15">
      <c r="A109" s="241" t="s">
        <v>342</v>
      </c>
      <c r="B109" s="789"/>
      <c r="C109" s="789"/>
      <c r="D109" s="789"/>
      <c r="E109" s="244" t="s">
        <v>243</v>
      </c>
      <c r="F109" s="245" t="str">
        <f>IF(ISERROR(VLOOKUP(CONCATENATE($F$92,"_",G109),選手名簿!$A:$E,5,FALSE))=TRUE,"",VLOOKUP(CONCATENATE($F$92,"_",G109),選手名簿!$A:$E,5,FALSE))</f>
        <v/>
      </c>
      <c r="G109" s="246"/>
      <c r="H109" s="246"/>
      <c r="I109" s="246"/>
      <c r="J109" s="299"/>
      <c r="K109" s="246"/>
      <c r="L109" s="246"/>
      <c r="M109" s="246"/>
      <c r="N109" s="247" t="str">
        <f>IF(ISERROR(VLOOKUP(CONCATENATE($N$92,"_",M109),選手名簿!$A:$E,5,FALSE))=TRUE,"",VLOOKUP(CONCATENATE($N$92,"_",M109),選手名簿!$A:$E,5,FALSE))</f>
        <v/>
      </c>
      <c r="P109" s="241" t="s">
        <v>342</v>
      </c>
      <c r="Q109" s="789"/>
      <c r="R109" s="789"/>
      <c r="S109" s="789"/>
      <c r="T109" s="244" t="s">
        <v>243</v>
      </c>
      <c r="U109" s="245" t="str">
        <f>IF(ISERROR(VLOOKUP(CONCATENATE($U$92,"_",V109),選手名簿!$A:$E,5,FALSE))=TRUE,"",VLOOKUP(CONCATENATE($U$92,"_",V109),選手名簿!$A:$E,5,FALSE))</f>
        <v/>
      </c>
      <c r="V109" s="246"/>
      <c r="W109" s="246"/>
      <c r="X109" s="246"/>
      <c r="Y109" s="299"/>
      <c r="Z109" s="246"/>
      <c r="AA109" s="246"/>
      <c r="AB109" s="246"/>
      <c r="AC109" s="247" t="str">
        <f>IF(ISERROR(VLOOKUP(CONCATENATE($AC$92,"_",AB109),選手名簿!$A:$E,5,FALSE))=TRUE,"",VLOOKUP(CONCATENATE($AC$92,"_",AB109),選手名簿!$A:$E,5,FALSE))</f>
        <v/>
      </c>
    </row>
    <row r="110" spans="1:29" ht="26.25" customHeight="1" x14ac:dyDescent="0.15">
      <c r="A110" s="241" t="s">
        <v>344</v>
      </c>
      <c r="B110" s="790" t="str">
        <f>IF(ISERROR(VLOOKUP(B109,審判員!$A:$C,2,FALSE))=TRUE,"",VLOOKUP(B109,審判員!$A:$C,2,FALSE))</f>
        <v/>
      </c>
      <c r="C110" s="791"/>
      <c r="D110" s="242" t="str">
        <f>IF(ISERROR(VLOOKUP(B109,審判員!$A:$C,3,FALSE))=TRUE,"",VLOOKUP(B109,審判員!$A:$C,3,FALSE))</f>
        <v/>
      </c>
      <c r="E110" s="244" t="s">
        <v>243</v>
      </c>
      <c r="F110" s="245" t="str">
        <f>IF(ISERROR(VLOOKUP(CONCATENATE($F$92,"_",G110),選手名簿!$A:$E,5,FALSE))=TRUE,"",VLOOKUP(CONCATENATE($F$92,"_",G110),選手名簿!$A:$E,5,FALSE))</f>
        <v/>
      </c>
      <c r="G110" s="246"/>
      <c r="H110" s="246"/>
      <c r="I110" s="246"/>
      <c r="J110" s="299"/>
      <c r="K110" s="246"/>
      <c r="L110" s="246"/>
      <c r="M110" s="246"/>
      <c r="N110" s="247" t="str">
        <f>IF(ISERROR(VLOOKUP(CONCATENATE($N$92,"_",M110),選手名簿!$A:$E,5,FALSE))=TRUE,"",VLOOKUP(CONCATENATE($N$92,"_",M110),選手名簿!$A:$E,5,FALSE))</f>
        <v/>
      </c>
      <c r="P110" s="241" t="s">
        <v>344</v>
      </c>
      <c r="Q110" s="790" t="str">
        <f>IF(ISERROR(VLOOKUP(Q109,審判員!$A:$C,2,FALSE))=TRUE,"",VLOOKUP(Q109,審判員!$A:$C,2,FALSE))</f>
        <v/>
      </c>
      <c r="R110" s="791"/>
      <c r="S110" s="242" t="str">
        <f>IF(ISERROR(VLOOKUP(Q109,審判員!$A:$C,3,FALSE))=TRUE,"",VLOOKUP(Q109,審判員!$A:$C,3,FALSE))</f>
        <v/>
      </c>
      <c r="T110" s="244" t="s">
        <v>243</v>
      </c>
      <c r="U110" s="245" t="str">
        <f>IF(ISERROR(VLOOKUP(CONCATENATE($U$92,"_",V110),選手名簿!$A:$E,5,FALSE))=TRUE,"",VLOOKUP(CONCATENATE($U$92,"_",V110),選手名簿!$A:$E,5,FALSE))</f>
        <v/>
      </c>
      <c r="V110" s="246"/>
      <c r="W110" s="246"/>
      <c r="X110" s="246"/>
      <c r="Y110" s="299"/>
      <c r="Z110" s="246"/>
      <c r="AA110" s="246"/>
      <c r="AB110" s="246"/>
      <c r="AC110" s="247" t="str">
        <f>IF(ISERROR(VLOOKUP(CONCATENATE($AC$92,"_",AB110),選手名簿!$A:$E,5,FALSE))=TRUE,"",VLOOKUP(CONCATENATE($AC$92,"_",AB110),選手名簿!$A:$E,5,FALSE))</f>
        <v/>
      </c>
    </row>
    <row r="111" spans="1:29" ht="26.25" customHeight="1" x14ac:dyDescent="0.15">
      <c r="A111" s="241" t="s">
        <v>342</v>
      </c>
      <c r="B111" s="789"/>
      <c r="C111" s="789"/>
      <c r="D111" s="789"/>
      <c r="E111" s="244" t="s">
        <v>243</v>
      </c>
      <c r="F111" s="245" t="str">
        <f>IF(ISERROR(VLOOKUP(CONCATENATE($F$92,"_",G111),選手名簿!$A:$E,5,FALSE))=TRUE,"",VLOOKUP(CONCATENATE($F$92,"_",G111),選手名簿!$A:$E,5,FALSE))</f>
        <v/>
      </c>
      <c r="G111" s="246"/>
      <c r="H111" s="246"/>
      <c r="I111" s="246"/>
      <c r="J111" s="299"/>
      <c r="K111" s="246"/>
      <c r="L111" s="246"/>
      <c r="M111" s="246"/>
      <c r="N111" s="247" t="str">
        <f>IF(ISERROR(VLOOKUP(CONCATENATE($N$92,"_",M111),選手名簿!$A:$E,5,FALSE))=TRUE,"",VLOOKUP(CONCATENATE($N$92,"_",M111),選手名簿!$A:$E,5,FALSE))</f>
        <v/>
      </c>
      <c r="P111" s="307" t="s">
        <v>342</v>
      </c>
      <c r="Q111" s="871"/>
      <c r="R111" s="871"/>
      <c r="S111" s="872"/>
      <c r="T111" s="244" t="s">
        <v>243</v>
      </c>
      <c r="U111" s="245" t="str">
        <f>IF(ISERROR(VLOOKUP(CONCATENATE($U$92,"_",V111),選手名簿!$A:$E,5,FALSE))=TRUE,"",VLOOKUP(CONCATENATE($U$92,"_",V111),選手名簿!$A:$E,5,FALSE))</f>
        <v/>
      </c>
      <c r="V111" s="246"/>
      <c r="W111" s="246"/>
      <c r="X111" s="246"/>
      <c r="Y111" s="299"/>
      <c r="Z111" s="246"/>
      <c r="AA111" s="246"/>
      <c r="AB111" s="246"/>
      <c r="AC111" s="247" t="str">
        <f>IF(ISERROR(VLOOKUP(CONCATENATE($AC$92,"_",AB111),選手名簿!$A:$E,5,FALSE))=TRUE,"",VLOOKUP(CONCATENATE($AC$92,"_",AB111),選手名簿!$A:$E,5,FALSE))</f>
        <v/>
      </c>
    </row>
    <row r="112" spans="1:29" ht="26.25" customHeight="1" x14ac:dyDescent="0.15">
      <c r="A112" s="241" t="s">
        <v>345</v>
      </c>
      <c r="B112" s="790" t="str">
        <f>IF(ISERROR(VLOOKUP(B111,審判員!$A:$C,2,FALSE))=TRUE,"",VLOOKUP(B111,審判員!$A:$C,2,FALSE))</f>
        <v/>
      </c>
      <c r="C112" s="791"/>
      <c r="D112" s="242" t="str">
        <f>IF(ISERROR(VLOOKUP(B111,審判員!$A:$C,3,FALSE))=TRUE,"",VLOOKUP(B111,審判員!$A:$C,3,FALSE))</f>
        <v/>
      </c>
      <c r="E112" s="244" t="s">
        <v>243</v>
      </c>
      <c r="F112" s="245" t="str">
        <f>IF(ISERROR(VLOOKUP(CONCATENATE($F$92,"_",G112),選手名簿!$A:$E,5,FALSE))=TRUE,"",VLOOKUP(CONCATENATE($F$92,"_",G112),選手名簿!$A:$E,5,FALSE))</f>
        <v/>
      </c>
      <c r="G112" s="246"/>
      <c r="H112" s="246"/>
      <c r="I112" s="246"/>
      <c r="J112" s="299"/>
      <c r="K112" s="246"/>
      <c r="L112" s="246"/>
      <c r="M112" s="246"/>
      <c r="N112" s="247" t="str">
        <f>IF(ISERROR(VLOOKUP(CONCATENATE($N$92,"_",M112),選手名簿!$A:$E,5,FALSE))=TRUE,"",VLOOKUP(CONCATENATE($N$92,"_",M112),選手名簿!$A:$E,5,FALSE))</f>
        <v/>
      </c>
      <c r="P112" s="307" t="s">
        <v>345</v>
      </c>
      <c r="Q112" s="873" t="str">
        <f>IF(ISERROR(VLOOKUP(Q111,審判員!$A:$C,2,FALSE))=TRUE,"",VLOOKUP(Q111,審判員!$A:$C,2,FALSE))</f>
        <v/>
      </c>
      <c r="R112" s="874"/>
      <c r="S112" s="307" t="str">
        <f>IF(ISERROR(VLOOKUP(Q111,審判員!$A:$C,3,FALSE))=TRUE,"",VLOOKUP(Q111,審判員!$A:$C,3,FALSE))</f>
        <v/>
      </c>
      <c r="T112" s="244" t="s">
        <v>243</v>
      </c>
      <c r="U112" s="245" t="str">
        <f>IF(ISERROR(VLOOKUP(CONCATENATE($U$92,"_",V112),選手名簿!$A:$E,5,FALSE))=TRUE,"",VLOOKUP(CONCATENATE($U$92,"_",V112),選手名簿!$A:$E,5,FALSE))</f>
        <v/>
      </c>
      <c r="V112" s="246"/>
      <c r="W112" s="246"/>
      <c r="X112" s="246"/>
      <c r="Y112" s="299"/>
      <c r="Z112" s="246"/>
      <c r="AA112" s="246"/>
      <c r="AB112" s="246"/>
      <c r="AC112" s="247" t="str">
        <f>IF(ISERROR(VLOOKUP(CONCATENATE($AC$92,"_",AB112),選手名簿!$A:$E,5,FALSE))=TRUE,"",VLOOKUP(CONCATENATE($AC$92,"_",AB112),選手名簿!$A:$E,5,FALSE))</f>
        <v/>
      </c>
    </row>
    <row r="113" spans="1:29" ht="26.25" customHeight="1" x14ac:dyDescent="0.15">
      <c r="A113" s="241" t="s">
        <v>342</v>
      </c>
      <c r="B113" s="789"/>
      <c r="C113" s="789"/>
      <c r="D113" s="789"/>
      <c r="E113" s="244" t="s">
        <v>243</v>
      </c>
      <c r="F113" s="245" t="str">
        <f>IF(ISERROR(VLOOKUP(CONCATENATE($F$92,"_",G113),選手名簿!$A:$E,5,FALSE))=TRUE,"",VLOOKUP(CONCATENATE($F$92,"_",G113),選手名簿!$A:$E,5,FALSE))</f>
        <v/>
      </c>
      <c r="G113" s="246"/>
      <c r="H113" s="246"/>
      <c r="I113" s="246"/>
      <c r="J113" s="299"/>
      <c r="K113" s="246"/>
      <c r="L113" s="246"/>
      <c r="M113" s="246"/>
      <c r="N113" s="247" t="str">
        <f>IF(ISERROR(VLOOKUP(CONCATENATE($N$92,"_",M113),選手名簿!$A:$E,5,FALSE))=TRUE,"",VLOOKUP(CONCATENATE($N$92,"_",M113),選手名簿!$A:$E,5,FALSE))</f>
        <v/>
      </c>
      <c r="P113" s="307" t="s">
        <v>342</v>
      </c>
      <c r="Q113" s="871"/>
      <c r="R113" s="871"/>
      <c r="S113" s="872"/>
      <c r="T113" s="244" t="s">
        <v>243</v>
      </c>
      <c r="U113" s="245" t="str">
        <f>IF(ISERROR(VLOOKUP(CONCATENATE($U$92,"_",V113),選手名簿!$A:$E,5,FALSE))=TRUE,"",VLOOKUP(CONCATENATE($U$92,"_",V113),選手名簿!$A:$E,5,FALSE))</f>
        <v/>
      </c>
      <c r="V113" s="246"/>
      <c r="W113" s="246"/>
      <c r="X113" s="246"/>
      <c r="Y113" s="299"/>
      <c r="Z113" s="246"/>
      <c r="AA113" s="246"/>
      <c r="AB113" s="246"/>
      <c r="AC113" s="247" t="str">
        <f>IF(ISERROR(VLOOKUP(CONCATENATE($AC$92,"_",AB113),選手名簿!$A:$E,5,FALSE))=TRUE,"",VLOOKUP(CONCATENATE($AC$92,"_",AB113),選手名簿!$A:$E,5,FALSE))</f>
        <v/>
      </c>
    </row>
    <row r="114" spans="1:29" ht="26.25" customHeight="1" x14ac:dyDescent="0.15">
      <c r="A114" s="241" t="s">
        <v>346</v>
      </c>
      <c r="B114" s="790" t="str">
        <f>IF(ISERROR(VLOOKUP(B113,審判員!$A:$C,2,FALSE))=TRUE,"",VLOOKUP(B113,審判員!$A:$C,2,FALSE))</f>
        <v/>
      </c>
      <c r="C114" s="791"/>
      <c r="D114" s="242" t="str">
        <f>IF(ISERROR(VLOOKUP(B113,審判員!$A:$C,3,FALSE))=TRUE,"",VLOOKUP(B113,審判員!$A:$C,3,FALSE))</f>
        <v/>
      </c>
      <c r="E114" s="244" t="s">
        <v>243</v>
      </c>
      <c r="F114" s="245" t="str">
        <f>IF(ISERROR(VLOOKUP(CONCATENATE($F$92,"_",G114),選手名簿!$A:$E,5,FALSE))=TRUE,"",VLOOKUP(CONCATENATE($F$92,"_",G114),選手名簿!$A:$E,5,FALSE))</f>
        <v/>
      </c>
      <c r="G114" s="246"/>
      <c r="H114" s="246"/>
      <c r="I114" s="246"/>
      <c r="J114" s="299"/>
      <c r="K114" s="246"/>
      <c r="L114" s="246"/>
      <c r="M114" s="246"/>
      <c r="N114" s="247" t="str">
        <f>IF(ISERROR(VLOOKUP(CONCATENATE($N$92,"_",M114),選手名簿!$A:$E,5,FALSE))=TRUE,"",VLOOKUP(CONCATENATE($N$92,"_",M114),選手名簿!$A:$E,5,FALSE))</f>
        <v/>
      </c>
      <c r="P114" s="307" t="s">
        <v>346</v>
      </c>
      <c r="Q114" s="873" t="str">
        <f>IF(ISERROR(VLOOKUP(Q113,審判員!$A:$C,2,FALSE))=TRUE,"",VLOOKUP(Q113,審判員!$A:$C,2,FALSE))</f>
        <v/>
      </c>
      <c r="R114" s="874"/>
      <c r="S114" s="307" t="str">
        <f>IF(ISERROR(VLOOKUP(Q113,審判員!$A:$C,3,FALSE))=TRUE,"",VLOOKUP(Q113,審判員!$A:$C,3,FALSE))</f>
        <v/>
      </c>
      <c r="T114" s="244" t="s">
        <v>243</v>
      </c>
      <c r="U114" s="245" t="str">
        <f>IF(ISERROR(VLOOKUP(CONCATENATE($U$92,"_",V114),選手名簿!$A:$E,5,FALSE))=TRUE,"",VLOOKUP(CONCATENATE($U$92,"_",V114),選手名簿!$A:$E,5,FALSE))</f>
        <v/>
      </c>
      <c r="V114" s="246"/>
      <c r="W114" s="246"/>
      <c r="X114" s="246"/>
      <c r="Y114" s="299"/>
      <c r="Z114" s="246"/>
      <c r="AA114" s="246"/>
      <c r="AB114" s="246"/>
      <c r="AC114" s="247" t="str">
        <f>IF(ISERROR(VLOOKUP(CONCATENATE($AC$92,"_",AB114),選手名簿!$A:$E,5,FALSE))=TRUE,"",VLOOKUP(CONCATENATE($AC$92,"_",AB114),選手名簿!$A:$E,5,FALSE))</f>
        <v/>
      </c>
    </row>
    <row r="115" spans="1:29" ht="26.25" customHeight="1" x14ac:dyDescent="0.15">
      <c r="A115" s="241" t="s">
        <v>342</v>
      </c>
      <c r="B115" s="789"/>
      <c r="C115" s="789"/>
      <c r="D115" s="789"/>
      <c r="E115" s="244" t="s">
        <v>243</v>
      </c>
      <c r="F115" s="245" t="str">
        <f>IF(ISERROR(VLOOKUP(CONCATENATE($F$92,"_",G115),選手名簿!$A:$E,5,FALSE))=TRUE,"",VLOOKUP(CONCATENATE($F$92,"_",G115),選手名簿!$A:$E,5,FALSE))</f>
        <v/>
      </c>
      <c r="G115" s="246"/>
      <c r="H115" s="246"/>
      <c r="I115" s="246"/>
      <c r="J115" s="299"/>
      <c r="K115" s="246"/>
      <c r="L115" s="246"/>
      <c r="M115" s="246"/>
      <c r="N115" s="247" t="str">
        <f>IF(ISERROR(VLOOKUP(CONCATENATE($N$92,"_",M115),選手名簿!$A:$E,5,FALSE))=TRUE,"",VLOOKUP(CONCATENATE($N$92,"_",M115),選手名簿!$A:$E,5,FALSE))</f>
        <v/>
      </c>
      <c r="P115" s="241" t="s">
        <v>342</v>
      </c>
      <c r="Q115" s="789"/>
      <c r="R115" s="789"/>
      <c r="S115" s="789"/>
      <c r="T115" s="244" t="s">
        <v>243</v>
      </c>
      <c r="U115" s="245" t="str">
        <f>IF(ISERROR(VLOOKUP(CONCATENATE($U$92,"_",V115),選手名簿!$A:$E,5,FALSE))=TRUE,"",VLOOKUP(CONCATENATE($U$92,"_",V115),選手名簿!$A:$E,5,FALSE))</f>
        <v/>
      </c>
      <c r="V115" s="246"/>
      <c r="W115" s="246"/>
      <c r="X115" s="246"/>
      <c r="Y115" s="299"/>
      <c r="Z115" s="246"/>
      <c r="AA115" s="246"/>
      <c r="AB115" s="246"/>
      <c r="AC115" s="247" t="str">
        <f>IF(ISERROR(VLOOKUP(CONCATENATE($AC$92,"_",AB115),選手名簿!$A:$E,5,FALSE))=TRUE,"",VLOOKUP(CONCATENATE($AC$92,"_",AB115),選手名簿!$A:$E,5,FALSE))</f>
        <v/>
      </c>
    </row>
    <row r="116" spans="1:29" ht="26.25" customHeight="1" thickBot="1" x14ac:dyDescent="0.2">
      <c r="A116" s="241" t="s">
        <v>347</v>
      </c>
      <c r="B116" s="790" t="str">
        <f>IF(ISERROR(VLOOKUP(B115,審判員!$A:$C,2,FALSE))=TRUE,"",VLOOKUP(B115,審判員!$A:$C,2,FALSE))</f>
        <v/>
      </c>
      <c r="C116" s="791"/>
      <c r="D116" s="242" t="str">
        <f>IF(ISERROR(VLOOKUP(B115,審判員!$A:$C,3,FALSE))=TRUE,"",VLOOKUP(B115,審判員!$A:$C,3,FALSE))</f>
        <v/>
      </c>
      <c r="E116" s="248" t="s">
        <v>243</v>
      </c>
      <c r="F116" s="249" t="str">
        <f>IF(ISERROR(VLOOKUP(CONCATENATE($F$92,"_",G116),選手名簿!$A:$E,5,FALSE))=TRUE,"",VLOOKUP(CONCATENATE($F$92,"_",G116),選手名簿!$A:$E,5,FALSE))</f>
        <v/>
      </c>
      <c r="G116" s="250"/>
      <c r="H116" s="250"/>
      <c r="I116" s="250"/>
      <c r="J116" s="306"/>
      <c r="K116" s="250"/>
      <c r="L116" s="250"/>
      <c r="M116" s="250"/>
      <c r="N116" s="251" t="str">
        <f>IF(ISERROR(VLOOKUP(CONCATENATE($N$92,"_",M116),選手名簿!$A:$E,5,FALSE))=TRUE,"",VLOOKUP(CONCATENATE($N$92,"_",M116),選手名簿!$A:$E,5,FALSE))</f>
        <v/>
      </c>
      <c r="P116" s="241" t="s">
        <v>347</v>
      </c>
      <c r="Q116" s="790" t="str">
        <f>IF(ISERROR(VLOOKUP(Q115,審判員!$A:$C,2,FALSE))=TRUE,"",VLOOKUP(Q115,審判員!$A:$C,2,FALSE))</f>
        <v/>
      </c>
      <c r="R116" s="791"/>
      <c r="S116" s="242" t="str">
        <f>IF(ISERROR(VLOOKUP(Q115,審判員!$A:$C,3,FALSE))=TRUE,"",VLOOKUP(Q115,審判員!$A:$C,3,FALSE))</f>
        <v/>
      </c>
      <c r="T116" s="248" t="s">
        <v>243</v>
      </c>
      <c r="U116" s="249" t="str">
        <f>IF(ISERROR(VLOOKUP(CONCATENATE($U$92,"_",V116),選手名簿!$A:$E,5,FALSE))=TRUE,"",VLOOKUP(CONCATENATE($U$92,"_",V116),選手名簿!$A:$E,5,FALSE))</f>
        <v/>
      </c>
      <c r="V116" s="250"/>
      <c r="W116" s="250"/>
      <c r="X116" s="250"/>
      <c r="Y116" s="306"/>
      <c r="Z116" s="250"/>
      <c r="AA116" s="250"/>
      <c r="AB116" s="250"/>
      <c r="AC116" s="251" t="str">
        <f>IF(ISERROR(VLOOKUP(CONCATENATE($AC$92,"_",AB116),選手名簿!$A:$E,5,FALSE))=TRUE,"",VLOOKUP(CONCATENATE($AC$92,"_",AB116),選手名簿!$A:$E,5,FALSE))</f>
        <v/>
      </c>
    </row>
  </sheetData>
  <mergeCells count="156">
    <mergeCell ref="Q113:S113"/>
    <mergeCell ref="B113:D113"/>
    <mergeCell ref="Q114:R114"/>
    <mergeCell ref="B114:C114"/>
    <mergeCell ref="Q115:S115"/>
    <mergeCell ref="B115:D115"/>
    <mergeCell ref="Q116:R116"/>
    <mergeCell ref="B116:C116"/>
    <mergeCell ref="P108:S108"/>
    <mergeCell ref="A108:D108"/>
    <mergeCell ref="Q109:S109"/>
    <mergeCell ref="B109:D109"/>
    <mergeCell ref="Q110:R110"/>
    <mergeCell ref="B110:C110"/>
    <mergeCell ref="Q111:S111"/>
    <mergeCell ref="B111:D111"/>
    <mergeCell ref="Q112:R112"/>
    <mergeCell ref="B112:C112"/>
    <mergeCell ref="Q86:R86"/>
    <mergeCell ref="B86:C86"/>
    <mergeCell ref="Q92:S92"/>
    <mergeCell ref="E92:E94"/>
    <mergeCell ref="F92:F94"/>
    <mergeCell ref="G92:G94"/>
    <mergeCell ref="H92:H94"/>
    <mergeCell ref="L92:L94"/>
    <mergeCell ref="M92:M94"/>
    <mergeCell ref="N92:N94"/>
    <mergeCell ref="Q93:S93"/>
    <mergeCell ref="B93:D93"/>
    <mergeCell ref="Q94:S94"/>
    <mergeCell ref="B94:D94"/>
    <mergeCell ref="T92:T94"/>
    <mergeCell ref="U92:U94"/>
    <mergeCell ref="V92:V94"/>
    <mergeCell ref="W92:W94"/>
    <mergeCell ref="AA92:AA94"/>
    <mergeCell ref="AB92:AB94"/>
    <mergeCell ref="AC92:AC94"/>
    <mergeCell ref="B92:D92"/>
    <mergeCell ref="P78:S78"/>
    <mergeCell ref="A78:D78"/>
    <mergeCell ref="Q79:S79"/>
    <mergeCell ref="B79:D79"/>
    <mergeCell ref="Q80:R80"/>
    <mergeCell ref="B80:C80"/>
    <mergeCell ref="Q81:S81"/>
    <mergeCell ref="B81:D81"/>
    <mergeCell ref="Q82:R82"/>
    <mergeCell ref="B82:C82"/>
    <mergeCell ref="Q83:S83"/>
    <mergeCell ref="B83:D83"/>
    <mergeCell ref="Q84:R84"/>
    <mergeCell ref="B84:C84"/>
    <mergeCell ref="Q85:S85"/>
    <mergeCell ref="B85:D85"/>
    <mergeCell ref="B56:C56"/>
    <mergeCell ref="Q56:R56"/>
    <mergeCell ref="Q62:S62"/>
    <mergeCell ref="E62:E64"/>
    <mergeCell ref="F62:F64"/>
    <mergeCell ref="G62:G64"/>
    <mergeCell ref="H62:H64"/>
    <mergeCell ref="L62:L64"/>
    <mergeCell ref="M62:M64"/>
    <mergeCell ref="N62:N64"/>
    <mergeCell ref="Q63:S63"/>
    <mergeCell ref="B63:D63"/>
    <mergeCell ref="Q64:S64"/>
    <mergeCell ref="B64:D64"/>
    <mergeCell ref="T62:T64"/>
    <mergeCell ref="U62:U64"/>
    <mergeCell ref="V62:V64"/>
    <mergeCell ref="W62:W64"/>
    <mergeCell ref="AA62:AA64"/>
    <mergeCell ref="AB62:AB64"/>
    <mergeCell ref="AC62:AC64"/>
    <mergeCell ref="B62:D62"/>
    <mergeCell ref="A48:D48"/>
    <mergeCell ref="P48:S48"/>
    <mergeCell ref="B49:D49"/>
    <mergeCell ref="Q49:S49"/>
    <mergeCell ref="B50:C50"/>
    <mergeCell ref="Q50:R50"/>
    <mergeCell ref="B51:D51"/>
    <mergeCell ref="Q51:S51"/>
    <mergeCell ref="B52:C52"/>
    <mergeCell ref="Q52:R52"/>
    <mergeCell ref="B53:D53"/>
    <mergeCell ref="Q53:S53"/>
    <mergeCell ref="B54:C54"/>
    <mergeCell ref="Q54:R54"/>
    <mergeCell ref="B55:D55"/>
    <mergeCell ref="Q55:S55"/>
    <mergeCell ref="T34:T36"/>
    <mergeCell ref="U34:U36"/>
    <mergeCell ref="V34:V36"/>
    <mergeCell ref="W34:W36"/>
    <mergeCell ref="AA34:AA36"/>
    <mergeCell ref="AB34:AB36"/>
    <mergeCell ref="AC34:AC36"/>
    <mergeCell ref="B35:D35"/>
    <mergeCell ref="Q35:S35"/>
    <mergeCell ref="B36:D36"/>
    <mergeCell ref="Q36:S36"/>
    <mergeCell ref="B25:D25"/>
    <mergeCell ref="Q25:S25"/>
    <mergeCell ref="B26:C26"/>
    <mergeCell ref="Q26:R26"/>
    <mergeCell ref="B27:D27"/>
    <mergeCell ref="Q27:S27"/>
    <mergeCell ref="B28:C28"/>
    <mergeCell ref="Q28:R28"/>
    <mergeCell ref="B34:D34"/>
    <mergeCell ref="E34:E36"/>
    <mergeCell ref="F34:F36"/>
    <mergeCell ref="G34:G36"/>
    <mergeCell ref="H34:H36"/>
    <mergeCell ref="L34:L36"/>
    <mergeCell ref="M34:M36"/>
    <mergeCell ref="N34:N36"/>
    <mergeCell ref="Q34:S34"/>
    <mergeCell ref="A20:D20"/>
    <mergeCell ref="P20:S20"/>
    <mergeCell ref="B21:D21"/>
    <mergeCell ref="Q21:S21"/>
    <mergeCell ref="B22:C22"/>
    <mergeCell ref="Q22:R22"/>
    <mergeCell ref="B23:D23"/>
    <mergeCell ref="Q23:S23"/>
    <mergeCell ref="B24:C24"/>
    <mergeCell ref="Q24:R24"/>
    <mergeCell ref="A1:J1"/>
    <mergeCell ref="K1:N1"/>
    <mergeCell ref="P1:Y1"/>
    <mergeCell ref="Z1:AC1"/>
    <mergeCell ref="B6:D6"/>
    <mergeCell ref="E6:E8"/>
    <mergeCell ref="F6:F8"/>
    <mergeCell ref="G6:G8"/>
    <mergeCell ref="H6:H8"/>
    <mergeCell ref="L6:L8"/>
    <mergeCell ref="M6:M8"/>
    <mergeCell ref="N6:N8"/>
    <mergeCell ref="Q6:S6"/>
    <mergeCell ref="T6:T8"/>
    <mergeCell ref="U6:U8"/>
    <mergeCell ref="V6:V8"/>
    <mergeCell ref="W6:W8"/>
    <mergeCell ref="AA6:AA8"/>
    <mergeCell ref="AB6:AB8"/>
    <mergeCell ref="AC6:AC8"/>
    <mergeCell ref="B7:D7"/>
    <mergeCell ref="Q7:S7"/>
    <mergeCell ref="B8:D8"/>
    <mergeCell ref="Q8:S8"/>
  </mergeCells>
  <phoneticPr fontId="77"/>
  <pageMargins left="0" right="0" top="0" bottom="0" header="0.51181102362204722" footer="0.51181102362204722"/>
  <pageSetup paperSize="9" orientation="landscape"/>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C00-000000000000}">
          <x14:formula1>
            <xm:f>項目!$G$1:$G$33</xm:f>
          </x14:formula1>
          <xm:sqref>B6:D8 Q92:S94 B92:D94 Q62:S64 B62:D64 B34:D36 Q34:S36 Q6:S8</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pageSetUpPr fitToPage="1"/>
  </sheetPr>
  <dimension ref="A1:BD73"/>
  <sheetViews>
    <sheetView showGridLines="0" zoomScale="70" workbookViewId="0">
      <selection activeCell="M1" sqref="M1"/>
    </sheetView>
  </sheetViews>
  <sheetFormatPr defaultColWidth="3.875" defaultRowHeight="13.5" x14ac:dyDescent="0.15"/>
  <cols>
    <col min="1" max="41" width="3.875" style="308" customWidth="1"/>
    <col min="42" max="43" width="8.5" style="309" customWidth="1"/>
    <col min="44" max="44" width="15.625" style="309" customWidth="1"/>
    <col min="45" max="46" width="8.5" style="309" customWidth="1"/>
    <col min="47" max="49" width="3.5" style="308" customWidth="1"/>
    <col min="50" max="50" width="8.5" style="308" customWidth="1"/>
    <col min="51" max="51" width="15.625" style="309" customWidth="1"/>
    <col min="52" max="53" width="8.5" style="309" customWidth="1"/>
    <col min="54" max="57" width="8.5" style="308" customWidth="1"/>
    <col min="58" max="256" width="3.875" style="308"/>
    <col min="257" max="297" width="3.875" style="308" customWidth="1"/>
    <col min="298" max="309" width="0" style="308" hidden="1" customWidth="1"/>
    <col min="310" max="313" width="8.5" style="308" customWidth="1"/>
    <col min="314" max="512" width="3.875" style="308"/>
    <col min="513" max="553" width="3.875" style="308" customWidth="1"/>
    <col min="554" max="565" width="0" style="308" hidden="1" customWidth="1"/>
    <col min="566" max="569" width="8.5" style="308" customWidth="1"/>
    <col min="570" max="768" width="3.875" style="308"/>
    <col min="769" max="809" width="3.875" style="308" customWidth="1"/>
    <col min="810" max="821" width="0" style="308" hidden="1" customWidth="1"/>
    <col min="822" max="825" width="8.5" style="308" customWidth="1"/>
    <col min="826" max="1024" width="3.875" style="308"/>
    <col min="1025" max="1065" width="3.875" style="308" customWidth="1"/>
    <col min="1066" max="1077" width="0" style="308" hidden="1" customWidth="1"/>
    <col min="1078" max="1081" width="8.5" style="308" customWidth="1"/>
    <col min="1082" max="1280" width="3.875" style="308"/>
    <col min="1281" max="1321" width="3.875" style="308" customWidth="1"/>
    <col min="1322" max="1333" width="0" style="308" hidden="1" customWidth="1"/>
    <col min="1334" max="1337" width="8.5" style="308" customWidth="1"/>
    <col min="1338" max="1536" width="3.875" style="308"/>
    <col min="1537" max="1577" width="3.875" style="308" customWidth="1"/>
    <col min="1578" max="1589" width="0" style="308" hidden="1" customWidth="1"/>
    <col min="1590" max="1593" width="8.5" style="308" customWidth="1"/>
    <col min="1594" max="1792" width="3.875" style="308"/>
    <col min="1793" max="1833" width="3.875" style="308" customWidth="1"/>
    <col min="1834" max="1845" width="0" style="308" hidden="1" customWidth="1"/>
    <col min="1846" max="1849" width="8.5" style="308" customWidth="1"/>
    <col min="1850" max="2048" width="3.875" style="308"/>
    <col min="2049" max="2089" width="3.875" style="308" customWidth="1"/>
    <col min="2090" max="2101" width="0" style="308" hidden="1" customWidth="1"/>
    <col min="2102" max="2105" width="8.5" style="308" customWidth="1"/>
    <col min="2106" max="2304" width="3.875" style="308"/>
    <col min="2305" max="2345" width="3.875" style="308" customWidth="1"/>
    <col min="2346" max="2357" width="0" style="308" hidden="1" customWidth="1"/>
    <col min="2358" max="2361" width="8.5" style="308" customWidth="1"/>
    <col min="2362" max="2560" width="3.875" style="308"/>
    <col min="2561" max="2601" width="3.875" style="308" customWidth="1"/>
    <col min="2602" max="2613" width="0" style="308" hidden="1" customWidth="1"/>
    <col min="2614" max="2617" width="8.5" style="308" customWidth="1"/>
    <col min="2618" max="2816" width="3.875" style="308"/>
    <col min="2817" max="2857" width="3.875" style="308" customWidth="1"/>
    <col min="2858" max="2869" width="0" style="308" hidden="1" customWidth="1"/>
    <col min="2870" max="2873" width="8.5" style="308" customWidth="1"/>
    <col min="2874" max="3072" width="3.875" style="308"/>
    <col min="3073" max="3113" width="3.875" style="308" customWidth="1"/>
    <col min="3114" max="3125" width="0" style="308" hidden="1" customWidth="1"/>
    <col min="3126" max="3129" width="8.5" style="308" customWidth="1"/>
    <col min="3130" max="3328" width="3.875" style="308"/>
    <col min="3329" max="3369" width="3.875" style="308" customWidth="1"/>
    <col min="3370" max="3381" width="0" style="308" hidden="1" customWidth="1"/>
    <col min="3382" max="3385" width="8.5" style="308" customWidth="1"/>
    <col min="3386" max="3584" width="3.875" style="308"/>
    <col min="3585" max="3625" width="3.875" style="308" customWidth="1"/>
    <col min="3626" max="3637" width="0" style="308" hidden="1" customWidth="1"/>
    <col min="3638" max="3641" width="8.5" style="308" customWidth="1"/>
    <col min="3642" max="3840" width="3.875" style="308"/>
    <col min="3841" max="3881" width="3.875" style="308" customWidth="1"/>
    <col min="3882" max="3893" width="0" style="308" hidden="1" customWidth="1"/>
    <col min="3894" max="3897" width="8.5" style="308" customWidth="1"/>
    <col min="3898" max="4096" width="3.875" style="308"/>
    <col min="4097" max="4137" width="3.875" style="308" customWidth="1"/>
    <col min="4138" max="4149" width="0" style="308" hidden="1" customWidth="1"/>
    <col min="4150" max="4153" width="8.5" style="308" customWidth="1"/>
    <col min="4154" max="4352" width="3.875" style="308"/>
    <col min="4353" max="4393" width="3.875" style="308" customWidth="1"/>
    <col min="4394" max="4405" width="0" style="308" hidden="1" customWidth="1"/>
    <col min="4406" max="4409" width="8.5" style="308" customWidth="1"/>
    <col min="4410" max="4608" width="3.875" style="308"/>
    <col min="4609" max="4649" width="3.875" style="308" customWidth="1"/>
    <col min="4650" max="4661" width="0" style="308" hidden="1" customWidth="1"/>
    <col min="4662" max="4665" width="8.5" style="308" customWidth="1"/>
    <col min="4666" max="4864" width="3.875" style="308"/>
    <col min="4865" max="4905" width="3.875" style="308" customWidth="1"/>
    <col min="4906" max="4917" width="0" style="308" hidden="1" customWidth="1"/>
    <col min="4918" max="4921" width="8.5" style="308" customWidth="1"/>
    <col min="4922" max="5120" width="3.875" style="308"/>
    <col min="5121" max="5161" width="3.875" style="308" customWidth="1"/>
    <col min="5162" max="5173" width="0" style="308" hidden="1" customWidth="1"/>
    <col min="5174" max="5177" width="8.5" style="308" customWidth="1"/>
    <col min="5178" max="5376" width="3.875" style="308"/>
    <col min="5377" max="5417" width="3.875" style="308" customWidth="1"/>
    <col min="5418" max="5429" width="0" style="308" hidden="1" customWidth="1"/>
    <col min="5430" max="5433" width="8.5" style="308" customWidth="1"/>
    <col min="5434" max="5632" width="3.875" style="308"/>
    <col min="5633" max="5673" width="3.875" style="308" customWidth="1"/>
    <col min="5674" max="5685" width="0" style="308" hidden="1" customWidth="1"/>
    <col min="5686" max="5689" width="8.5" style="308" customWidth="1"/>
    <col min="5690" max="5888" width="3.875" style="308"/>
    <col min="5889" max="5929" width="3.875" style="308" customWidth="1"/>
    <col min="5930" max="5941" width="0" style="308" hidden="1" customWidth="1"/>
    <col min="5942" max="5945" width="8.5" style="308" customWidth="1"/>
    <col min="5946" max="6144" width="3.875" style="308"/>
    <col min="6145" max="6185" width="3.875" style="308" customWidth="1"/>
    <col min="6186" max="6197" width="0" style="308" hidden="1" customWidth="1"/>
    <col min="6198" max="6201" width="8.5" style="308" customWidth="1"/>
    <col min="6202" max="6400" width="3.875" style="308"/>
    <col min="6401" max="6441" width="3.875" style="308" customWidth="1"/>
    <col min="6442" max="6453" width="0" style="308" hidden="1" customWidth="1"/>
    <col min="6454" max="6457" width="8.5" style="308" customWidth="1"/>
    <col min="6458" max="6656" width="3.875" style="308"/>
    <col min="6657" max="6697" width="3.875" style="308" customWidth="1"/>
    <col min="6698" max="6709" width="0" style="308" hidden="1" customWidth="1"/>
    <col min="6710" max="6713" width="8.5" style="308" customWidth="1"/>
    <col min="6714" max="6912" width="3.875" style="308"/>
    <col min="6913" max="6953" width="3.875" style="308" customWidth="1"/>
    <col min="6954" max="6965" width="0" style="308" hidden="1" customWidth="1"/>
    <col min="6966" max="6969" width="8.5" style="308" customWidth="1"/>
    <col min="6970" max="7168" width="3.875" style="308"/>
    <col min="7169" max="7209" width="3.875" style="308" customWidth="1"/>
    <col min="7210" max="7221" width="0" style="308" hidden="1" customWidth="1"/>
    <col min="7222" max="7225" width="8.5" style="308" customWidth="1"/>
    <col min="7226" max="7424" width="3.875" style="308"/>
    <col min="7425" max="7465" width="3.875" style="308" customWidth="1"/>
    <col min="7466" max="7477" width="0" style="308" hidden="1" customWidth="1"/>
    <col min="7478" max="7481" width="8.5" style="308" customWidth="1"/>
    <col min="7482" max="7680" width="3.875" style="308"/>
    <col min="7681" max="7721" width="3.875" style="308" customWidth="1"/>
    <col min="7722" max="7733" width="0" style="308" hidden="1" customWidth="1"/>
    <col min="7734" max="7737" width="8.5" style="308" customWidth="1"/>
    <col min="7738" max="7936" width="3.875" style="308"/>
    <col min="7937" max="7977" width="3.875" style="308" customWidth="1"/>
    <col min="7978" max="7989" width="0" style="308" hidden="1" customWidth="1"/>
    <col min="7990" max="7993" width="8.5" style="308" customWidth="1"/>
    <col min="7994" max="8192" width="3.875" style="308"/>
    <col min="8193" max="8233" width="3.875" style="308" customWidth="1"/>
    <col min="8234" max="8245" width="0" style="308" hidden="1" customWidth="1"/>
    <col min="8246" max="8249" width="8.5" style="308" customWidth="1"/>
    <col min="8250" max="8448" width="3.875" style="308"/>
    <col min="8449" max="8489" width="3.875" style="308" customWidth="1"/>
    <col min="8490" max="8501" width="0" style="308" hidden="1" customWidth="1"/>
    <col min="8502" max="8505" width="8.5" style="308" customWidth="1"/>
    <col min="8506" max="8704" width="3.875" style="308"/>
    <col min="8705" max="8745" width="3.875" style="308" customWidth="1"/>
    <col min="8746" max="8757" width="0" style="308" hidden="1" customWidth="1"/>
    <col min="8758" max="8761" width="8.5" style="308" customWidth="1"/>
    <col min="8762" max="8960" width="3.875" style="308"/>
    <col min="8961" max="9001" width="3.875" style="308" customWidth="1"/>
    <col min="9002" max="9013" width="0" style="308" hidden="1" customWidth="1"/>
    <col min="9014" max="9017" width="8.5" style="308" customWidth="1"/>
    <col min="9018" max="9216" width="3.875" style="308"/>
    <col min="9217" max="9257" width="3.875" style="308" customWidth="1"/>
    <col min="9258" max="9269" width="0" style="308" hidden="1" customWidth="1"/>
    <col min="9270" max="9273" width="8.5" style="308" customWidth="1"/>
    <col min="9274" max="9472" width="3.875" style="308"/>
    <col min="9473" max="9513" width="3.875" style="308" customWidth="1"/>
    <col min="9514" max="9525" width="0" style="308" hidden="1" customWidth="1"/>
    <col min="9526" max="9529" width="8.5" style="308" customWidth="1"/>
    <col min="9530" max="9728" width="3.875" style="308"/>
    <col min="9729" max="9769" width="3.875" style="308" customWidth="1"/>
    <col min="9770" max="9781" width="0" style="308" hidden="1" customWidth="1"/>
    <col min="9782" max="9785" width="8.5" style="308" customWidth="1"/>
    <col min="9786" max="9984" width="3.875" style="308"/>
    <col min="9985" max="10025" width="3.875" style="308" customWidth="1"/>
    <col min="10026" max="10037" width="0" style="308" hidden="1" customWidth="1"/>
    <col min="10038" max="10041" width="8.5" style="308" customWidth="1"/>
    <col min="10042" max="10240" width="3.875" style="308"/>
    <col min="10241" max="10281" width="3.875" style="308" customWidth="1"/>
    <col min="10282" max="10293" width="0" style="308" hidden="1" customWidth="1"/>
    <col min="10294" max="10297" width="8.5" style="308" customWidth="1"/>
    <col min="10298" max="10496" width="3.875" style="308"/>
    <col min="10497" max="10537" width="3.875" style="308" customWidth="1"/>
    <col min="10538" max="10549" width="0" style="308" hidden="1" customWidth="1"/>
    <col min="10550" max="10553" width="8.5" style="308" customWidth="1"/>
    <col min="10554" max="10752" width="3.875" style="308"/>
    <col min="10753" max="10793" width="3.875" style="308" customWidth="1"/>
    <col min="10794" max="10805" width="0" style="308" hidden="1" customWidth="1"/>
    <col min="10806" max="10809" width="8.5" style="308" customWidth="1"/>
    <col min="10810" max="11008" width="3.875" style="308"/>
    <col min="11009" max="11049" width="3.875" style="308" customWidth="1"/>
    <col min="11050" max="11061" width="0" style="308" hidden="1" customWidth="1"/>
    <col min="11062" max="11065" width="8.5" style="308" customWidth="1"/>
    <col min="11066" max="11264" width="3.875" style="308"/>
    <col min="11265" max="11305" width="3.875" style="308" customWidth="1"/>
    <col min="11306" max="11317" width="0" style="308" hidden="1" customWidth="1"/>
    <col min="11318" max="11321" width="8.5" style="308" customWidth="1"/>
    <col min="11322" max="11520" width="3.875" style="308"/>
    <col min="11521" max="11561" width="3.875" style="308" customWidth="1"/>
    <col min="11562" max="11573" width="0" style="308" hidden="1" customWidth="1"/>
    <col min="11574" max="11577" width="8.5" style="308" customWidth="1"/>
    <col min="11578" max="11776" width="3.875" style="308"/>
    <col min="11777" max="11817" width="3.875" style="308" customWidth="1"/>
    <col min="11818" max="11829" width="0" style="308" hidden="1" customWidth="1"/>
    <col min="11830" max="11833" width="8.5" style="308" customWidth="1"/>
    <col min="11834" max="12032" width="3.875" style="308"/>
    <col min="12033" max="12073" width="3.875" style="308" customWidth="1"/>
    <col min="12074" max="12085" width="0" style="308" hidden="1" customWidth="1"/>
    <col min="12086" max="12089" width="8.5" style="308" customWidth="1"/>
    <col min="12090" max="12288" width="3.875" style="308"/>
    <col min="12289" max="12329" width="3.875" style="308" customWidth="1"/>
    <col min="12330" max="12341" width="0" style="308" hidden="1" customWidth="1"/>
    <col min="12342" max="12345" width="8.5" style="308" customWidth="1"/>
    <col min="12346" max="12544" width="3.875" style="308"/>
    <col min="12545" max="12585" width="3.875" style="308" customWidth="1"/>
    <col min="12586" max="12597" width="0" style="308" hidden="1" customWidth="1"/>
    <col min="12598" max="12601" width="8.5" style="308" customWidth="1"/>
    <col min="12602" max="12800" width="3.875" style="308"/>
    <col min="12801" max="12841" width="3.875" style="308" customWidth="1"/>
    <col min="12842" max="12853" width="0" style="308" hidden="1" customWidth="1"/>
    <col min="12854" max="12857" width="8.5" style="308" customWidth="1"/>
    <col min="12858" max="13056" width="3.875" style="308"/>
    <col min="13057" max="13097" width="3.875" style="308" customWidth="1"/>
    <col min="13098" max="13109" width="0" style="308" hidden="1" customWidth="1"/>
    <col min="13110" max="13113" width="8.5" style="308" customWidth="1"/>
    <col min="13114" max="13312" width="3.875" style="308"/>
    <col min="13313" max="13353" width="3.875" style="308" customWidth="1"/>
    <col min="13354" max="13365" width="0" style="308" hidden="1" customWidth="1"/>
    <col min="13366" max="13369" width="8.5" style="308" customWidth="1"/>
    <col min="13370" max="13568" width="3.875" style="308"/>
    <col min="13569" max="13609" width="3.875" style="308" customWidth="1"/>
    <col min="13610" max="13621" width="0" style="308" hidden="1" customWidth="1"/>
    <col min="13622" max="13625" width="8.5" style="308" customWidth="1"/>
    <col min="13626" max="13824" width="3.875" style="308"/>
    <col min="13825" max="13865" width="3.875" style="308" customWidth="1"/>
    <col min="13866" max="13877" width="0" style="308" hidden="1" customWidth="1"/>
    <col min="13878" max="13881" width="8.5" style="308" customWidth="1"/>
    <col min="13882" max="14080" width="3.875" style="308"/>
    <col min="14081" max="14121" width="3.875" style="308" customWidth="1"/>
    <col min="14122" max="14133" width="0" style="308" hidden="1" customWidth="1"/>
    <col min="14134" max="14137" width="8.5" style="308" customWidth="1"/>
    <col min="14138" max="14336" width="3.875" style="308"/>
    <col min="14337" max="14377" width="3.875" style="308" customWidth="1"/>
    <col min="14378" max="14389" width="0" style="308" hidden="1" customWidth="1"/>
    <col min="14390" max="14393" width="8.5" style="308" customWidth="1"/>
    <col min="14394" max="14592" width="3.875" style="308"/>
    <col min="14593" max="14633" width="3.875" style="308" customWidth="1"/>
    <col min="14634" max="14645" width="0" style="308" hidden="1" customWidth="1"/>
    <col min="14646" max="14649" width="8.5" style="308" customWidth="1"/>
    <col min="14650" max="14848" width="3.875" style="308"/>
    <col min="14849" max="14889" width="3.875" style="308" customWidth="1"/>
    <col min="14890" max="14901" width="0" style="308" hidden="1" customWidth="1"/>
    <col min="14902" max="14905" width="8.5" style="308" customWidth="1"/>
    <col min="14906" max="15104" width="3.875" style="308"/>
    <col min="15105" max="15145" width="3.875" style="308" customWidth="1"/>
    <col min="15146" max="15157" width="0" style="308" hidden="1" customWidth="1"/>
    <col min="15158" max="15161" width="8.5" style="308" customWidth="1"/>
    <col min="15162" max="15360" width="3.875" style="308"/>
    <col min="15361" max="15401" width="3.875" style="308" customWidth="1"/>
    <col min="15402" max="15413" width="0" style="308" hidden="1" customWidth="1"/>
    <col min="15414" max="15417" width="8.5" style="308" customWidth="1"/>
    <col min="15418" max="15616" width="3.875" style="308"/>
    <col min="15617" max="15657" width="3.875" style="308" customWidth="1"/>
    <col min="15658" max="15669" width="0" style="308" hidden="1" customWidth="1"/>
    <col min="15670" max="15673" width="8.5" style="308" customWidth="1"/>
    <col min="15674" max="15872" width="3.875" style="308"/>
    <col min="15873" max="15913" width="3.875" style="308" customWidth="1"/>
    <col min="15914" max="15925" width="0" style="308" hidden="1" customWidth="1"/>
    <col min="15926" max="15929" width="8.5" style="308" customWidth="1"/>
    <col min="15930" max="16128" width="3.875" style="308"/>
    <col min="16129" max="16169" width="3.875" style="308" customWidth="1"/>
    <col min="16170" max="16181" width="0" style="308" hidden="1" customWidth="1"/>
    <col min="16182" max="16185" width="8.5" style="308" customWidth="1"/>
    <col min="16186" max="16384" width="3.875" style="308"/>
  </cols>
  <sheetData>
    <row r="1" spans="1:56" ht="30" customHeight="1" x14ac:dyDescent="0.15">
      <c r="A1" s="875" t="s">
        <v>402</v>
      </c>
      <c r="B1" s="875"/>
      <c r="C1" s="876"/>
      <c r="D1" s="876"/>
      <c r="E1" s="876"/>
      <c r="F1" s="876"/>
      <c r="G1" s="877" t="s">
        <v>403</v>
      </c>
      <c r="H1" s="877"/>
      <c r="I1" s="877"/>
      <c r="J1" s="877"/>
      <c r="K1" s="878">
        <v>33</v>
      </c>
      <c r="L1" s="877"/>
      <c r="T1" s="310"/>
      <c r="U1" s="310"/>
      <c r="V1" s="310"/>
      <c r="W1" s="310"/>
      <c r="X1" s="310"/>
      <c r="Y1" s="310"/>
      <c r="AA1" s="310"/>
    </row>
    <row r="2" spans="1:56" ht="20.100000000000001" customHeight="1" x14ac:dyDescent="0.15">
      <c r="A2" s="879" t="s">
        <v>404</v>
      </c>
      <c r="B2" s="880"/>
      <c r="C2" s="881" t="s">
        <v>11945</v>
      </c>
      <c r="D2" s="882"/>
      <c r="E2" s="882"/>
      <c r="F2" s="882"/>
      <c r="G2" s="882"/>
      <c r="H2" s="882"/>
      <c r="I2" s="882"/>
      <c r="J2" s="882"/>
      <c r="K2" s="882"/>
      <c r="L2" s="882"/>
      <c r="M2" s="882"/>
      <c r="N2" s="883"/>
      <c r="O2" s="313" t="s">
        <v>405</v>
      </c>
      <c r="P2" s="890">
        <v>2</v>
      </c>
      <c r="Q2" s="890"/>
      <c r="R2" s="314" t="s">
        <v>406</v>
      </c>
      <c r="S2" s="315"/>
      <c r="T2" s="311"/>
      <c r="U2" s="311"/>
      <c r="V2" s="311"/>
      <c r="W2" s="311"/>
      <c r="X2" s="311"/>
      <c r="Y2" s="311"/>
      <c r="Z2" s="311"/>
      <c r="AA2" s="312"/>
      <c r="AB2" s="316" t="s">
        <v>407</v>
      </c>
      <c r="AC2" s="891" t="s">
        <v>408</v>
      </c>
      <c r="AD2" s="880"/>
      <c r="AE2" s="316" t="s">
        <v>409</v>
      </c>
      <c r="AF2" s="891"/>
      <c r="AG2" s="894"/>
      <c r="AH2" s="894"/>
      <c r="AI2" s="894"/>
      <c r="AJ2" s="895"/>
    </row>
    <row r="3" spans="1:56" ht="20.100000000000001" customHeight="1" x14ac:dyDescent="0.15">
      <c r="A3" s="896" t="s">
        <v>410</v>
      </c>
      <c r="B3" s="897"/>
      <c r="C3" s="884"/>
      <c r="D3" s="885"/>
      <c r="E3" s="885"/>
      <c r="F3" s="885"/>
      <c r="G3" s="885"/>
      <c r="H3" s="885"/>
      <c r="I3" s="885"/>
      <c r="J3" s="885"/>
      <c r="K3" s="885"/>
      <c r="L3" s="885"/>
      <c r="M3" s="885"/>
      <c r="N3" s="886"/>
      <c r="O3" s="898" t="s">
        <v>237</v>
      </c>
      <c r="P3" s="899"/>
      <c r="Q3" s="898" t="s">
        <v>411</v>
      </c>
      <c r="R3" s="899"/>
      <c r="S3" s="884" t="s">
        <v>11944</v>
      </c>
      <c r="T3" s="885"/>
      <c r="U3" s="885"/>
      <c r="V3" s="885"/>
      <c r="W3" s="885"/>
      <c r="X3" s="885"/>
      <c r="Y3" s="885"/>
      <c r="Z3" s="885"/>
      <c r="AA3" s="886"/>
      <c r="AB3" s="319" t="s">
        <v>412</v>
      </c>
      <c r="AC3" s="892"/>
      <c r="AD3" s="893"/>
      <c r="AE3" s="321" t="s">
        <v>413</v>
      </c>
      <c r="AF3" s="900"/>
      <c r="AG3" s="897"/>
      <c r="AH3" s="897"/>
      <c r="AI3" s="897"/>
      <c r="AJ3" s="901"/>
      <c r="AY3" s="309" t="s">
        <v>11854</v>
      </c>
    </row>
    <row r="4" spans="1:56" ht="20.100000000000001" customHeight="1" x14ac:dyDescent="0.15">
      <c r="A4" s="902" t="s">
        <v>414</v>
      </c>
      <c r="B4" s="893"/>
      <c r="C4" s="887"/>
      <c r="D4" s="888"/>
      <c r="E4" s="888"/>
      <c r="F4" s="888"/>
      <c r="G4" s="888"/>
      <c r="H4" s="888"/>
      <c r="I4" s="888"/>
      <c r="J4" s="888"/>
      <c r="K4" s="888"/>
      <c r="L4" s="888"/>
      <c r="M4" s="888"/>
      <c r="N4" s="889"/>
      <c r="O4" s="903" t="s">
        <v>238</v>
      </c>
      <c r="P4" s="893"/>
      <c r="Q4" s="903" t="s">
        <v>415</v>
      </c>
      <c r="R4" s="893"/>
      <c r="S4" s="887" t="s">
        <v>416</v>
      </c>
      <c r="T4" s="888"/>
      <c r="U4" s="888"/>
      <c r="V4" s="888"/>
      <c r="W4" s="888"/>
      <c r="X4" s="888"/>
      <c r="Y4" s="888"/>
      <c r="Z4" s="888"/>
      <c r="AA4" s="889"/>
      <c r="AB4" s="319" t="s">
        <v>417</v>
      </c>
      <c r="AC4" s="904" t="s">
        <v>418</v>
      </c>
      <c r="AD4" s="905"/>
      <c r="AE4" s="321" t="s">
        <v>419</v>
      </c>
      <c r="AF4" s="892"/>
      <c r="AG4" s="906"/>
      <c r="AH4" s="906"/>
      <c r="AI4" s="906"/>
      <c r="AJ4" s="907"/>
      <c r="AX4" s="323"/>
      <c r="AY4" s="324"/>
    </row>
    <row r="5" spans="1:56" ht="20.100000000000001" customHeight="1" x14ac:dyDescent="0.15">
      <c r="A5" s="908" t="s">
        <v>410</v>
      </c>
      <c r="B5" s="899"/>
      <c r="C5" s="909" t="s">
        <v>11946</v>
      </c>
      <c r="D5" s="910"/>
      <c r="E5" s="910"/>
      <c r="F5" s="910"/>
      <c r="G5" s="910"/>
      <c r="H5" s="910"/>
      <c r="I5" s="911"/>
      <c r="J5" s="325" t="s">
        <v>420</v>
      </c>
      <c r="K5" s="318" t="s">
        <v>421</v>
      </c>
      <c r="L5" s="918" t="s">
        <v>422</v>
      </c>
      <c r="M5" s="919"/>
      <c r="N5" s="326" t="s">
        <v>423</v>
      </c>
      <c r="O5" s="327" t="s">
        <v>424</v>
      </c>
      <c r="P5" s="328" t="s">
        <v>425</v>
      </c>
      <c r="Q5" s="317" t="s">
        <v>426</v>
      </c>
      <c r="R5" s="325" t="s">
        <v>427</v>
      </c>
      <c r="S5" s="920" t="s">
        <v>428</v>
      </c>
      <c r="T5" s="921"/>
      <c r="U5" s="325" t="s">
        <v>429</v>
      </c>
      <c r="V5" s="329" t="s">
        <v>430</v>
      </c>
      <c r="W5" s="329"/>
      <c r="X5" s="330"/>
      <c r="Y5" s="329"/>
      <c r="Z5" s="331"/>
      <c r="AA5" s="332" t="s">
        <v>431</v>
      </c>
      <c r="AB5" s="329"/>
      <c r="AC5" s="329"/>
      <c r="AD5" s="329"/>
      <c r="AE5" s="331"/>
      <c r="AF5" s="332" t="s">
        <v>432</v>
      </c>
      <c r="AG5" s="329"/>
      <c r="AH5" s="329"/>
      <c r="AI5" s="329"/>
      <c r="AJ5" s="333"/>
      <c r="AX5" s="323"/>
      <c r="AY5" s="324"/>
    </row>
    <row r="6" spans="1:56" ht="20.100000000000001" customHeight="1" x14ac:dyDescent="0.15">
      <c r="A6" s="896"/>
      <c r="B6" s="922"/>
      <c r="C6" s="912"/>
      <c r="D6" s="913"/>
      <c r="E6" s="913"/>
      <c r="F6" s="913"/>
      <c r="G6" s="913"/>
      <c r="H6" s="913"/>
      <c r="I6" s="914"/>
      <c r="J6" s="335"/>
      <c r="K6" s="334" t="s">
        <v>433</v>
      </c>
      <c r="L6" s="918" t="s">
        <v>434</v>
      </c>
      <c r="M6" s="919"/>
      <c r="N6" s="923"/>
      <c r="O6" s="924"/>
      <c r="P6" s="322" t="s">
        <v>435</v>
      </c>
      <c r="Q6" s="321"/>
      <c r="R6" s="335"/>
      <c r="S6" s="925" t="s">
        <v>436</v>
      </c>
      <c r="T6" s="926"/>
      <c r="U6" s="335"/>
      <c r="V6" s="927"/>
      <c r="W6" s="928"/>
      <c r="X6" s="928"/>
      <c r="Y6" s="928"/>
      <c r="Z6" s="929"/>
      <c r="AA6" s="927"/>
      <c r="AB6" s="928"/>
      <c r="AC6" s="928"/>
      <c r="AD6" s="928"/>
      <c r="AE6" s="929"/>
      <c r="AF6" s="927"/>
      <c r="AG6" s="928"/>
      <c r="AH6" s="928"/>
      <c r="AI6" s="928"/>
      <c r="AJ6" s="930"/>
    </row>
    <row r="7" spans="1:56" ht="20.100000000000001" customHeight="1" x14ac:dyDescent="0.15">
      <c r="A7" s="902" t="s">
        <v>437</v>
      </c>
      <c r="B7" s="893"/>
      <c r="C7" s="915"/>
      <c r="D7" s="916"/>
      <c r="E7" s="916"/>
      <c r="F7" s="916"/>
      <c r="G7" s="916"/>
      <c r="H7" s="916"/>
      <c r="I7" s="917"/>
      <c r="J7" s="336" t="s">
        <v>438</v>
      </c>
      <c r="K7" s="320" t="s">
        <v>439</v>
      </c>
      <c r="L7" s="918" t="s">
        <v>440</v>
      </c>
      <c r="M7" s="919"/>
      <c r="N7" s="923"/>
      <c r="O7" s="924"/>
      <c r="P7" s="322" t="s">
        <v>441</v>
      </c>
      <c r="Q7" s="319" t="s">
        <v>442</v>
      </c>
      <c r="R7" s="336" t="s">
        <v>443</v>
      </c>
      <c r="S7" s="931" t="s">
        <v>444</v>
      </c>
      <c r="T7" s="932"/>
      <c r="U7" s="336" t="s">
        <v>445</v>
      </c>
      <c r="V7" s="337"/>
      <c r="W7" s="337"/>
      <c r="X7" s="337"/>
      <c r="Y7" s="337"/>
      <c r="Z7" s="338"/>
      <c r="AA7" s="933"/>
      <c r="AB7" s="934"/>
      <c r="AC7" s="934"/>
      <c r="AD7" s="934"/>
      <c r="AE7" s="935"/>
      <c r="AF7" s="339"/>
      <c r="AG7" s="337"/>
      <c r="AH7" s="337"/>
      <c r="AI7" s="337"/>
      <c r="AJ7" s="340"/>
    </row>
    <row r="8" spans="1:56" s="323" customFormat="1" ht="20.100000000000001" customHeight="1" x14ac:dyDescent="0.15">
      <c r="A8" s="936" t="s">
        <v>446</v>
      </c>
      <c r="B8" s="937"/>
      <c r="C8" s="937"/>
      <c r="D8" s="342"/>
      <c r="E8" s="342"/>
      <c r="F8" s="342"/>
      <c r="G8" s="342"/>
      <c r="H8" s="342"/>
      <c r="I8" s="342"/>
      <c r="J8" s="342"/>
      <c r="K8" s="342"/>
      <c r="L8" s="937"/>
      <c r="M8" s="937"/>
      <c r="N8" s="937"/>
      <c r="O8" s="938"/>
      <c r="P8" s="939"/>
      <c r="Q8" s="344"/>
      <c r="R8" s="942" t="s">
        <v>335</v>
      </c>
      <c r="S8" s="943"/>
      <c r="T8" s="344"/>
      <c r="U8" s="939"/>
      <c r="V8" s="944" t="s">
        <v>446</v>
      </c>
      <c r="W8" s="937"/>
      <c r="X8" s="937"/>
      <c r="Y8" s="342"/>
      <c r="Z8" s="342"/>
      <c r="AA8" s="342"/>
      <c r="AE8" s="342"/>
      <c r="AF8" s="342"/>
      <c r="AG8" s="937"/>
      <c r="AH8" s="937"/>
      <c r="AI8" s="937"/>
      <c r="AJ8" s="945"/>
      <c r="AP8" s="324"/>
      <c r="AQ8" s="324"/>
      <c r="AR8" s="324"/>
      <c r="AS8" s="324"/>
      <c r="AT8" s="324"/>
      <c r="AY8" s="324"/>
      <c r="AZ8" s="324"/>
      <c r="BA8" s="324"/>
    </row>
    <row r="9" spans="1:56" s="323" customFormat="1" ht="20.100000000000001" customHeight="1" x14ac:dyDescent="0.15">
      <c r="A9" s="349"/>
      <c r="B9" s="946" t="str">
        <f>AR13</f>
        <v>A</v>
      </c>
      <c r="C9" s="946"/>
      <c r="D9" s="946"/>
      <c r="E9" s="946"/>
      <c r="F9" s="946"/>
      <c r="G9" s="946"/>
      <c r="H9" s="946"/>
      <c r="I9" s="946"/>
      <c r="J9" s="946"/>
      <c r="K9" s="946"/>
      <c r="L9" s="947" t="str">
        <f>AR14</f>
        <v>A市</v>
      </c>
      <c r="M9" s="947"/>
      <c r="N9" s="947"/>
      <c r="O9" s="948"/>
      <c r="P9" s="940"/>
      <c r="Q9" s="344"/>
      <c r="R9" s="942" t="s">
        <v>338</v>
      </c>
      <c r="S9" s="943"/>
      <c r="T9" s="344"/>
      <c r="U9" s="940"/>
      <c r="V9" s="351"/>
      <c r="W9" s="946" t="str">
        <f>AY13</f>
        <v>B</v>
      </c>
      <c r="X9" s="946"/>
      <c r="Y9" s="946"/>
      <c r="Z9" s="946"/>
      <c r="AA9" s="946"/>
      <c r="AB9" s="946"/>
      <c r="AC9" s="946"/>
      <c r="AD9" s="946"/>
      <c r="AE9" s="946"/>
      <c r="AF9" s="946"/>
      <c r="AG9" s="947" t="str">
        <f>AY14</f>
        <v>B市</v>
      </c>
      <c r="AH9" s="947"/>
      <c r="AI9" s="947"/>
      <c r="AJ9" s="949"/>
      <c r="AP9" s="324"/>
      <c r="AQ9" s="324"/>
      <c r="AR9" s="324"/>
      <c r="AS9" s="324"/>
      <c r="AT9" s="324"/>
      <c r="AY9" s="324"/>
      <c r="AZ9" s="324"/>
      <c r="BA9" s="324"/>
    </row>
    <row r="10" spans="1:56" s="323" customFormat="1" ht="20.100000000000001" customHeight="1" x14ac:dyDescent="0.15">
      <c r="A10" s="353"/>
      <c r="B10" s="354"/>
      <c r="C10" s="354"/>
      <c r="D10" s="354"/>
      <c r="E10" s="354"/>
      <c r="F10" s="354"/>
      <c r="G10" s="354"/>
      <c r="H10" s="354"/>
      <c r="I10" s="354"/>
      <c r="J10" s="354"/>
      <c r="K10" s="354"/>
      <c r="L10" s="354"/>
      <c r="M10" s="950" t="s">
        <v>447</v>
      </c>
      <c r="N10" s="950"/>
      <c r="O10" s="951"/>
      <c r="P10" s="940"/>
      <c r="Q10" s="344"/>
      <c r="R10" s="942" t="s">
        <v>448</v>
      </c>
      <c r="S10" s="943"/>
      <c r="T10" s="344"/>
      <c r="U10" s="940"/>
      <c r="V10" s="952" t="s">
        <v>447</v>
      </c>
      <c r="W10" s="950"/>
      <c r="X10" s="950"/>
      <c r="Y10" s="354"/>
      <c r="Z10" s="354"/>
      <c r="AA10" s="354"/>
      <c r="AB10" s="354"/>
      <c r="AC10" s="354"/>
      <c r="AD10" s="354"/>
      <c r="AE10" s="354"/>
      <c r="AF10" s="354"/>
      <c r="AG10" s="354"/>
      <c r="AH10" s="354"/>
      <c r="AI10" s="354"/>
      <c r="AJ10" s="357"/>
      <c r="AP10" s="324"/>
      <c r="AQ10" s="324"/>
      <c r="AR10" s="324"/>
      <c r="AS10" s="324"/>
      <c r="AT10" s="324"/>
      <c r="AY10" s="324"/>
      <c r="AZ10" s="324"/>
      <c r="BA10" s="324"/>
    </row>
    <row r="11" spans="1:56" s="323" customFormat="1" ht="20.100000000000001" customHeight="1" x14ac:dyDescent="0.15">
      <c r="A11" s="358"/>
      <c r="B11" s="344"/>
      <c r="C11" s="344"/>
      <c r="D11" s="344"/>
      <c r="E11" s="344"/>
      <c r="F11" s="344"/>
      <c r="G11" s="344"/>
      <c r="H11" s="344"/>
      <c r="I11" s="344"/>
      <c r="J11" s="344"/>
      <c r="K11" s="345"/>
      <c r="L11" s="942" t="s">
        <v>342</v>
      </c>
      <c r="M11" s="943"/>
      <c r="N11" s="953" t="s">
        <v>340</v>
      </c>
      <c r="O11" s="953"/>
      <c r="P11" s="940"/>
      <c r="Q11" s="344"/>
      <c r="R11" s="942" t="s">
        <v>449</v>
      </c>
      <c r="S11" s="943"/>
      <c r="T11" s="344"/>
      <c r="U11" s="940"/>
      <c r="V11" s="953" t="s">
        <v>340</v>
      </c>
      <c r="W11" s="953"/>
      <c r="X11" s="942" t="s">
        <v>342</v>
      </c>
      <c r="Y11" s="943"/>
      <c r="Z11" s="344"/>
      <c r="AA11" s="344"/>
      <c r="AB11" s="344"/>
      <c r="AC11" s="344"/>
      <c r="AD11" s="344"/>
      <c r="AE11" s="344"/>
      <c r="AF11" s="344"/>
      <c r="AG11" s="344"/>
      <c r="AH11" s="344"/>
      <c r="AI11" s="344"/>
      <c r="AJ11" s="359"/>
      <c r="AP11" s="324"/>
      <c r="AQ11" s="324"/>
      <c r="AR11" s="324"/>
      <c r="AS11" s="324"/>
      <c r="AT11" s="324"/>
      <c r="AY11" s="324"/>
      <c r="AZ11" s="324"/>
      <c r="BA11" s="324"/>
    </row>
    <row r="12" spans="1:56" s="323" customFormat="1" ht="20.100000000000001" customHeight="1" x14ac:dyDescent="0.15">
      <c r="A12" s="358"/>
      <c r="B12" s="344"/>
      <c r="C12" s="360"/>
      <c r="D12" s="360"/>
      <c r="E12" s="360"/>
      <c r="F12" s="360"/>
      <c r="G12" s="344"/>
      <c r="H12" s="344"/>
      <c r="I12" s="344"/>
      <c r="J12" s="344"/>
      <c r="K12" s="345"/>
      <c r="L12" s="345" t="s">
        <v>159</v>
      </c>
      <c r="M12" s="346" t="s">
        <v>232</v>
      </c>
      <c r="N12" s="345" t="s">
        <v>450</v>
      </c>
      <c r="O12" s="346" t="s">
        <v>451</v>
      </c>
      <c r="P12" s="941"/>
      <c r="Q12" s="344"/>
      <c r="R12" s="942" t="s">
        <v>452</v>
      </c>
      <c r="S12" s="943"/>
      <c r="T12" s="344"/>
      <c r="U12" s="941"/>
      <c r="V12" s="345" t="s">
        <v>450</v>
      </c>
      <c r="W12" s="346" t="s">
        <v>451</v>
      </c>
      <c r="X12" s="345" t="s">
        <v>159</v>
      </c>
      <c r="Y12" s="346" t="s">
        <v>232</v>
      </c>
      <c r="Z12" s="344"/>
      <c r="AA12" s="344"/>
      <c r="AB12" s="344"/>
      <c r="AC12" s="344"/>
      <c r="AD12" s="344"/>
      <c r="AE12" s="344"/>
      <c r="AF12" s="344"/>
      <c r="AG12" s="344"/>
      <c r="AH12" s="355"/>
      <c r="AI12" s="344"/>
      <c r="AJ12" s="359"/>
      <c r="AP12" s="324"/>
      <c r="AQ12" s="324"/>
      <c r="AR12" s="324"/>
      <c r="AS12" s="324"/>
      <c r="AT12" s="324"/>
      <c r="AY12" s="324"/>
      <c r="AZ12" s="324"/>
      <c r="BA12" s="324"/>
    </row>
    <row r="13" spans="1:56" s="323" customFormat="1" ht="20.100000000000001" customHeight="1" x14ac:dyDescent="0.15">
      <c r="A13" s="341"/>
      <c r="B13" s="342"/>
      <c r="C13" s="954" t="s">
        <v>453</v>
      </c>
      <c r="D13" s="954"/>
      <c r="E13" s="954"/>
      <c r="F13" s="954"/>
      <c r="G13" s="954"/>
      <c r="H13" s="954"/>
      <c r="I13" s="954"/>
      <c r="J13" s="943"/>
      <c r="K13" s="360" t="s">
        <v>454</v>
      </c>
      <c r="L13" s="347"/>
      <c r="M13" s="342"/>
      <c r="N13" s="342"/>
      <c r="O13" s="342"/>
      <c r="P13" s="343"/>
      <c r="Q13" s="360" t="s">
        <v>455</v>
      </c>
      <c r="R13" s="347"/>
      <c r="S13" s="343"/>
      <c r="T13" s="360" t="s">
        <v>455</v>
      </c>
      <c r="U13" s="347"/>
      <c r="V13" s="342"/>
      <c r="W13" s="342"/>
      <c r="X13" s="342"/>
      <c r="Y13" s="343"/>
      <c r="Z13" s="360" t="s">
        <v>454</v>
      </c>
      <c r="AA13" s="944" t="s">
        <v>453</v>
      </c>
      <c r="AB13" s="937"/>
      <c r="AC13" s="937"/>
      <c r="AD13" s="937"/>
      <c r="AE13" s="937"/>
      <c r="AF13" s="937"/>
      <c r="AG13" s="937"/>
      <c r="AH13" s="937"/>
      <c r="AI13" s="342"/>
      <c r="AJ13" s="348"/>
      <c r="AP13" s="955" t="s">
        <v>9</v>
      </c>
      <c r="AQ13" s="956"/>
      <c r="AR13" s="364" t="s">
        <v>456</v>
      </c>
      <c r="AS13" s="364"/>
      <c r="AT13" s="363"/>
      <c r="AX13" s="365" t="s">
        <v>9</v>
      </c>
      <c r="AY13" s="362" t="s">
        <v>457</v>
      </c>
      <c r="AZ13" s="364"/>
      <c r="BA13" s="363"/>
    </row>
    <row r="14" spans="1:56" s="323" customFormat="1" ht="20.100000000000001" customHeight="1" x14ac:dyDescent="0.15">
      <c r="A14" s="936" t="s">
        <v>458</v>
      </c>
      <c r="B14" s="938"/>
      <c r="C14" s="957" t="s">
        <v>459</v>
      </c>
      <c r="D14" s="957"/>
      <c r="E14" s="957" t="s">
        <v>459</v>
      </c>
      <c r="F14" s="957"/>
      <c r="G14" s="944" t="s">
        <v>451</v>
      </c>
      <c r="H14" s="938"/>
      <c r="I14" s="958" t="s">
        <v>460</v>
      </c>
      <c r="J14" s="948"/>
      <c r="K14" s="366"/>
      <c r="L14" s="351"/>
      <c r="M14" s="323" t="s">
        <v>461</v>
      </c>
      <c r="N14" s="323" t="s">
        <v>462</v>
      </c>
      <c r="O14" s="323" t="s">
        <v>414</v>
      </c>
      <c r="P14" s="350"/>
      <c r="Q14" s="366"/>
      <c r="R14" s="958" t="s">
        <v>463</v>
      </c>
      <c r="S14" s="948"/>
      <c r="T14" s="366"/>
      <c r="U14" s="351"/>
      <c r="V14" s="323" t="s">
        <v>461</v>
      </c>
      <c r="W14" s="323" t="s">
        <v>462</v>
      </c>
      <c r="X14" s="323" t="s">
        <v>414</v>
      </c>
      <c r="Y14" s="350"/>
      <c r="Z14" s="366"/>
      <c r="AA14" s="944" t="s">
        <v>460</v>
      </c>
      <c r="AB14" s="938"/>
      <c r="AC14" s="944" t="s">
        <v>451</v>
      </c>
      <c r="AD14" s="938"/>
      <c r="AE14" s="944" t="s">
        <v>459</v>
      </c>
      <c r="AF14" s="938"/>
      <c r="AG14" s="944" t="s">
        <v>459</v>
      </c>
      <c r="AH14" s="938"/>
      <c r="AI14" s="944" t="s">
        <v>458</v>
      </c>
      <c r="AJ14" s="945"/>
      <c r="AP14" s="955" t="s">
        <v>464</v>
      </c>
      <c r="AQ14" s="959"/>
      <c r="AR14" s="367" t="s">
        <v>465</v>
      </c>
      <c r="AS14" s="368"/>
      <c r="AT14" s="368"/>
      <c r="AX14" s="369" t="s">
        <v>464</v>
      </c>
      <c r="AY14" s="369" t="s">
        <v>466</v>
      </c>
      <c r="AZ14" s="368"/>
      <c r="BA14" s="368"/>
    </row>
    <row r="15" spans="1:56" s="323" customFormat="1" ht="20.100000000000001" customHeight="1" x14ac:dyDescent="0.15">
      <c r="A15" s="960" t="s">
        <v>467</v>
      </c>
      <c r="B15" s="951"/>
      <c r="C15" s="961" t="s">
        <v>451</v>
      </c>
      <c r="D15" s="961"/>
      <c r="E15" s="961" t="s">
        <v>460</v>
      </c>
      <c r="F15" s="961"/>
      <c r="G15" s="958" t="s">
        <v>468</v>
      </c>
      <c r="H15" s="948"/>
      <c r="I15" s="958" t="s">
        <v>468</v>
      </c>
      <c r="J15" s="948"/>
      <c r="K15" s="370" t="s">
        <v>469</v>
      </c>
      <c r="L15" s="356"/>
      <c r="M15" s="354"/>
      <c r="N15" s="354"/>
      <c r="O15" s="354"/>
      <c r="P15" s="355"/>
      <c r="Q15" s="370" t="s">
        <v>470</v>
      </c>
      <c r="R15" s="356"/>
      <c r="S15" s="355"/>
      <c r="T15" s="370" t="s">
        <v>470</v>
      </c>
      <c r="U15" s="356"/>
      <c r="V15" s="354"/>
      <c r="W15" s="354"/>
      <c r="X15" s="354"/>
      <c r="Y15" s="355"/>
      <c r="Z15" s="370" t="s">
        <v>469</v>
      </c>
      <c r="AA15" s="952" t="s">
        <v>468</v>
      </c>
      <c r="AB15" s="951"/>
      <c r="AC15" s="952" t="s">
        <v>468</v>
      </c>
      <c r="AD15" s="951"/>
      <c r="AE15" s="952" t="s">
        <v>460</v>
      </c>
      <c r="AF15" s="951"/>
      <c r="AG15" s="952" t="s">
        <v>451</v>
      </c>
      <c r="AH15" s="951"/>
      <c r="AI15" s="952" t="s">
        <v>467</v>
      </c>
      <c r="AJ15" s="962"/>
      <c r="AP15" s="309"/>
      <c r="AQ15" s="309"/>
      <c r="AR15" s="309"/>
      <c r="AS15" s="309"/>
      <c r="AT15" s="309"/>
      <c r="AX15" s="308"/>
      <c r="AY15" s="309"/>
      <c r="AZ15" s="309"/>
      <c r="BA15" s="309"/>
      <c r="BB15" s="308"/>
    </row>
    <row r="16" spans="1:56" s="371" customFormat="1" ht="20.100000000000001" customHeight="1" x14ac:dyDescent="0.15">
      <c r="A16" s="372"/>
      <c r="B16" s="373">
        <f t="shared" ref="B16:B32" si="0">SUM(D16,F16,H16,J16)</f>
        <v>0</v>
      </c>
      <c r="C16" s="323"/>
      <c r="E16" s="345"/>
      <c r="F16" s="373"/>
      <c r="G16" s="345"/>
      <c r="H16" s="373"/>
      <c r="I16" s="345"/>
      <c r="J16" s="373"/>
      <c r="K16" s="374" t="str">
        <f>IF(ISERROR(VLOOKUP(CONCATENATE($B$9,"_",Q16),選手名簿!$A$1:$G$65536,7,FALSE))=TRUE,"",VLOOKUP(CONCATENATE($B$9,"_",Q16),選手名簿!$A$1:$G$65536,7,FALSE))</f>
        <v/>
      </c>
      <c r="L16" s="963" t="str">
        <f>IF(ISERROR(VLOOKUP(CONCATENATE($B$9,"_",Q16),選手名簿!$A$1:$E$65536,5,FALSE))=TRUE,"",VLOOKUP(CONCATENATE($B$9,"_",Q16),選手名簿!$A$1:$E$65536,5,FALSE))</f>
        <v/>
      </c>
      <c r="M16" s="964"/>
      <c r="N16" s="964"/>
      <c r="O16" s="964"/>
      <c r="P16" s="965"/>
      <c r="Q16" s="375"/>
      <c r="R16" s="376" t="str">
        <f>IF(ISERROR(VLOOKUP(CONCATENATE($B$9,"_",Q16),選手名簿!$A$1:$E$65536,4,FALSE))=TRUE,"",VLOOKUP(CONCATENATE($B$9,"_",Q16),選手名簿!$A$1:$E$65536,4,FALSE))</f>
        <v/>
      </c>
      <c r="S16" s="377" t="str">
        <f>IF(ISERROR(VLOOKUP(CONCATENATE($W$9,"_",T16),選手名簿!$A$1:$E$65536,4,FALSE))=TRUE,"",VLOOKUP(CONCATENATE($W$9,"_",T16),選手名簿!$A$1:$E$65536,4,FALSE))</f>
        <v/>
      </c>
      <c r="T16" s="378"/>
      <c r="U16" s="963" t="str">
        <f>IF(ISERROR(VLOOKUP(CONCATENATE($W$9,"_",T16),選手名簿!$A$1:$E$65536,5,FALSE))=TRUE,"",VLOOKUP(CONCATENATE($W$9,"_",T16),選手名簿!$A$1:$E$65536,5,FALSE))</f>
        <v/>
      </c>
      <c r="V16" s="964"/>
      <c r="W16" s="964"/>
      <c r="X16" s="964"/>
      <c r="Y16" s="965"/>
      <c r="Z16" s="374" t="str">
        <f>IF(ISERROR(VLOOKUP(CONCATENATE($W$9,"_",T16),選手名簿!$A$1:$G$65536,7,FALSE))=TRUE,"",VLOOKUP(CONCATENATE($W$9,"_",T16),選手名簿!$A$1:$G$65536,7,FALSE))</f>
        <v/>
      </c>
      <c r="AA16" s="345"/>
      <c r="AB16" s="373"/>
      <c r="AC16" s="345"/>
      <c r="AD16" s="373"/>
      <c r="AE16" s="345"/>
      <c r="AF16" s="373"/>
      <c r="AG16" s="345"/>
      <c r="AH16" s="373"/>
      <c r="AI16" s="379"/>
      <c r="AJ16" s="359">
        <f t="shared" ref="AJ16:AJ32" si="1">SUM(AB16,AD16,AF16,AH16)</f>
        <v>0</v>
      </c>
      <c r="AN16" s="308"/>
      <c r="AO16" s="308"/>
      <c r="AP16" s="309"/>
      <c r="AQ16" s="309"/>
      <c r="AR16" s="309"/>
      <c r="AS16" s="309"/>
      <c r="AT16" s="309"/>
      <c r="AU16" s="308"/>
      <c r="AV16" s="308"/>
      <c r="AW16" s="308"/>
      <c r="AX16" s="308"/>
      <c r="AY16" s="309"/>
      <c r="AZ16" s="309"/>
      <c r="BA16" s="309"/>
      <c r="BB16" s="308"/>
      <c r="BC16" s="308"/>
      <c r="BD16" s="308"/>
    </row>
    <row r="17" spans="1:56" s="371" customFormat="1" ht="20.100000000000001" customHeight="1" x14ac:dyDescent="0.15">
      <c r="A17" s="372"/>
      <c r="B17" s="373">
        <f t="shared" si="0"/>
        <v>0</v>
      </c>
      <c r="C17" s="345"/>
      <c r="D17" s="379"/>
      <c r="E17" s="345"/>
      <c r="F17" s="373"/>
      <c r="G17" s="345"/>
      <c r="H17" s="373"/>
      <c r="I17" s="345"/>
      <c r="J17" s="373"/>
      <c r="K17" s="374" t="str">
        <f>IF(ISERROR(VLOOKUP(CONCATENATE($B$9,"_",Q17),選手名簿!$A$1:$G$65536,7,FALSE))=TRUE,"",VLOOKUP(CONCATENATE($B$9,"_",Q17),選手名簿!$A$1:$G$65536,7,FALSE))</f>
        <v/>
      </c>
      <c r="L17" s="963" t="str">
        <f>IF(ISERROR(VLOOKUP(CONCATENATE($B$9,"_",Q17),選手名簿!$A$1:$E$65536,5,FALSE))=TRUE,"",VLOOKUP(CONCATENATE($B$9,"_",Q17),選手名簿!$A$1:$E$65536,5,FALSE))</f>
        <v/>
      </c>
      <c r="M17" s="964"/>
      <c r="N17" s="964"/>
      <c r="O17" s="964"/>
      <c r="P17" s="965"/>
      <c r="Q17" s="375"/>
      <c r="R17" s="376" t="str">
        <f>IF(ISERROR(VLOOKUP(CONCATENATE($B$9,"_",Q17),選手名簿!$A$1:$E$65536,4,FALSE))=TRUE,"",VLOOKUP(CONCATENATE($B$9,"_",Q17),選手名簿!$A$1:$E$65536,4,FALSE))</f>
        <v/>
      </c>
      <c r="S17" s="377" t="str">
        <f>IF(ISERROR(VLOOKUP(CONCATENATE($W$9,"_",T17),選手名簿!$A$1:$E$65536,4,FALSE))=TRUE,"",VLOOKUP(CONCATENATE($W$9,"_",T17),選手名簿!$A$1:$E$65536,4,FALSE))</f>
        <v/>
      </c>
      <c r="T17" s="378"/>
      <c r="U17" s="963" t="str">
        <f>IF(ISERROR(VLOOKUP(CONCATENATE($W$9,"_",T17),選手名簿!$A$1:$E$65536,5,FALSE))=TRUE,"",VLOOKUP(CONCATENATE($W$9,"_",T17),選手名簿!$A$1:$E$65536,5,FALSE))</f>
        <v/>
      </c>
      <c r="V17" s="964"/>
      <c r="W17" s="964"/>
      <c r="X17" s="964"/>
      <c r="Y17" s="965"/>
      <c r="Z17" s="374" t="str">
        <f>IF(ISERROR(VLOOKUP(CONCATENATE($W$9,"_",T17),選手名簿!$A$1:$G$65536,7,FALSE))=TRUE,"",VLOOKUP(CONCATENATE($W$9,"_",T17),選手名簿!$A$1:$G$65536,7,FALSE))</f>
        <v/>
      </c>
      <c r="AA17" s="345"/>
      <c r="AB17" s="373"/>
      <c r="AC17" s="345"/>
      <c r="AD17" s="373"/>
      <c r="AE17" s="345"/>
      <c r="AF17" s="373"/>
      <c r="AG17" s="345"/>
      <c r="AH17" s="373"/>
      <c r="AI17" s="379"/>
      <c r="AJ17" s="359">
        <f t="shared" si="1"/>
        <v>0</v>
      </c>
      <c r="AP17" s="309"/>
      <c r="AQ17" s="309"/>
      <c r="AR17" s="309"/>
      <c r="AS17" s="309"/>
      <c r="AT17" s="309"/>
      <c r="AX17" s="308"/>
      <c r="AY17" s="309"/>
      <c r="AZ17" s="309"/>
      <c r="BA17" s="309"/>
      <c r="BB17" s="308"/>
    </row>
    <row r="18" spans="1:56" s="371" customFormat="1" ht="20.100000000000001" customHeight="1" x14ac:dyDescent="0.15">
      <c r="A18" s="372"/>
      <c r="B18" s="373">
        <f t="shared" si="0"/>
        <v>0</v>
      </c>
      <c r="C18" s="345"/>
      <c r="E18" s="345"/>
      <c r="F18" s="373"/>
      <c r="G18" s="345"/>
      <c r="H18" s="373"/>
      <c r="I18" s="345"/>
      <c r="J18" s="373"/>
      <c r="K18" s="374" t="str">
        <f>IF(ISERROR(VLOOKUP(CONCATENATE($B$9,"_",Q18),選手名簿!$A$1:$G$65536,7,FALSE))=TRUE,"",VLOOKUP(CONCATENATE($B$9,"_",Q18),選手名簿!$A$1:$G$65536,7,FALSE))</f>
        <v/>
      </c>
      <c r="L18" s="963" t="str">
        <f>IF(ISERROR(VLOOKUP(CONCATENATE($B$9,"_",Q18),選手名簿!$A$1:$E$65536,5,FALSE))=TRUE,"",VLOOKUP(CONCATENATE($B$9,"_",Q18),選手名簿!$A$1:$E$65536,5,FALSE))</f>
        <v/>
      </c>
      <c r="M18" s="964"/>
      <c r="N18" s="964"/>
      <c r="O18" s="964"/>
      <c r="P18" s="965"/>
      <c r="Q18" s="375"/>
      <c r="R18" s="376" t="str">
        <f>IF(ISERROR(VLOOKUP(CONCATENATE($B$9,"_",Q18),選手名簿!$A$1:$E$65536,4,FALSE))=TRUE,"",VLOOKUP(CONCATENATE($B$9,"_",Q18),選手名簿!$A$1:$E$65536,4,FALSE))</f>
        <v/>
      </c>
      <c r="S18" s="377" t="str">
        <f>IF(ISERROR(VLOOKUP(CONCATENATE($W$9,"_",T18),選手名簿!$A$1:$E$65536,4,FALSE))=TRUE,"",VLOOKUP(CONCATENATE($W$9,"_",T18),選手名簿!$A$1:$E$65536,4,FALSE))</f>
        <v/>
      </c>
      <c r="T18" s="378"/>
      <c r="U18" s="963" t="str">
        <f>IF(ISERROR(VLOOKUP(CONCATENATE($W$9,"_",T18),選手名簿!$A$1:$E$65536,5,FALSE))=TRUE,"",VLOOKUP(CONCATENATE($W$9,"_",T18),選手名簿!$A$1:$E$65536,5,FALSE))</f>
        <v/>
      </c>
      <c r="V18" s="964"/>
      <c r="W18" s="964"/>
      <c r="X18" s="964"/>
      <c r="Y18" s="965"/>
      <c r="Z18" s="374" t="str">
        <f>IF(ISERROR(VLOOKUP(CONCATENATE($W$9,"_",T18),選手名簿!$A$1:$G$65536,7,FALSE))=TRUE,"",VLOOKUP(CONCATENATE($W$9,"_",T18),選手名簿!$A$1:$G$65536,7,FALSE))</f>
        <v/>
      </c>
      <c r="AA18" s="345"/>
      <c r="AB18" s="373"/>
      <c r="AC18" s="345"/>
      <c r="AD18" s="373"/>
      <c r="AE18" s="345"/>
      <c r="AF18" s="373"/>
      <c r="AG18" s="345"/>
      <c r="AH18" s="373"/>
      <c r="AI18" s="379"/>
      <c r="AJ18" s="359">
        <f t="shared" si="1"/>
        <v>0</v>
      </c>
      <c r="AN18" s="308"/>
      <c r="AO18" s="308"/>
      <c r="AP18" s="309"/>
      <c r="AQ18" s="309"/>
      <c r="AR18" s="309"/>
      <c r="AS18" s="309"/>
      <c r="AT18" s="309"/>
      <c r="AU18" s="308"/>
      <c r="AV18" s="308"/>
      <c r="AW18" s="308"/>
      <c r="AX18" s="308"/>
      <c r="AY18" s="309"/>
      <c r="AZ18" s="309"/>
      <c r="BA18" s="309"/>
      <c r="BB18" s="308"/>
      <c r="BC18" s="308"/>
      <c r="BD18" s="308"/>
    </row>
    <row r="19" spans="1:56" s="371" customFormat="1" ht="20.100000000000001" customHeight="1" x14ac:dyDescent="0.15">
      <c r="A19" s="372"/>
      <c r="B19" s="373">
        <f t="shared" si="0"/>
        <v>0</v>
      </c>
      <c r="C19" s="361"/>
      <c r="D19" s="373"/>
      <c r="E19" s="345"/>
      <c r="F19" s="373"/>
      <c r="G19" s="345"/>
      <c r="H19" s="373"/>
      <c r="I19" s="345"/>
      <c r="J19" s="373"/>
      <c r="K19" s="374" t="str">
        <f>IF(ISERROR(VLOOKUP(CONCATENATE($B$9,"_",Q19),選手名簿!$A$1:$G$65536,7,FALSE))=TRUE,"",VLOOKUP(CONCATENATE($B$9,"_",Q19),選手名簿!$A$1:$G$65536,7,FALSE))</f>
        <v/>
      </c>
      <c r="L19" s="963" t="str">
        <f>IF(ISERROR(VLOOKUP(CONCATENATE($B$9,"_",Q19),選手名簿!$A$1:$E$65536,5,FALSE))=TRUE,"",VLOOKUP(CONCATENATE($B$9,"_",Q19),選手名簿!$A$1:$E$65536,5,FALSE))</f>
        <v/>
      </c>
      <c r="M19" s="964"/>
      <c r="N19" s="964"/>
      <c r="O19" s="964"/>
      <c r="P19" s="965"/>
      <c r="Q19" s="375"/>
      <c r="R19" s="376" t="str">
        <f>IF(ISERROR(VLOOKUP(CONCATENATE($B$9,"_",Q19),選手名簿!$A$1:$E$65536,4,FALSE))=TRUE,"",VLOOKUP(CONCATENATE($B$9,"_",Q19),選手名簿!$A$1:$E$65536,4,FALSE))</f>
        <v/>
      </c>
      <c r="S19" s="377" t="str">
        <f>IF(ISERROR(VLOOKUP(CONCATENATE($W$9,"_",T19),選手名簿!$A$1:$E$65536,4,FALSE))=TRUE,"",VLOOKUP(CONCATENATE($W$9,"_",T19),選手名簿!$A$1:$E$65536,4,FALSE))</f>
        <v/>
      </c>
      <c r="T19" s="378"/>
      <c r="U19" s="963" t="str">
        <f>IF(ISERROR(VLOOKUP(CONCATENATE($W$9,"_",T19),選手名簿!$A$1:$E$65536,5,FALSE))=TRUE,"",VLOOKUP(CONCATENATE($W$9,"_",T19),選手名簿!$A$1:$E$65536,5,FALSE))</f>
        <v/>
      </c>
      <c r="V19" s="964"/>
      <c r="W19" s="964"/>
      <c r="X19" s="964"/>
      <c r="Y19" s="965"/>
      <c r="Z19" s="374" t="str">
        <f>IF(ISERROR(VLOOKUP(CONCATENATE($W$9,"_",T19),選手名簿!$A$1:$G$65536,7,FALSE))=TRUE,"",VLOOKUP(CONCATENATE($W$9,"_",T19),選手名簿!$A$1:$G$65536,7,FALSE))</f>
        <v/>
      </c>
      <c r="AA19" s="345"/>
      <c r="AB19" s="373"/>
      <c r="AC19" s="345"/>
      <c r="AD19" s="373"/>
      <c r="AE19" s="345"/>
      <c r="AF19" s="373"/>
      <c r="AG19" s="345"/>
      <c r="AH19" s="373"/>
      <c r="AI19" s="379"/>
      <c r="AJ19" s="359">
        <f t="shared" si="1"/>
        <v>0</v>
      </c>
      <c r="AN19" s="308"/>
      <c r="AO19" s="308"/>
      <c r="AP19" s="309"/>
      <c r="AQ19" s="309"/>
      <c r="AR19" s="309"/>
      <c r="AS19" s="309"/>
      <c r="AT19" s="309"/>
      <c r="AU19" s="308"/>
      <c r="AV19" s="308"/>
      <c r="AW19" s="308"/>
      <c r="AX19" s="308"/>
      <c r="AY19" s="309"/>
      <c r="AZ19" s="309"/>
      <c r="BA19" s="309"/>
      <c r="BB19" s="308"/>
      <c r="BC19" s="308"/>
      <c r="BD19" s="308"/>
    </row>
    <row r="20" spans="1:56" s="371" customFormat="1" ht="20.100000000000001" customHeight="1" x14ac:dyDescent="0.15">
      <c r="A20" s="372"/>
      <c r="B20" s="373">
        <f t="shared" si="0"/>
        <v>0</v>
      </c>
      <c r="C20" s="361"/>
      <c r="D20" s="380"/>
      <c r="E20" s="345"/>
      <c r="F20" s="373"/>
      <c r="G20" s="345"/>
      <c r="H20" s="379"/>
      <c r="I20" s="345"/>
      <c r="J20" s="373"/>
      <c r="K20" s="374" t="str">
        <f>IF(ISERROR(VLOOKUP(CONCATENATE($B$9,"_",Q20),選手名簿!$A$1:$G$65536,7,FALSE))=TRUE,"",VLOOKUP(CONCATENATE($B$9,"_",Q20),選手名簿!$A$1:$G$65536,7,FALSE))</f>
        <v/>
      </c>
      <c r="L20" s="963" t="str">
        <f>IF(ISERROR(VLOOKUP(CONCATENATE($B$9,"_",Q20),選手名簿!$A$1:$E$65536,5,FALSE))=TRUE,"",VLOOKUP(CONCATENATE($B$9,"_",Q20),選手名簿!$A$1:$E$65536,5,FALSE))</f>
        <v/>
      </c>
      <c r="M20" s="964"/>
      <c r="N20" s="964"/>
      <c r="O20" s="964"/>
      <c r="P20" s="965"/>
      <c r="Q20" s="375"/>
      <c r="R20" s="376" t="str">
        <f>IF(ISERROR(VLOOKUP(CONCATENATE($B$9,"_",Q20),選手名簿!$A$1:$E$65536,4,FALSE))=TRUE,"",VLOOKUP(CONCATENATE($B$9,"_",Q20),選手名簿!$A$1:$E$65536,4,FALSE))</f>
        <v/>
      </c>
      <c r="S20" s="377" t="str">
        <f>IF(ISERROR(VLOOKUP(CONCATENATE($W$9,"_",T20),選手名簿!$A$1:$E$65536,4,FALSE))=TRUE,"",VLOOKUP(CONCATENATE($W$9,"_",T20),選手名簿!$A$1:$E$65536,4,FALSE))</f>
        <v/>
      </c>
      <c r="T20" s="378"/>
      <c r="U20" s="963" t="str">
        <f>IF(ISERROR(VLOOKUP(CONCATENATE($W$9,"_",T20),選手名簿!$A$1:$E$65536,5,FALSE))=TRUE,"",VLOOKUP(CONCATENATE($W$9,"_",T20),選手名簿!$A$1:$E$65536,5,FALSE))</f>
        <v/>
      </c>
      <c r="V20" s="964"/>
      <c r="W20" s="964"/>
      <c r="X20" s="964"/>
      <c r="Y20" s="965"/>
      <c r="Z20" s="374" t="str">
        <f>IF(ISERROR(VLOOKUP(CONCATENATE($W$9,"_",T20),選手名簿!$A$1:$G$65536,7,FALSE))=TRUE,"",VLOOKUP(CONCATENATE($W$9,"_",T20),選手名簿!$A$1:$G$65536,7,FALSE))</f>
        <v/>
      </c>
      <c r="AA20" s="345"/>
      <c r="AB20" s="373"/>
      <c r="AC20" s="345"/>
      <c r="AD20" s="373"/>
      <c r="AE20" s="345"/>
      <c r="AF20" s="373"/>
      <c r="AG20" s="345"/>
      <c r="AH20" s="373"/>
      <c r="AI20" s="379"/>
      <c r="AJ20" s="359">
        <f t="shared" si="1"/>
        <v>0</v>
      </c>
      <c r="AN20" s="308"/>
      <c r="AO20" s="308"/>
      <c r="AP20" s="309"/>
      <c r="AQ20" s="309"/>
      <c r="AR20" s="309"/>
      <c r="AS20" s="309"/>
      <c r="AT20" s="309"/>
      <c r="AU20" s="308"/>
      <c r="AV20" s="308"/>
      <c r="AW20" s="308"/>
      <c r="AX20" s="308"/>
      <c r="AY20" s="309"/>
      <c r="AZ20" s="309"/>
      <c r="BA20" s="309"/>
      <c r="BB20" s="308"/>
      <c r="BC20" s="308"/>
      <c r="BD20" s="308"/>
    </row>
    <row r="21" spans="1:56" s="371" customFormat="1" ht="20.100000000000001" customHeight="1" x14ac:dyDescent="0.15">
      <c r="A21" s="381"/>
      <c r="B21" s="373">
        <f t="shared" si="0"/>
        <v>0</v>
      </c>
      <c r="C21" s="361"/>
      <c r="D21" s="380"/>
      <c r="E21" s="345"/>
      <c r="F21" s="373"/>
      <c r="G21" s="351"/>
      <c r="H21" s="382"/>
      <c r="I21" s="351"/>
      <c r="J21" s="382"/>
      <c r="K21" s="374" t="str">
        <f>IF(ISERROR(VLOOKUP(CONCATENATE($B$9,"_",Q21),選手名簿!$A$1:$G$65536,7,FALSE))=TRUE,"",VLOOKUP(CONCATENATE($B$9,"_",Q21),選手名簿!$A$1:$G$65536,7,FALSE))</f>
        <v/>
      </c>
      <c r="L21" s="963" t="str">
        <f>IF(ISERROR(VLOOKUP(CONCATENATE($B$9,"_",Q21),選手名簿!$A$1:$E$65536,5,FALSE))=TRUE,"",VLOOKUP(CONCATENATE($B$9,"_",Q21),選手名簿!$A$1:$E$65536,5,FALSE))</f>
        <v/>
      </c>
      <c r="M21" s="964"/>
      <c r="N21" s="964"/>
      <c r="O21" s="964"/>
      <c r="P21" s="965"/>
      <c r="Q21" s="375"/>
      <c r="R21" s="376" t="str">
        <f>IF(ISERROR(VLOOKUP(CONCATENATE($B$9,"_",Q21),選手名簿!$A$1:$E$65536,4,FALSE))=TRUE,"",VLOOKUP(CONCATENATE($B$9,"_",Q21),選手名簿!$A$1:$E$65536,4,FALSE))</f>
        <v/>
      </c>
      <c r="S21" s="377" t="str">
        <f>IF(ISERROR(VLOOKUP(CONCATENATE($W$9,"_",T21),選手名簿!$A$1:$E$65536,4,FALSE))=TRUE,"",VLOOKUP(CONCATENATE($W$9,"_",T21),選手名簿!$A$1:$E$65536,4,FALSE))</f>
        <v/>
      </c>
      <c r="T21" s="378"/>
      <c r="U21" s="963" t="str">
        <f>IF(ISERROR(VLOOKUP(CONCATENATE($W$9,"_",T21),選手名簿!$A$1:$E$65536,5,FALSE))=TRUE,"",VLOOKUP(CONCATENATE($W$9,"_",T21),選手名簿!$A$1:$E$65536,5,FALSE))</f>
        <v/>
      </c>
      <c r="V21" s="964"/>
      <c r="W21" s="964"/>
      <c r="X21" s="964"/>
      <c r="Y21" s="965"/>
      <c r="Z21" s="374" t="str">
        <f>IF(ISERROR(VLOOKUP(CONCATENATE($W$9,"_",T21),選手名簿!$A$1:$G$65536,7,FALSE))=TRUE,"",VLOOKUP(CONCATENATE($W$9,"_",T21),選手名簿!$A$1:$G$65536,7,FALSE))</f>
        <v/>
      </c>
      <c r="AA21" s="351"/>
      <c r="AB21" s="382"/>
      <c r="AC21" s="351"/>
      <c r="AD21" s="382"/>
      <c r="AE21" s="345"/>
      <c r="AF21" s="382"/>
      <c r="AG21" s="345"/>
      <c r="AH21" s="382"/>
      <c r="AI21" s="379"/>
      <c r="AJ21" s="359">
        <f t="shared" si="1"/>
        <v>0</v>
      </c>
      <c r="AN21" s="308"/>
      <c r="AO21" s="308"/>
      <c r="AP21" s="309"/>
      <c r="AQ21" s="309"/>
      <c r="AR21" s="309"/>
      <c r="AS21" s="309"/>
      <c r="AT21" s="309"/>
      <c r="AU21" s="308"/>
      <c r="AV21" s="308"/>
      <c r="AW21" s="308"/>
      <c r="AX21" s="308"/>
      <c r="AY21" s="309"/>
      <c r="AZ21" s="309"/>
      <c r="BA21" s="309"/>
      <c r="BB21" s="308"/>
      <c r="BC21" s="308"/>
      <c r="BD21" s="308"/>
    </row>
    <row r="22" spans="1:56" s="371" customFormat="1" ht="20.100000000000001" customHeight="1" x14ac:dyDescent="0.15">
      <c r="A22" s="381"/>
      <c r="B22" s="373">
        <f t="shared" si="0"/>
        <v>0</v>
      </c>
      <c r="C22" s="345"/>
      <c r="D22" s="373"/>
      <c r="E22" s="345"/>
      <c r="F22" s="373"/>
      <c r="G22" s="345"/>
      <c r="H22" s="373"/>
      <c r="I22" s="345"/>
      <c r="J22" s="373"/>
      <c r="K22" s="374" t="str">
        <f>IF(ISERROR(VLOOKUP(CONCATENATE($B$9,"_",Q22),選手名簿!$A$1:$G$65536,7,FALSE))=TRUE,"",VLOOKUP(CONCATENATE($B$9,"_",Q22),選手名簿!$A$1:$G$65536,7,FALSE))</f>
        <v/>
      </c>
      <c r="L22" s="963" t="str">
        <f>IF(ISERROR(VLOOKUP(CONCATENATE($B$9,"_",Q22),選手名簿!$A$1:$E$65536,5,FALSE))=TRUE,"",VLOOKUP(CONCATENATE($B$9,"_",Q22),選手名簿!$A$1:$E$65536,5,FALSE))</f>
        <v/>
      </c>
      <c r="M22" s="964"/>
      <c r="N22" s="964"/>
      <c r="O22" s="964"/>
      <c r="P22" s="965"/>
      <c r="Q22" s="375"/>
      <c r="R22" s="376" t="str">
        <f>IF(ISERROR(VLOOKUP(CONCATENATE($B$9,"_",Q22),選手名簿!$A$1:$E$65536,4,FALSE))=TRUE,"",VLOOKUP(CONCATENATE($B$9,"_",Q22),選手名簿!$A$1:$E$65536,4,FALSE))</f>
        <v/>
      </c>
      <c r="S22" s="377" t="str">
        <f>IF(ISERROR(VLOOKUP(CONCATENATE($W$9,"_",T22),選手名簿!$A$1:$E$65536,4,FALSE))=TRUE,"",VLOOKUP(CONCATENATE($W$9,"_",T22),選手名簿!$A$1:$E$65536,4,FALSE))</f>
        <v/>
      </c>
      <c r="T22" s="378"/>
      <c r="U22" s="963" t="str">
        <f>IF(ISERROR(VLOOKUP(CONCATENATE($W$9,"_",T22),選手名簿!$A$1:$E$65536,5,FALSE))=TRUE,"",VLOOKUP(CONCATENATE($W$9,"_",T22),選手名簿!$A$1:$E$65536,5,FALSE))</f>
        <v/>
      </c>
      <c r="V22" s="964"/>
      <c r="W22" s="964"/>
      <c r="X22" s="964"/>
      <c r="Y22" s="965"/>
      <c r="Z22" s="374" t="str">
        <f>IF(ISERROR(VLOOKUP(CONCATENATE($W$9,"_",T22),選手名簿!$A$1:$G$65536,7,FALSE))=TRUE,"",VLOOKUP(CONCATENATE($W$9,"_",T22),選手名簿!$A$1:$G$65536,7,FALSE))</f>
        <v/>
      </c>
      <c r="AA22" s="345"/>
      <c r="AB22" s="373"/>
      <c r="AC22" s="345"/>
      <c r="AD22" s="373"/>
      <c r="AE22" s="345"/>
      <c r="AF22" s="373"/>
      <c r="AG22" s="345"/>
      <c r="AH22" s="373"/>
      <c r="AI22" s="379"/>
      <c r="AJ22" s="359">
        <f t="shared" si="1"/>
        <v>0</v>
      </c>
      <c r="AN22" s="308"/>
      <c r="AO22" s="308"/>
      <c r="AP22" s="309"/>
      <c r="AQ22" s="309"/>
      <c r="AR22" s="309"/>
      <c r="AS22" s="309"/>
      <c r="AT22" s="309"/>
      <c r="AU22" s="308"/>
      <c r="AV22" s="308"/>
      <c r="AW22" s="308"/>
      <c r="AX22" s="308"/>
      <c r="AY22" s="309"/>
      <c r="AZ22" s="309"/>
      <c r="BA22" s="309"/>
      <c r="BB22" s="308"/>
      <c r="BC22" s="308"/>
      <c r="BD22" s="308"/>
    </row>
    <row r="23" spans="1:56" s="371" customFormat="1" ht="20.100000000000001" customHeight="1" x14ac:dyDescent="0.15">
      <c r="A23" s="372"/>
      <c r="B23" s="373">
        <f t="shared" si="0"/>
        <v>0</v>
      </c>
      <c r="C23" s="345"/>
      <c r="D23" s="373"/>
      <c r="E23" s="345"/>
      <c r="F23" s="373"/>
      <c r="G23" s="345"/>
      <c r="H23" s="373"/>
      <c r="I23" s="345"/>
      <c r="J23" s="373"/>
      <c r="K23" s="374" t="str">
        <f>IF(ISERROR(VLOOKUP(CONCATENATE($B$9,"_",Q23),選手名簿!$A$1:$G$65536,7,FALSE))=TRUE,"",VLOOKUP(CONCATENATE($B$9,"_",Q23),選手名簿!$A$1:$G$65536,7,FALSE))</f>
        <v/>
      </c>
      <c r="L23" s="963" t="str">
        <f>IF(ISERROR(VLOOKUP(CONCATENATE($B$9,"_",Q23),選手名簿!$A$1:$E$65536,5,FALSE))=TRUE,"",VLOOKUP(CONCATENATE($B$9,"_",Q23),選手名簿!$A$1:$E$65536,5,FALSE))</f>
        <v/>
      </c>
      <c r="M23" s="964"/>
      <c r="N23" s="964"/>
      <c r="O23" s="964"/>
      <c r="P23" s="965"/>
      <c r="Q23" s="375"/>
      <c r="R23" s="376" t="str">
        <f>IF(ISERROR(VLOOKUP(CONCATENATE($B$9,"_",Q23),選手名簿!$A$1:$E$65536,4,FALSE))=TRUE,"",VLOOKUP(CONCATENATE($B$9,"_",Q23),選手名簿!$A$1:$E$65536,4,FALSE))</f>
        <v/>
      </c>
      <c r="S23" s="377" t="str">
        <f>IF(ISERROR(VLOOKUP(CONCATENATE($W$9,"_",T23),選手名簿!$A$1:$E$65536,4,FALSE))=TRUE,"",VLOOKUP(CONCATENATE($W$9,"_",T23),選手名簿!$A$1:$E$65536,4,FALSE))</f>
        <v/>
      </c>
      <c r="T23" s="378"/>
      <c r="U23" s="963" t="str">
        <f>IF(ISERROR(VLOOKUP(CONCATENATE($W$9,"_",T23),選手名簿!$A$1:$E$65536,5,FALSE))=TRUE,"",VLOOKUP(CONCATENATE($W$9,"_",T23),選手名簿!$A$1:$E$65536,5,FALSE))</f>
        <v/>
      </c>
      <c r="V23" s="964"/>
      <c r="W23" s="964"/>
      <c r="X23" s="964"/>
      <c r="Y23" s="965"/>
      <c r="Z23" s="374" t="str">
        <f>IF(ISERROR(VLOOKUP(CONCATENATE($W$9,"_",T23),選手名簿!$A$1:$G$65536,7,FALSE))=TRUE,"",VLOOKUP(CONCATENATE($W$9,"_",T23),選手名簿!$A$1:$G$65536,7,FALSE))</f>
        <v/>
      </c>
      <c r="AA23" s="345"/>
      <c r="AB23" s="373"/>
      <c r="AC23" s="345"/>
      <c r="AD23" s="373"/>
      <c r="AE23" s="345"/>
      <c r="AF23" s="373"/>
      <c r="AG23" s="345"/>
      <c r="AH23" s="373"/>
      <c r="AI23" s="379"/>
      <c r="AJ23" s="359">
        <f t="shared" si="1"/>
        <v>0</v>
      </c>
      <c r="AN23" s="308"/>
      <c r="AO23" s="308"/>
      <c r="AP23" s="309"/>
      <c r="AQ23" s="309"/>
      <c r="AR23" s="309"/>
      <c r="AS23" s="309"/>
      <c r="AT23" s="309"/>
      <c r="AU23" s="308"/>
      <c r="AV23" s="308"/>
      <c r="AW23" s="308"/>
      <c r="AX23" s="308"/>
      <c r="AY23" s="309"/>
      <c r="AZ23" s="309"/>
      <c r="BA23" s="309"/>
      <c r="BB23" s="308"/>
      <c r="BC23" s="308"/>
      <c r="BD23" s="308"/>
    </row>
    <row r="24" spans="1:56" s="371" customFormat="1" ht="20.100000000000001" customHeight="1" x14ac:dyDescent="0.15">
      <c r="A24" s="381"/>
      <c r="B24" s="383"/>
      <c r="C24" s="383"/>
      <c r="D24" s="383"/>
      <c r="E24" s="383"/>
      <c r="F24" s="383"/>
      <c r="G24" s="383"/>
      <c r="H24" s="383"/>
      <c r="I24" s="383"/>
      <c r="J24" s="383"/>
      <c r="K24" s="383"/>
      <c r="L24" s="383"/>
      <c r="M24" s="383"/>
      <c r="N24" s="383"/>
      <c r="O24" s="383"/>
      <c r="P24" s="383"/>
      <c r="Q24" s="966" t="s">
        <v>471</v>
      </c>
      <c r="R24" s="966"/>
      <c r="S24" s="966"/>
      <c r="T24" s="966"/>
      <c r="U24" s="383"/>
      <c r="V24" s="383"/>
      <c r="W24" s="383"/>
      <c r="X24" s="383"/>
      <c r="Y24" s="383"/>
      <c r="Z24" s="383"/>
      <c r="AA24" s="383"/>
      <c r="AB24" s="383"/>
      <c r="AC24" s="383"/>
      <c r="AD24" s="383"/>
      <c r="AE24" s="383"/>
      <c r="AF24" s="383"/>
      <c r="AG24" s="383"/>
      <c r="AH24" s="383"/>
      <c r="AI24" s="383"/>
      <c r="AJ24" s="384"/>
      <c r="AN24" s="308"/>
      <c r="AO24" s="308"/>
      <c r="AP24" s="309"/>
      <c r="AQ24" s="309"/>
      <c r="AR24" s="309"/>
      <c r="AS24" s="309"/>
      <c r="AT24" s="309"/>
      <c r="AU24" s="308"/>
      <c r="AV24" s="308"/>
      <c r="AW24" s="308"/>
      <c r="AX24" s="308"/>
      <c r="AY24" s="309"/>
      <c r="AZ24" s="309"/>
      <c r="BA24" s="309"/>
      <c r="BB24" s="308"/>
      <c r="BC24" s="308"/>
      <c r="BD24" s="308"/>
    </row>
    <row r="25" spans="1:56" s="371" customFormat="1" ht="20.100000000000001" customHeight="1" x14ac:dyDescent="0.15">
      <c r="A25" s="372"/>
      <c r="B25" s="373">
        <f t="shared" si="0"/>
        <v>0</v>
      </c>
      <c r="C25" s="323"/>
      <c r="E25" s="345"/>
      <c r="G25" s="345"/>
      <c r="H25" s="373"/>
      <c r="I25" s="345"/>
      <c r="J25" s="373"/>
      <c r="K25" s="374" t="str">
        <f>IF(ISERROR(VLOOKUP(CONCATENATE($B$9,"_",Q25),選手名簿!$A$1:$G$65536,7,FALSE))=TRUE,"",VLOOKUP(CONCATENATE($B$9,"_",Q25),選手名簿!$A$1:$G$65536,7,FALSE))</f>
        <v/>
      </c>
      <c r="L25" s="963" t="str">
        <f>IF(ISERROR(VLOOKUP(CONCATENATE($B$9,"_",Q25),選手名簿!$A$1:$E$65536,5,FALSE))=TRUE,"",VLOOKUP(CONCATENATE($B$9,"_",Q25),選手名簿!$A$1:$E$65536,5,FALSE))</f>
        <v/>
      </c>
      <c r="M25" s="964"/>
      <c r="N25" s="964"/>
      <c r="O25" s="964"/>
      <c r="P25" s="965"/>
      <c r="Q25" s="375"/>
      <c r="R25" s="376" t="str">
        <f>IF(ISERROR(VLOOKUP(CONCATENATE($B$9,"_",Q25),選手名簿!$A$1:$E$65536,4,FALSE))=TRUE,"",VLOOKUP(CONCATENATE($B$9,"_",Q25),選手名簿!$A$1:$E$65536,4,FALSE))</f>
        <v/>
      </c>
      <c r="S25" s="377" t="str">
        <f>IF(ISERROR(VLOOKUP(CONCATENATE($W$9,"_",T25),選手名簿!$A$1:$E$65536,4,FALSE))=TRUE,"",VLOOKUP(CONCATENATE($W$9,"_",T25),選手名簿!$A$1:$E$65536,4,FALSE))</f>
        <v/>
      </c>
      <c r="T25" s="378"/>
      <c r="U25" s="963" t="str">
        <f>IF(ISERROR(VLOOKUP(CONCATENATE($W$9,"_",T25),選手名簿!$A$1:$E$65536,5,FALSE))=TRUE,"",VLOOKUP(CONCATENATE($W$9,"_",T25),選手名簿!$A$1:$E$65536,5,FALSE))</f>
        <v/>
      </c>
      <c r="V25" s="964"/>
      <c r="W25" s="964"/>
      <c r="X25" s="964"/>
      <c r="Y25" s="965"/>
      <c r="Z25" s="374" t="str">
        <f>IF(ISERROR(VLOOKUP(CONCATENATE($W$9,"_",T25),選手名簿!$A$1:$G$65536,7,FALSE))=TRUE,"",VLOOKUP(CONCATENATE($W$9,"_",T25),選手名簿!$A$1:$G$65536,7,FALSE))</f>
        <v/>
      </c>
      <c r="AA25" s="345"/>
      <c r="AB25" s="373"/>
      <c r="AC25" s="345"/>
      <c r="AD25" s="373"/>
      <c r="AE25" s="345"/>
      <c r="AF25" s="373"/>
      <c r="AG25" s="345"/>
      <c r="AH25" s="373"/>
      <c r="AI25" s="379"/>
      <c r="AJ25" s="359">
        <f t="shared" si="1"/>
        <v>0</v>
      </c>
      <c r="AN25" s="308"/>
      <c r="AO25" s="308"/>
      <c r="AP25" s="309"/>
      <c r="AQ25" s="309"/>
      <c r="AR25" s="309"/>
      <c r="AS25" s="309"/>
      <c r="AT25" s="309"/>
      <c r="AU25" s="308"/>
      <c r="AV25" s="308"/>
      <c r="AW25" s="308"/>
      <c r="AX25" s="308"/>
      <c r="AY25" s="309"/>
      <c r="AZ25" s="309"/>
      <c r="BA25" s="309"/>
      <c r="BB25" s="308"/>
      <c r="BC25" s="308"/>
      <c r="BD25" s="308"/>
    </row>
    <row r="26" spans="1:56" s="371" customFormat="1" ht="20.100000000000001" customHeight="1" x14ac:dyDescent="0.15">
      <c r="A26" s="372"/>
      <c r="B26" s="373">
        <f t="shared" si="0"/>
        <v>0</v>
      </c>
      <c r="C26" s="345"/>
      <c r="D26" s="379"/>
      <c r="E26" s="345"/>
      <c r="F26" s="379"/>
      <c r="G26" s="345"/>
      <c r="H26" s="373"/>
      <c r="I26" s="345"/>
      <c r="J26" s="373"/>
      <c r="K26" s="374" t="str">
        <f>IF(ISERROR(VLOOKUP(CONCATENATE($B$9,"_",Q26),選手名簿!$A$1:$G$65536,7,FALSE))=TRUE,"",VLOOKUP(CONCATENATE($B$9,"_",Q26),選手名簿!$A$1:$G$65536,7,FALSE))</f>
        <v/>
      </c>
      <c r="L26" s="963" t="str">
        <f>IF(ISERROR(VLOOKUP(CONCATENATE($B$9,"_",Q26),選手名簿!$A$1:$E$65536,5,FALSE))=TRUE,"",VLOOKUP(CONCATENATE($B$9,"_",Q26),選手名簿!$A$1:$E$65536,5,FALSE))</f>
        <v/>
      </c>
      <c r="M26" s="964"/>
      <c r="N26" s="964"/>
      <c r="O26" s="964"/>
      <c r="P26" s="965"/>
      <c r="Q26" s="375"/>
      <c r="R26" s="376" t="str">
        <f>IF(ISERROR(VLOOKUP(CONCATENATE($B$9,"_",Q26),選手名簿!$A$1:$E$65536,4,FALSE))=TRUE,"",VLOOKUP(CONCATENATE($B$9,"_",Q26),選手名簿!$A$1:$E$65536,4,FALSE))</f>
        <v/>
      </c>
      <c r="S26" s="377" t="str">
        <f>IF(ISERROR(VLOOKUP(CONCATENATE($W$9,"_",T26),選手名簿!$A$1:$E$65536,4,FALSE))=TRUE,"",VLOOKUP(CONCATENATE($W$9,"_",T26),選手名簿!$A$1:$E$65536,4,FALSE))</f>
        <v/>
      </c>
      <c r="T26" s="378"/>
      <c r="U26" s="963" t="str">
        <f>IF(ISERROR(VLOOKUP(CONCATENATE($W$9,"_",T26),選手名簿!$A$1:$E$65536,5,FALSE))=TRUE,"",VLOOKUP(CONCATENATE($W$9,"_",T26),選手名簿!$A$1:$E$65536,5,FALSE))</f>
        <v/>
      </c>
      <c r="V26" s="964"/>
      <c r="W26" s="964"/>
      <c r="X26" s="964"/>
      <c r="Y26" s="965"/>
      <c r="Z26" s="374" t="str">
        <f>IF(ISERROR(VLOOKUP(CONCATENATE($W$9,"_",T26),選手名簿!$A$1:$G$65536,7,FALSE))=TRUE,"",VLOOKUP(CONCATENATE($W$9,"_",T26),選手名簿!$A$1:$G$65536,7,FALSE))</f>
        <v/>
      </c>
      <c r="AA26" s="345"/>
      <c r="AB26" s="373"/>
      <c r="AC26" s="345"/>
      <c r="AD26" s="373"/>
      <c r="AE26" s="345"/>
      <c r="AF26" s="373"/>
      <c r="AG26" s="345"/>
      <c r="AH26" s="373"/>
      <c r="AI26" s="379"/>
      <c r="AJ26" s="359">
        <f t="shared" si="1"/>
        <v>0</v>
      </c>
      <c r="AP26" s="309"/>
      <c r="AQ26" s="309"/>
      <c r="AR26" s="309"/>
      <c r="AS26" s="309"/>
      <c r="AT26" s="309"/>
      <c r="AX26" s="308"/>
      <c r="AY26" s="309"/>
      <c r="AZ26" s="309"/>
      <c r="BA26" s="309"/>
      <c r="BB26" s="308"/>
    </row>
    <row r="27" spans="1:56" s="371" customFormat="1" ht="20.100000000000001" customHeight="1" x14ac:dyDescent="0.15">
      <c r="A27" s="372"/>
      <c r="B27" s="373">
        <f t="shared" si="0"/>
        <v>0</v>
      </c>
      <c r="C27" s="345"/>
      <c r="D27" s="379"/>
      <c r="E27" s="345"/>
      <c r="F27" s="379"/>
      <c r="G27" s="345"/>
      <c r="H27" s="373"/>
      <c r="I27" s="345"/>
      <c r="J27" s="373"/>
      <c r="K27" s="374" t="str">
        <f>IF(ISERROR(VLOOKUP(CONCATENATE($B$9,"_",Q27),選手名簿!$A$1:$G$65536,7,FALSE))=TRUE,"",VLOOKUP(CONCATENATE($B$9,"_",Q27),選手名簿!$A$1:$G$65536,7,FALSE))</f>
        <v/>
      </c>
      <c r="L27" s="963" t="str">
        <f>IF(ISERROR(VLOOKUP(CONCATENATE($B$9,"_",Q27),選手名簿!$A$1:$E$65536,5,FALSE))=TRUE,"",VLOOKUP(CONCATENATE($B$9,"_",Q27),選手名簿!$A$1:$E$65536,5,FALSE))</f>
        <v/>
      </c>
      <c r="M27" s="964"/>
      <c r="N27" s="964"/>
      <c r="O27" s="964"/>
      <c r="P27" s="965"/>
      <c r="Q27" s="375"/>
      <c r="R27" s="376" t="str">
        <f>IF(ISERROR(VLOOKUP(CONCATENATE($B$9,"_",Q27),選手名簿!$A$1:$E$65536,4,FALSE))=TRUE,"",VLOOKUP(CONCATENATE($B$9,"_",Q27),選手名簿!$A$1:$E$65536,4,FALSE))</f>
        <v/>
      </c>
      <c r="S27" s="377" t="str">
        <f>IF(ISERROR(VLOOKUP(CONCATENATE($W$9,"_",T27),選手名簿!$A$1:$E$65536,4,FALSE))=TRUE,"",VLOOKUP(CONCATENATE($W$9,"_",T27),選手名簿!$A$1:$E$65536,4,FALSE))</f>
        <v/>
      </c>
      <c r="T27" s="378"/>
      <c r="U27" s="963" t="str">
        <f>IF(ISERROR(VLOOKUP(CONCATENATE($W$9,"_",T27),選手名簿!$A$1:$E$65536,5,FALSE))=TRUE,"",VLOOKUP(CONCATENATE($W$9,"_",T27),選手名簿!$A$1:$E$65536,5,FALSE))</f>
        <v/>
      </c>
      <c r="V27" s="964"/>
      <c r="W27" s="964"/>
      <c r="X27" s="964"/>
      <c r="Y27" s="965"/>
      <c r="Z27" s="374" t="str">
        <f>IF(ISERROR(VLOOKUP(CONCATENATE($W$9,"_",T27),選手名簿!$A$1:$G$65536,7,FALSE))=TRUE,"",VLOOKUP(CONCATENATE($W$9,"_",T27),選手名簿!$A$1:$G$65536,7,FALSE))</f>
        <v/>
      </c>
      <c r="AA27" s="345"/>
      <c r="AB27" s="373"/>
      <c r="AC27" s="345"/>
      <c r="AD27" s="373"/>
      <c r="AE27" s="345"/>
      <c r="AF27" s="373"/>
      <c r="AG27" s="345"/>
      <c r="AH27" s="373"/>
      <c r="AI27" s="379"/>
      <c r="AJ27" s="359">
        <f t="shared" si="1"/>
        <v>0</v>
      </c>
      <c r="AN27" s="308"/>
      <c r="AO27" s="308"/>
      <c r="AP27" s="309"/>
      <c r="AQ27" s="309"/>
      <c r="AR27" s="309"/>
      <c r="AS27" s="309"/>
      <c r="AT27" s="309"/>
      <c r="AU27" s="308"/>
      <c r="AV27" s="308"/>
      <c r="AW27" s="308"/>
      <c r="AX27" s="308"/>
      <c r="AY27" s="309"/>
      <c r="AZ27" s="309"/>
      <c r="BA27" s="309"/>
      <c r="BB27" s="308"/>
      <c r="BC27" s="308"/>
      <c r="BD27" s="308"/>
    </row>
    <row r="28" spans="1:56" s="371" customFormat="1" ht="20.100000000000001" customHeight="1" x14ac:dyDescent="0.15">
      <c r="A28" s="372"/>
      <c r="B28" s="373">
        <f t="shared" si="0"/>
        <v>0</v>
      </c>
      <c r="C28" s="345"/>
      <c r="D28" s="379"/>
      <c r="E28" s="345"/>
      <c r="F28" s="379"/>
      <c r="G28" s="345"/>
      <c r="H28" s="373"/>
      <c r="I28" s="345"/>
      <c r="J28" s="373"/>
      <c r="K28" s="374" t="str">
        <f>IF(ISERROR(VLOOKUP(CONCATENATE($B$9,"_",Q28),選手名簿!$A$1:$G$65536,7,FALSE))=TRUE,"",VLOOKUP(CONCATENATE($B$9,"_",Q28),選手名簿!$A$1:$G$65536,7,FALSE))</f>
        <v/>
      </c>
      <c r="L28" s="963" t="str">
        <f>IF(ISERROR(VLOOKUP(CONCATENATE($B$9,"_",Q28),選手名簿!$A$1:$E$65536,5,FALSE))=TRUE,"",VLOOKUP(CONCATENATE($B$9,"_",Q28),選手名簿!$A$1:$E$65536,5,FALSE))</f>
        <v/>
      </c>
      <c r="M28" s="964"/>
      <c r="N28" s="964"/>
      <c r="O28" s="964"/>
      <c r="P28" s="965"/>
      <c r="Q28" s="375"/>
      <c r="R28" s="376" t="str">
        <f>IF(ISERROR(VLOOKUP(CONCATENATE($B$9,"_",Q28),選手名簿!$A$1:$E$65536,4,FALSE))=TRUE,"",VLOOKUP(CONCATENATE($B$9,"_",Q28),選手名簿!$A$1:$E$65536,4,FALSE))</f>
        <v/>
      </c>
      <c r="S28" s="377" t="str">
        <f>IF(ISERROR(VLOOKUP(CONCATENATE($W$9,"_",T28),選手名簿!$A$1:$E$65536,4,FALSE))=TRUE,"",VLOOKUP(CONCATENATE($W$9,"_",T28),選手名簿!$A$1:$E$65536,4,FALSE))</f>
        <v/>
      </c>
      <c r="T28" s="378"/>
      <c r="U28" s="963" t="str">
        <f>IF(ISERROR(VLOOKUP(CONCATENATE($W$9,"_",T28),選手名簿!$A$1:$E$65536,5,FALSE))=TRUE,"",VLOOKUP(CONCATENATE($W$9,"_",T28),選手名簿!$A$1:$E$65536,5,FALSE))</f>
        <v/>
      </c>
      <c r="V28" s="964"/>
      <c r="W28" s="964"/>
      <c r="X28" s="964"/>
      <c r="Y28" s="965"/>
      <c r="Z28" s="374" t="str">
        <f>IF(ISERROR(VLOOKUP(CONCATENATE($W$9,"_",T28),選手名簿!$A$1:$G$65536,7,FALSE))=TRUE,"",VLOOKUP(CONCATENATE($W$9,"_",T28),選手名簿!$A$1:$G$65536,7,FALSE))</f>
        <v/>
      </c>
      <c r="AA28" s="345"/>
      <c r="AB28" s="373"/>
      <c r="AC28" s="345"/>
      <c r="AD28" s="373"/>
      <c r="AE28" s="345"/>
      <c r="AF28" s="373"/>
      <c r="AG28" s="345"/>
      <c r="AH28" s="373"/>
      <c r="AI28" s="379"/>
      <c r="AJ28" s="359">
        <f t="shared" si="1"/>
        <v>0</v>
      </c>
      <c r="AN28" s="308"/>
      <c r="AO28" s="308"/>
      <c r="AP28" s="309"/>
      <c r="AQ28" s="309"/>
      <c r="AR28" s="309"/>
      <c r="AS28" s="309"/>
      <c r="AT28" s="309"/>
      <c r="AU28" s="308"/>
      <c r="AV28" s="308"/>
      <c r="AW28" s="308"/>
      <c r="AX28" s="308"/>
      <c r="AY28" s="309"/>
      <c r="AZ28" s="309"/>
      <c r="BA28" s="309"/>
      <c r="BB28" s="308"/>
      <c r="BC28" s="308"/>
      <c r="BD28" s="308"/>
    </row>
    <row r="29" spans="1:56" s="371" customFormat="1" ht="20.100000000000001" customHeight="1" x14ac:dyDescent="0.15">
      <c r="A29" s="372"/>
      <c r="B29" s="373">
        <f t="shared" si="0"/>
        <v>0</v>
      </c>
      <c r="C29" s="345"/>
      <c r="D29" s="379"/>
      <c r="E29" s="345"/>
      <c r="F29" s="379"/>
      <c r="G29" s="345"/>
      <c r="H29" s="373"/>
      <c r="I29" s="345"/>
      <c r="J29" s="373"/>
      <c r="K29" s="374" t="str">
        <f>IF(ISERROR(VLOOKUP(CONCATENATE($B$9,"_",Q29),選手名簿!$A$1:$G$65536,7,FALSE))=TRUE,"",VLOOKUP(CONCATENATE($B$9,"_",Q29),選手名簿!$A$1:$G$65536,7,FALSE))</f>
        <v/>
      </c>
      <c r="L29" s="963" t="str">
        <f>IF(ISERROR(VLOOKUP(CONCATENATE($B$9,"_",Q29),選手名簿!$A$1:$E$65536,5,FALSE))=TRUE,"",VLOOKUP(CONCATENATE($B$9,"_",Q29),選手名簿!$A$1:$E$65536,5,FALSE))</f>
        <v/>
      </c>
      <c r="M29" s="964"/>
      <c r="N29" s="964"/>
      <c r="O29" s="964"/>
      <c r="P29" s="965"/>
      <c r="Q29" s="375"/>
      <c r="R29" s="376" t="str">
        <f>IF(ISERROR(VLOOKUP(CONCATENATE($B$9,"_",Q29),選手名簿!$A$1:$E$65536,4,FALSE))=TRUE,"",VLOOKUP(CONCATENATE($B$9,"_",Q29),選手名簿!$A$1:$E$65536,4,FALSE))</f>
        <v/>
      </c>
      <c r="S29" s="377" t="str">
        <f>IF(ISERROR(VLOOKUP(CONCATENATE($W$9,"_",T29),選手名簿!$A$1:$E$65536,4,FALSE))=TRUE,"",VLOOKUP(CONCATENATE($W$9,"_",T29),選手名簿!$A$1:$E$65536,4,FALSE))</f>
        <v/>
      </c>
      <c r="T29" s="378"/>
      <c r="U29" s="963" t="str">
        <f>IF(ISERROR(VLOOKUP(CONCATENATE($W$9,"_",T29),選手名簿!$A$1:$E$65536,5,FALSE))=TRUE,"",VLOOKUP(CONCATENATE($W$9,"_",T29),選手名簿!$A$1:$E$65536,5,FALSE))</f>
        <v/>
      </c>
      <c r="V29" s="964"/>
      <c r="W29" s="964"/>
      <c r="X29" s="964"/>
      <c r="Y29" s="965"/>
      <c r="Z29" s="374" t="str">
        <f>IF(ISERROR(VLOOKUP(CONCATENATE($W$9,"_",T29),選手名簿!$A$1:$G$65536,7,FALSE))=TRUE,"",VLOOKUP(CONCATENATE($W$9,"_",T29),選手名簿!$A$1:$G$65536,7,FALSE))</f>
        <v/>
      </c>
      <c r="AA29" s="345"/>
      <c r="AB29" s="373"/>
      <c r="AC29" s="345"/>
      <c r="AD29" s="373"/>
      <c r="AE29" s="345"/>
      <c r="AF29" s="373"/>
      <c r="AG29" s="345"/>
      <c r="AH29" s="373"/>
      <c r="AI29" s="379"/>
      <c r="AJ29" s="359">
        <f t="shared" si="1"/>
        <v>0</v>
      </c>
      <c r="AN29" s="308"/>
      <c r="AO29" s="308"/>
      <c r="AP29" s="309"/>
      <c r="AQ29" s="309"/>
      <c r="AR29" s="309"/>
      <c r="AS29" s="309"/>
      <c r="AT29" s="309"/>
      <c r="AU29" s="308"/>
      <c r="AV29" s="308"/>
      <c r="AW29" s="308"/>
      <c r="AX29" s="308"/>
      <c r="AY29" s="309"/>
      <c r="AZ29" s="309"/>
      <c r="BA29" s="309"/>
      <c r="BB29" s="308"/>
      <c r="BC29" s="308"/>
      <c r="BD29" s="308"/>
    </row>
    <row r="30" spans="1:56" s="371" customFormat="1" ht="20.100000000000001" customHeight="1" x14ac:dyDescent="0.15">
      <c r="A30" s="372"/>
      <c r="B30" s="373">
        <f t="shared" si="0"/>
        <v>0</v>
      </c>
      <c r="C30" s="345"/>
      <c r="D30" s="379"/>
      <c r="E30" s="345"/>
      <c r="F30" s="379"/>
      <c r="G30" s="345"/>
      <c r="H30" s="373"/>
      <c r="I30" s="345"/>
      <c r="J30" s="373"/>
      <c r="K30" s="374" t="str">
        <f>IF(ISERROR(VLOOKUP(CONCATENATE($B$9,"_",Q30),選手名簿!$A$1:$G$65536,7,FALSE))=TRUE,"",VLOOKUP(CONCATENATE($B$9,"_",Q30),選手名簿!$A$1:$G$65536,7,FALSE))</f>
        <v/>
      </c>
      <c r="L30" s="963" t="str">
        <f>IF(ISERROR(VLOOKUP(CONCATENATE($B$9,"_",Q30),選手名簿!$A$1:$E$65536,5,FALSE))=TRUE,"",VLOOKUP(CONCATENATE($B$9,"_",Q30),選手名簿!$A$1:$E$65536,5,FALSE))</f>
        <v/>
      </c>
      <c r="M30" s="964"/>
      <c r="N30" s="964"/>
      <c r="O30" s="964"/>
      <c r="P30" s="965"/>
      <c r="Q30" s="375"/>
      <c r="R30" s="376" t="str">
        <f>IF(ISERROR(VLOOKUP(CONCATENATE($B$9,"_",Q30),選手名簿!$A$1:$E$65536,4,FALSE))=TRUE,"",VLOOKUP(CONCATENATE($B$9,"_",Q30),選手名簿!$A$1:$E$65536,4,FALSE))</f>
        <v/>
      </c>
      <c r="S30" s="377" t="str">
        <f>IF(ISERROR(VLOOKUP(CONCATENATE($W$9,"_",T30),選手名簿!$A$1:$E$65536,4,FALSE))=TRUE,"",VLOOKUP(CONCATENATE($W$9,"_",T30),選手名簿!$A$1:$E$65536,4,FALSE))</f>
        <v/>
      </c>
      <c r="T30" s="378"/>
      <c r="U30" s="963" t="str">
        <f>IF(ISERROR(VLOOKUP(CONCATENATE($W$9,"_",T30),選手名簿!$A$1:$E$65536,5,FALSE))=TRUE,"",VLOOKUP(CONCATENATE($W$9,"_",T30),選手名簿!$A$1:$E$65536,5,FALSE))</f>
        <v/>
      </c>
      <c r="V30" s="964"/>
      <c r="W30" s="964"/>
      <c r="X30" s="964"/>
      <c r="Y30" s="965"/>
      <c r="Z30" s="374" t="str">
        <f>IF(ISERROR(VLOOKUP(CONCATENATE($W$9,"_",T30),選手名簿!$A$1:$G$65536,7,FALSE))=TRUE,"",VLOOKUP(CONCATENATE($W$9,"_",T30),選手名簿!$A$1:$G$65536,7,FALSE))</f>
        <v/>
      </c>
      <c r="AA30" s="345"/>
      <c r="AB30" s="373"/>
      <c r="AC30" s="345"/>
      <c r="AD30" s="373"/>
      <c r="AE30" s="345"/>
      <c r="AF30" s="373"/>
      <c r="AG30" s="345"/>
      <c r="AH30" s="373"/>
      <c r="AI30" s="379"/>
      <c r="AJ30" s="359">
        <f t="shared" si="1"/>
        <v>0</v>
      </c>
      <c r="AN30" s="308"/>
      <c r="AO30" s="308"/>
      <c r="AP30" s="309"/>
      <c r="AQ30" s="309"/>
      <c r="AR30" s="309"/>
      <c r="AS30" s="309"/>
      <c r="AT30" s="309"/>
      <c r="AU30" s="308"/>
      <c r="AV30" s="308"/>
      <c r="AW30" s="308"/>
      <c r="AX30" s="308"/>
      <c r="AY30" s="309"/>
      <c r="AZ30" s="309"/>
      <c r="BA30" s="309"/>
      <c r="BB30" s="308"/>
      <c r="BC30" s="308"/>
      <c r="BD30" s="308"/>
    </row>
    <row r="31" spans="1:56" s="371" customFormat="1" ht="20.100000000000001" customHeight="1" x14ac:dyDescent="0.15">
      <c r="A31" s="372"/>
      <c r="B31" s="373">
        <f t="shared" si="0"/>
        <v>0</v>
      </c>
      <c r="C31" s="345"/>
      <c r="D31" s="379"/>
      <c r="E31" s="345"/>
      <c r="F31" s="379"/>
      <c r="G31" s="345"/>
      <c r="H31" s="373"/>
      <c r="I31" s="345"/>
      <c r="J31" s="373"/>
      <c r="K31" s="374" t="str">
        <f>IF(ISERROR(VLOOKUP(CONCATENATE($B$9,"_",Q31),選手名簿!$A$1:$G$65536,7,FALSE))=TRUE,"",VLOOKUP(CONCATENATE($B$9,"_",Q31),選手名簿!$A$1:$G$65536,7,FALSE))</f>
        <v/>
      </c>
      <c r="L31" s="963" t="str">
        <f>IF(ISERROR(VLOOKUP(CONCATENATE($B$9,"_",Q31),選手名簿!$A$1:$E$65536,5,FALSE))=TRUE,"",VLOOKUP(CONCATENATE($B$9,"_",Q31),選手名簿!$A$1:$E$65536,5,FALSE))</f>
        <v/>
      </c>
      <c r="M31" s="964"/>
      <c r="N31" s="964"/>
      <c r="O31" s="964"/>
      <c r="P31" s="965"/>
      <c r="Q31" s="375"/>
      <c r="R31" s="376" t="str">
        <f>IF(ISERROR(VLOOKUP(CONCATENATE($B$9,"_",Q31),選手名簿!$A$1:$E$65536,4,FALSE))=TRUE,"",VLOOKUP(CONCATENATE($B$9,"_",Q31),選手名簿!$A$1:$E$65536,4,FALSE))</f>
        <v/>
      </c>
      <c r="S31" s="377" t="str">
        <f>IF(ISERROR(VLOOKUP(CONCATENATE($W$9,"_",T31),選手名簿!$A$1:$E$65536,4,FALSE))=TRUE,"",VLOOKUP(CONCATENATE($W$9,"_",T31),選手名簿!$A$1:$E$65536,4,FALSE))</f>
        <v/>
      </c>
      <c r="T31" s="378"/>
      <c r="U31" s="963" t="str">
        <f>IF(ISERROR(VLOOKUP(CONCATENATE($W$9,"_",T31),選手名簿!$A$1:$E$65536,5,FALSE))=TRUE,"",VLOOKUP(CONCATENATE($W$9,"_",T31),選手名簿!$A$1:$E$65536,5,FALSE))</f>
        <v/>
      </c>
      <c r="V31" s="964"/>
      <c r="W31" s="964"/>
      <c r="X31" s="964"/>
      <c r="Y31" s="965"/>
      <c r="Z31" s="374" t="str">
        <f>IF(ISERROR(VLOOKUP(CONCATENATE($W$9,"_",T31),選手名簿!$A$1:$G$65536,7,FALSE))=TRUE,"",VLOOKUP(CONCATENATE($W$9,"_",T31),選手名簿!$A$1:$G$65536,7,FALSE))</f>
        <v/>
      </c>
      <c r="AA31" s="345"/>
      <c r="AB31" s="373"/>
      <c r="AC31" s="345"/>
      <c r="AD31" s="373"/>
      <c r="AE31" s="345"/>
      <c r="AF31" s="373"/>
      <c r="AG31" s="345"/>
      <c r="AH31" s="373"/>
      <c r="AI31" s="379"/>
      <c r="AJ31" s="359">
        <f t="shared" si="1"/>
        <v>0</v>
      </c>
      <c r="AN31" s="308"/>
      <c r="AO31" s="308"/>
      <c r="AP31" s="309"/>
      <c r="AQ31" s="309"/>
      <c r="AR31" s="309"/>
      <c r="AS31" s="309"/>
      <c r="AT31" s="309"/>
      <c r="AU31" s="308"/>
      <c r="AV31" s="308"/>
      <c r="AW31" s="308"/>
      <c r="AX31" s="308"/>
      <c r="AY31" s="309"/>
      <c r="AZ31" s="309"/>
      <c r="BA31" s="309"/>
      <c r="BB31" s="308"/>
      <c r="BC31" s="308"/>
      <c r="BD31" s="308"/>
    </row>
    <row r="32" spans="1:56" s="371" customFormat="1" ht="20.100000000000001" customHeight="1" x14ac:dyDescent="0.15">
      <c r="A32" s="372"/>
      <c r="B32" s="373">
        <f t="shared" si="0"/>
        <v>0</v>
      </c>
      <c r="C32" s="345"/>
      <c r="D32" s="379"/>
      <c r="E32" s="345"/>
      <c r="F32" s="379"/>
      <c r="G32" s="345"/>
      <c r="H32" s="373"/>
      <c r="I32" s="345"/>
      <c r="J32" s="373"/>
      <c r="K32" s="374" t="str">
        <f>IF(ISERROR(VLOOKUP(CONCATENATE($B$9,"_",Q32),選手名簿!$A$1:$G$65536,7,FALSE))=TRUE,"",VLOOKUP(CONCATENATE($B$9,"_",Q32),選手名簿!$A$1:$G$65536,7,FALSE))</f>
        <v/>
      </c>
      <c r="L32" s="963" t="str">
        <f>IF(ISERROR(VLOOKUP(CONCATENATE($B$9,"_",Q32),選手名簿!$A$1:$E$65536,5,FALSE))=TRUE,"",VLOOKUP(CONCATENATE($B$9,"_",Q32),選手名簿!$A$1:$E$65536,5,FALSE))</f>
        <v/>
      </c>
      <c r="M32" s="964"/>
      <c r="N32" s="964"/>
      <c r="O32" s="964"/>
      <c r="P32" s="965"/>
      <c r="Q32" s="375"/>
      <c r="R32" s="376" t="str">
        <f>IF(ISERROR(VLOOKUP(CONCATENATE($B$9,"_",Q32),選手名簿!$A$1:$E$65536,4,FALSE))=TRUE,"",VLOOKUP(CONCATENATE($B$9,"_",Q32),選手名簿!$A$1:$E$65536,4,FALSE))</f>
        <v/>
      </c>
      <c r="S32" s="377" t="str">
        <f>IF(ISERROR(VLOOKUP(CONCATENATE($W$9,"_",T32),選手名簿!$A$1:$E$65536,4,FALSE))=TRUE,"",VLOOKUP(CONCATENATE($W$9,"_",T32),選手名簿!$A$1:$E$65536,4,FALSE))</f>
        <v/>
      </c>
      <c r="T32" s="378"/>
      <c r="U32" s="963" t="str">
        <f>IF(ISERROR(VLOOKUP(CONCATENATE($W$9,"_",T32),選手名簿!$A$1:$E$65536,5,FALSE))=TRUE,"",VLOOKUP(CONCATENATE($W$9,"_",T32),選手名簿!$A$1:$E$65536,5,FALSE))</f>
        <v/>
      </c>
      <c r="V32" s="964"/>
      <c r="W32" s="964"/>
      <c r="X32" s="964"/>
      <c r="Y32" s="965"/>
      <c r="Z32" s="374" t="str">
        <f>IF(ISERROR(VLOOKUP(CONCATENATE($W$9,"_",T32),選手名簿!$A$1:$G$65536,7,FALSE))=TRUE,"",VLOOKUP(CONCATENATE($W$9,"_",T32),選手名簿!$A$1:$G$65536,7,FALSE))</f>
        <v/>
      </c>
      <c r="AA32" s="345"/>
      <c r="AB32" s="373"/>
      <c r="AC32" s="345"/>
      <c r="AD32" s="373"/>
      <c r="AE32" s="345"/>
      <c r="AF32" s="373"/>
      <c r="AG32" s="345"/>
      <c r="AH32" s="373"/>
      <c r="AI32" s="379"/>
      <c r="AJ32" s="359">
        <f t="shared" si="1"/>
        <v>0</v>
      </c>
      <c r="AN32" s="308"/>
      <c r="AO32" s="308"/>
      <c r="AP32" s="309"/>
      <c r="AQ32" s="309"/>
      <c r="AR32" s="309"/>
      <c r="AS32" s="309"/>
      <c r="AT32" s="309"/>
      <c r="AU32" s="308"/>
      <c r="AV32" s="308"/>
      <c r="AW32" s="308"/>
      <c r="AX32" s="308"/>
      <c r="AY32" s="309"/>
      <c r="AZ32" s="309"/>
      <c r="BA32" s="309"/>
      <c r="BB32" s="308"/>
      <c r="BC32" s="308"/>
      <c r="BD32" s="308"/>
    </row>
    <row r="33" spans="1:56" s="371" customFormat="1" ht="20.100000000000001" customHeight="1" x14ac:dyDescent="0.15">
      <c r="A33" s="341"/>
      <c r="B33" s="342">
        <f>SUM(C33:J33)</f>
        <v>0</v>
      </c>
      <c r="C33" s="347"/>
      <c r="D33" s="343">
        <f>SUM(D16:D23,D25:D32)</f>
        <v>0</v>
      </c>
      <c r="E33" s="342"/>
      <c r="F33" s="343">
        <f>SUM(F16:F23,F25:F32)</f>
        <v>0</v>
      </c>
      <c r="G33" s="347"/>
      <c r="H33" s="343">
        <f>SUM(H16:H23,H25:H32)</f>
        <v>0</v>
      </c>
      <c r="I33" s="347"/>
      <c r="J33" s="343">
        <f>SUM(J16:J23,J25:J32)</f>
        <v>0</v>
      </c>
      <c r="K33" s="360" t="s">
        <v>472</v>
      </c>
      <c r="L33" s="944">
        <f>SUM(D33,F33,H33,J33)</f>
        <v>0</v>
      </c>
      <c r="M33" s="937"/>
      <c r="N33" s="937"/>
      <c r="O33" s="937"/>
      <c r="P33" s="938"/>
      <c r="Q33" s="360" t="s">
        <v>473</v>
      </c>
      <c r="R33" s="944" t="s">
        <v>474</v>
      </c>
      <c r="S33" s="938"/>
      <c r="T33" s="360" t="s">
        <v>473</v>
      </c>
      <c r="U33" s="944">
        <f>SUM(AB33,AD33,AF33,AH33)</f>
        <v>0</v>
      </c>
      <c r="V33" s="937"/>
      <c r="W33" s="937"/>
      <c r="X33" s="937"/>
      <c r="Y33" s="938"/>
      <c r="Z33" s="360" t="s">
        <v>472</v>
      </c>
      <c r="AA33" s="347"/>
      <c r="AB33" s="343">
        <f>SUM(AB16:AB23,AB25:AB32)</f>
        <v>0</v>
      </c>
      <c r="AC33" s="347"/>
      <c r="AD33" s="343">
        <f>SUM(AD16:AD23,AD25:AD32)</f>
        <v>0</v>
      </c>
      <c r="AE33" s="347"/>
      <c r="AF33" s="343">
        <f>SUM(AF16:AF23,AF25:AF32)</f>
        <v>0</v>
      </c>
      <c r="AG33" s="347"/>
      <c r="AH33" s="343">
        <f>SUM(AH16:AH23,AH25:AH32)</f>
        <v>0</v>
      </c>
      <c r="AI33" s="342"/>
      <c r="AJ33" s="348">
        <f>SUM(AA33:AH33)</f>
        <v>0</v>
      </c>
      <c r="AN33" s="308"/>
      <c r="AO33" s="308"/>
      <c r="AP33" s="309"/>
      <c r="AQ33" s="309"/>
      <c r="AR33" s="309"/>
      <c r="AS33" s="309"/>
      <c r="AT33" s="309"/>
      <c r="AU33" s="308"/>
      <c r="AV33" s="308"/>
      <c r="AW33" s="308"/>
      <c r="AX33" s="308"/>
      <c r="AY33" s="309"/>
      <c r="AZ33" s="309"/>
      <c r="BA33" s="309"/>
      <c r="BB33" s="308"/>
      <c r="BC33" s="308"/>
      <c r="BD33" s="308"/>
    </row>
    <row r="34" spans="1:56" s="323" customFormat="1" ht="20.100000000000001" customHeight="1" x14ac:dyDescent="0.15">
      <c r="A34" s="385"/>
      <c r="B34" s="386"/>
      <c r="C34" s="967" t="s">
        <v>475</v>
      </c>
      <c r="D34" s="967"/>
      <c r="E34" s="967"/>
      <c r="F34" s="967"/>
      <c r="G34" s="967"/>
      <c r="H34" s="967"/>
      <c r="I34" s="967"/>
      <c r="J34" s="967" t="s">
        <v>476</v>
      </c>
      <c r="K34" s="967" t="s">
        <v>477</v>
      </c>
      <c r="L34" s="967"/>
      <c r="M34" s="967"/>
      <c r="N34" s="967"/>
      <c r="O34" s="967"/>
      <c r="P34" s="967"/>
      <c r="Q34" s="967"/>
      <c r="R34" s="969" t="s">
        <v>478</v>
      </c>
      <c r="S34" s="969"/>
      <c r="T34" s="386"/>
      <c r="U34" s="967" t="s">
        <v>475</v>
      </c>
      <c r="V34" s="967"/>
      <c r="W34" s="967"/>
      <c r="X34" s="967"/>
      <c r="Y34" s="967"/>
      <c r="Z34" s="967"/>
      <c r="AA34" s="967"/>
      <c r="AB34" s="967" t="s">
        <v>476</v>
      </c>
      <c r="AC34" s="967" t="s">
        <v>477</v>
      </c>
      <c r="AD34" s="967"/>
      <c r="AE34" s="967"/>
      <c r="AF34" s="967"/>
      <c r="AG34" s="967"/>
      <c r="AH34" s="967"/>
      <c r="AI34" s="967"/>
      <c r="AJ34" s="387"/>
      <c r="AN34" s="308"/>
      <c r="AO34" s="308"/>
      <c r="AP34" s="309"/>
      <c r="AQ34" s="309"/>
      <c r="AR34" s="309"/>
      <c r="AS34" s="309"/>
      <c r="AT34" s="309"/>
      <c r="AU34" s="308"/>
      <c r="AV34" s="308"/>
      <c r="AW34" s="308"/>
      <c r="AX34" s="308"/>
      <c r="AY34" s="309"/>
      <c r="AZ34" s="309"/>
      <c r="BA34" s="309"/>
      <c r="BB34" s="308"/>
      <c r="BC34" s="308"/>
      <c r="BD34" s="308"/>
    </row>
    <row r="35" spans="1:56" s="323" customFormat="1" ht="20.100000000000001" customHeight="1" x14ac:dyDescent="0.15">
      <c r="A35" s="388"/>
      <c r="B35" s="389"/>
      <c r="C35" s="968"/>
      <c r="D35" s="968"/>
      <c r="E35" s="968"/>
      <c r="F35" s="968"/>
      <c r="G35" s="968"/>
      <c r="H35" s="968"/>
      <c r="I35" s="968"/>
      <c r="J35" s="968"/>
      <c r="K35" s="968"/>
      <c r="L35" s="968"/>
      <c r="M35" s="968"/>
      <c r="N35" s="968"/>
      <c r="O35" s="968"/>
      <c r="P35" s="968"/>
      <c r="Q35" s="968"/>
      <c r="R35" s="970" t="s">
        <v>479</v>
      </c>
      <c r="S35" s="971"/>
      <c r="U35" s="947"/>
      <c r="V35" s="947"/>
      <c r="W35" s="947"/>
      <c r="X35" s="947"/>
      <c r="Y35" s="947"/>
      <c r="Z35" s="947"/>
      <c r="AA35" s="947"/>
      <c r="AB35" s="947"/>
      <c r="AC35" s="947"/>
      <c r="AD35" s="947"/>
      <c r="AE35" s="947"/>
      <c r="AF35" s="947"/>
      <c r="AG35" s="947"/>
      <c r="AH35" s="947"/>
      <c r="AI35" s="947"/>
      <c r="AJ35" s="352"/>
      <c r="AN35" s="308"/>
      <c r="AO35" s="308"/>
      <c r="AP35" s="309"/>
      <c r="AQ35" s="309"/>
      <c r="AR35" s="309"/>
      <c r="AS35" s="309"/>
      <c r="AT35" s="309"/>
      <c r="AU35" s="308"/>
      <c r="AV35" s="308"/>
      <c r="AW35" s="308"/>
      <c r="AX35" s="308"/>
      <c r="AY35" s="309"/>
      <c r="AZ35" s="309"/>
      <c r="BA35" s="309"/>
      <c r="BB35" s="308"/>
      <c r="BC35" s="308"/>
      <c r="BD35" s="308"/>
    </row>
    <row r="36" spans="1:56" s="371" customFormat="1" ht="20.100000000000001" customHeight="1" x14ac:dyDescent="0.15">
      <c r="A36" s="349"/>
      <c r="B36" s="323" t="s">
        <v>317</v>
      </c>
      <c r="C36" s="323"/>
      <c r="D36" s="323" t="s">
        <v>455</v>
      </c>
      <c r="E36" s="967" t="str">
        <f>IF(ISERROR(VLOOKUP(CONCATENATE($B$9,"_",C36),選手名簿!$A$1:$E$65536,5,FALSE))=TRUE,"",VLOOKUP(CONCATENATE($B$9,"_",C36),選手名簿!$A$1:$E$65536,5,FALSE))</f>
        <v/>
      </c>
      <c r="F36" s="967"/>
      <c r="G36" s="967"/>
      <c r="H36" s="967"/>
      <c r="I36" s="967"/>
      <c r="J36" s="323" t="s">
        <v>476</v>
      </c>
      <c r="K36" s="323"/>
      <c r="L36" s="323" t="s">
        <v>455</v>
      </c>
      <c r="M36" s="967" t="str">
        <f>IF(ISERROR(VLOOKUP(CONCATENATE($B$9,"_",K36),選手名簿!$A$1:$E$65536,5,FALSE))=TRUE,"",VLOOKUP(CONCATENATE($B$9,"_",K36),選手名簿!$A$1:$E$65536,5,FALSE))</f>
        <v/>
      </c>
      <c r="N36" s="967"/>
      <c r="O36" s="967"/>
      <c r="P36" s="967"/>
      <c r="Q36" s="967"/>
      <c r="R36" s="323"/>
      <c r="S36" s="385"/>
      <c r="T36" s="386" t="s">
        <v>317</v>
      </c>
      <c r="U36" s="386"/>
      <c r="V36" s="386" t="s">
        <v>455</v>
      </c>
      <c r="W36" s="967" t="str">
        <f>IF(ISERROR(VLOOKUP(CONCATENATE($W$9,"_",U36),選手名簿!$A$1:$E$65536,5,FALSE))=TRUE,"",VLOOKUP(CONCATENATE($W$9,"_",U36),選手名簿!$A$1:$E$65536,5,FALSE))</f>
        <v/>
      </c>
      <c r="X36" s="967"/>
      <c r="Y36" s="967"/>
      <c r="Z36" s="967"/>
      <c r="AA36" s="967"/>
      <c r="AB36" s="386" t="s">
        <v>476</v>
      </c>
      <c r="AC36" s="386"/>
      <c r="AD36" s="386" t="s">
        <v>455</v>
      </c>
      <c r="AE36" s="967" t="str">
        <f>IF(ISERROR(VLOOKUP(CONCATENATE($W$9,"_",AC36),選手名簿!$A$1:$E$65536,5,FALSE))=TRUE,"",VLOOKUP(CONCATENATE($W$9,"_",AC36),選手名簿!$A$1:$E$65536,5,FALSE))</f>
        <v/>
      </c>
      <c r="AF36" s="967"/>
      <c r="AG36" s="967"/>
      <c r="AH36" s="967"/>
      <c r="AI36" s="967"/>
      <c r="AJ36" s="390"/>
      <c r="AK36" s="323"/>
      <c r="AL36" s="323"/>
      <c r="AN36" s="308"/>
      <c r="AO36" s="308"/>
      <c r="AP36" s="309"/>
      <c r="AQ36" s="309"/>
      <c r="AR36" s="309"/>
      <c r="AS36" s="309"/>
      <c r="AT36" s="309"/>
      <c r="AU36" s="308"/>
      <c r="AV36" s="308"/>
      <c r="AW36" s="308"/>
      <c r="AX36" s="308"/>
      <c r="AY36" s="309"/>
      <c r="AZ36" s="309"/>
      <c r="BA36" s="309"/>
      <c r="BB36" s="308"/>
      <c r="BC36" s="308"/>
      <c r="BD36" s="308"/>
    </row>
    <row r="37" spans="1:56" s="371" customFormat="1" ht="19.5" customHeight="1" x14ac:dyDescent="0.15">
      <c r="A37" s="349"/>
      <c r="B37" s="323" t="s">
        <v>317</v>
      </c>
      <c r="C37" s="323"/>
      <c r="D37" s="323" t="s">
        <v>455</v>
      </c>
      <c r="E37" s="947" t="str">
        <f>IF(ISERROR(VLOOKUP(CONCATENATE($B$9,"_",C37),選手名簿!$A$1:$E$65536,5,FALSE))=TRUE,"",VLOOKUP(CONCATENATE($B$9,"_",C37),選手名簿!$A$1:$E$65536,5,FALSE))</f>
        <v/>
      </c>
      <c r="F37" s="947"/>
      <c r="G37" s="947"/>
      <c r="H37" s="947"/>
      <c r="I37" s="947"/>
      <c r="J37" s="323" t="s">
        <v>476</v>
      </c>
      <c r="K37" s="323"/>
      <c r="L37" s="323" t="s">
        <v>455</v>
      </c>
      <c r="M37" s="947" t="str">
        <f>IF(ISERROR(VLOOKUP(CONCATENATE($B$9,"_",K37),選手名簿!$A$1:$E$65536,5,FALSE))=TRUE,"",VLOOKUP(CONCATENATE($B$9,"_",K37),選手名簿!$A$1:$E$65536,5,FALSE))</f>
        <v/>
      </c>
      <c r="N37" s="947"/>
      <c r="O37" s="947"/>
      <c r="P37" s="947"/>
      <c r="Q37" s="947"/>
      <c r="R37" s="323"/>
      <c r="S37" s="349"/>
      <c r="T37" s="323" t="s">
        <v>317</v>
      </c>
      <c r="U37" s="323"/>
      <c r="V37" s="323" t="s">
        <v>455</v>
      </c>
      <c r="W37" s="947" t="str">
        <f>IF(ISERROR(VLOOKUP(CONCATENATE($W$9,"_",U37),選手名簿!$A$1:$E$65536,5,FALSE))=TRUE,"",VLOOKUP(CONCATENATE($W$9,"_",U37),選手名簿!$A$1:$E$65536,5,FALSE))</f>
        <v/>
      </c>
      <c r="X37" s="947"/>
      <c r="Y37" s="947"/>
      <c r="Z37" s="947"/>
      <c r="AA37" s="947"/>
      <c r="AB37" s="323" t="s">
        <v>476</v>
      </c>
      <c r="AC37" s="323"/>
      <c r="AD37" s="323" t="s">
        <v>455</v>
      </c>
      <c r="AE37" s="947" t="str">
        <f>IF(ISERROR(VLOOKUP(CONCATENATE($W$9,"_",AC37),選手名簿!$A$1:$E$65536,5,FALSE))=TRUE,"",VLOOKUP(CONCATENATE($W$9,"_",AC37),選手名簿!$A$1:$E$65536,5,FALSE))</f>
        <v/>
      </c>
      <c r="AF37" s="947"/>
      <c r="AG37" s="947"/>
      <c r="AH37" s="947"/>
      <c r="AI37" s="947"/>
      <c r="AJ37" s="391"/>
      <c r="AK37" s="323"/>
      <c r="AL37" s="323"/>
      <c r="AN37" s="308"/>
      <c r="AO37" s="308"/>
      <c r="AP37" s="309"/>
      <c r="AQ37" s="309"/>
      <c r="AR37" s="309"/>
      <c r="AS37" s="309"/>
      <c r="AT37" s="309"/>
      <c r="AU37" s="308"/>
      <c r="AV37" s="308"/>
      <c r="AW37" s="308"/>
      <c r="AX37" s="308"/>
      <c r="AY37" s="309"/>
      <c r="AZ37" s="309"/>
      <c r="BA37" s="309"/>
      <c r="BB37" s="308"/>
      <c r="BC37" s="308"/>
      <c r="BD37" s="308"/>
    </row>
    <row r="38" spans="1:56" s="371" customFormat="1" ht="20.100000000000001" customHeight="1" x14ac:dyDescent="0.15">
      <c r="A38" s="349"/>
      <c r="B38" s="323" t="s">
        <v>317</v>
      </c>
      <c r="C38" s="323"/>
      <c r="D38" s="323" t="s">
        <v>455</v>
      </c>
      <c r="E38" s="947" t="str">
        <f>IF(ISERROR(VLOOKUP(CONCATENATE($B$9,"_",C38),選手名簿!$A$1:$E$65536,5,FALSE))=TRUE,"",VLOOKUP(CONCATENATE($B$9,"_",C38),選手名簿!$A$1:$E$65536,5,FALSE))</f>
        <v/>
      </c>
      <c r="F38" s="947"/>
      <c r="G38" s="947"/>
      <c r="H38" s="947"/>
      <c r="I38" s="947"/>
      <c r="J38" s="323" t="s">
        <v>476</v>
      </c>
      <c r="K38" s="323"/>
      <c r="L38" s="323" t="s">
        <v>455</v>
      </c>
      <c r="M38" s="947" t="str">
        <f>IF(ISERROR(VLOOKUP(CONCATENATE($B$9,"_",K38),選手名簿!$A$1:$E$65536,5,FALSE))=TRUE,"",VLOOKUP(CONCATENATE($B$9,"_",K38),選手名簿!$A$1:$E$65536,5,FALSE))</f>
        <v/>
      </c>
      <c r="N38" s="947"/>
      <c r="O38" s="947"/>
      <c r="P38" s="947"/>
      <c r="Q38" s="947"/>
      <c r="R38" s="323"/>
      <c r="S38" s="349"/>
      <c r="T38" s="323" t="s">
        <v>317</v>
      </c>
      <c r="U38" s="323"/>
      <c r="V38" s="323" t="s">
        <v>455</v>
      </c>
      <c r="W38" s="947" t="str">
        <f>IF(ISERROR(VLOOKUP(CONCATENATE($W$9,"_",U38),選手名簿!$A$1:$E$65536,5,FALSE))=TRUE,"",VLOOKUP(CONCATENATE($W$9,"_",U38),選手名簿!$A$1:$E$65536,5,FALSE))</f>
        <v/>
      </c>
      <c r="X38" s="947"/>
      <c r="Y38" s="947"/>
      <c r="Z38" s="947"/>
      <c r="AA38" s="947"/>
      <c r="AB38" s="323" t="s">
        <v>476</v>
      </c>
      <c r="AC38" s="323"/>
      <c r="AD38" s="323" t="s">
        <v>455</v>
      </c>
      <c r="AE38" s="947" t="str">
        <f>IF(ISERROR(VLOOKUP(CONCATENATE($W$9,"_",AC38),選手名簿!$A$1:$E$65536,5,FALSE))=TRUE,"",VLOOKUP(CONCATENATE($W$9,"_",AC38),選手名簿!$A$1:$E$65536,5,FALSE))</f>
        <v/>
      </c>
      <c r="AF38" s="947"/>
      <c r="AG38" s="947"/>
      <c r="AH38" s="947"/>
      <c r="AI38" s="947"/>
      <c r="AJ38" s="391"/>
      <c r="AK38" s="323"/>
      <c r="AL38" s="323"/>
      <c r="AN38" s="308"/>
      <c r="AO38" s="308"/>
      <c r="AP38" s="309"/>
      <c r="AQ38" s="309"/>
      <c r="AR38" s="309"/>
      <c r="AS38" s="309"/>
      <c r="AT38" s="309"/>
      <c r="AU38" s="308"/>
      <c r="AV38" s="308"/>
      <c r="AW38" s="308"/>
      <c r="AX38" s="308"/>
      <c r="AY38" s="309"/>
      <c r="AZ38" s="309"/>
      <c r="BA38" s="309"/>
      <c r="BB38" s="308"/>
      <c r="BC38" s="308"/>
      <c r="BD38" s="308"/>
    </row>
    <row r="39" spans="1:56" s="371" customFormat="1" ht="20.100000000000001" customHeight="1" x14ac:dyDescent="0.15">
      <c r="A39" s="349"/>
      <c r="B39" s="323" t="s">
        <v>317</v>
      </c>
      <c r="C39" s="323"/>
      <c r="D39" s="323" t="s">
        <v>455</v>
      </c>
      <c r="E39" s="947" t="str">
        <f>IF(ISERROR(VLOOKUP(CONCATENATE($B$9,"_",C39),選手名簿!$A$1:$E$65536,5,FALSE))=TRUE,"",VLOOKUP(CONCATENATE($B$9,"_",C39),選手名簿!$A$1:$E$65536,5,FALSE))</f>
        <v/>
      </c>
      <c r="F39" s="947"/>
      <c r="G39" s="947"/>
      <c r="H39" s="947"/>
      <c r="I39" s="947"/>
      <c r="J39" s="323" t="s">
        <v>476</v>
      </c>
      <c r="K39" s="323"/>
      <c r="L39" s="323" t="s">
        <v>455</v>
      </c>
      <c r="M39" s="947" t="str">
        <f>IF(ISERROR(VLOOKUP(CONCATENATE($B$9,"_",K39),選手名簿!$A$1:$E$65536,5,FALSE))=TRUE,"",VLOOKUP(CONCATENATE($B$9,"_",K39),選手名簿!$A$1:$E$65536,5,FALSE))</f>
        <v/>
      </c>
      <c r="N39" s="947"/>
      <c r="O39" s="947"/>
      <c r="P39" s="947"/>
      <c r="Q39" s="947"/>
      <c r="R39" s="323"/>
      <c r="S39" s="349"/>
      <c r="T39" s="323" t="s">
        <v>317</v>
      </c>
      <c r="U39" s="323"/>
      <c r="V39" s="323" t="s">
        <v>455</v>
      </c>
      <c r="W39" s="947" t="str">
        <f>IF(ISERROR(VLOOKUP(CONCATENATE($W$9,"_",U39),選手名簿!$A$1:$E$65536,5,FALSE))=TRUE,"",VLOOKUP(CONCATENATE($W$9,"_",U39),選手名簿!$A$1:$E$65536,5,FALSE))</f>
        <v/>
      </c>
      <c r="X39" s="947"/>
      <c r="Y39" s="947"/>
      <c r="Z39" s="947"/>
      <c r="AA39" s="947"/>
      <c r="AB39" s="323" t="s">
        <v>476</v>
      </c>
      <c r="AC39" s="323"/>
      <c r="AD39" s="323" t="s">
        <v>455</v>
      </c>
      <c r="AE39" s="947" t="str">
        <f>IF(ISERROR(VLOOKUP(CONCATENATE($W$9,"_",AC39),選手名簿!$A$1:$E$65536,5,FALSE))=TRUE,"",VLOOKUP(CONCATENATE($W$9,"_",AC39),選手名簿!$A$1:$E$65536,5,FALSE))</f>
        <v/>
      </c>
      <c r="AF39" s="947"/>
      <c r="AG39" s="947"/>
      <c r="AH39" s="947"/>
      <c r="AI39" s="947"/>
      <c r="AJ39" s="391"/>
      <c r="AK39" s="323"/>
      <c r="AL39" s="323"/>
      <c r="AN39" s="308"/>
      <c r="AO39" s="308"/>
      <c r="AP39" s="309"/>
      <c r="AQ39" s="309"/>
      <c r="AR39" s="309"/>
      <c r="AS39" s="309"/>
      <c r="AT39" s="309"/>
      <c r="AU39" s="308"/>
      <c r="AV39" s="308"/>
      <c r="AW39" s="308"/>
      <c r="AX39" s="308"/>
      <c r="AY39" s="309"/>
      <c r="AZ39" s="309"/>
      <c r="BA39" s="309"/>
      <c r="BB39" s="308"/>
      <c r="BC39" s="308"/>
      <c r="BD39" s="308"/>
    </row>
    <row r="40" spans="1:56" s="371" customFormat="1" ht="20.100000000000001" customHeight="1" x14ac:dyDescent="0.15">
      <c r="A40" s="349"/>
      <c r="B40" s="323" t="s">
        <v>317</v>
      </c>
      <c r="C40" s="323"/>
      <c r="D40" s="323" t="s">
        <v>455</v>
      </c>
      <c r="E40" s="947" t="str">
        <f>IF(ISERROR(VLOOKUP(CONCATENATE($B$9,"_",C40),選手名簿!$A$1:$E$65536,5,FALSE))=TRUE,"",VLOOKUP(CONCATENATE($B$9,"_",C40),選手名簿!$A$1:$E$65536,5,FALSE))</f>
        <v/>
      </c>
      <c r="F40" s="947"/>
      <c r="G40" s="947"/>
      <c r="H40" s="947"/>
      <c r="I40" s="947"/>
      <c r="J40" s="323" t="s">
        <v>476</v>
      </c>
      <c r="K40" s="323"/>
      <c r="L40" s="323" t="s">
        <v>455</v>
      </c>
      <c r="M40" s="947" t="str">
        <f>IF(ISERROR(VLOOKUP(CONCATENATE($B$9,"_",K40),選手名簿!$A$1:$E$65536,5,FALSE))=TRUE,"",VLOOKUP(CONCATENATE($B$9,"_",K40),選手名簿!$A$1:$E$65536,5,FALSE))</f>
        <v/>
      </c>
      <c r="N40" s="947"/>
      <c r="O40" s="947"/>
      <c r="P40" s="947"/>
      <c r="Q40" s="947"/>
      <c r="R40" s="323"/>
      <c r="S40" s="349"/>
      <c r="T40" s="323" t="s">
        <v>317</v>
      </c>
      <c r="U40" s="323"/>
      <c r="V40" s="323" t="s">
        <v>455</v>
      </c>
      <c r="W40" s="947" t="str">
        <f>IF(ISERROR(VLOOKUP(CONCATENATE($W$9,"_",U40),選手名簿!$A$1:$E$65536,5,FALSE))=TRUE,"",VLOOKUP(CONCATENATE($W$9,"_",U40),選手名簿!$A$1:$E$65536,5,FALSE))</f>
        <v/>
      </c>
      <c r="X40" s="947"/>
      <c r="Y40" s="947"/>
      <c r="Z40" s="947"/>
      <c r="AA40" s="947"/>
      <c r="AB40" s="323" t="s">
        <v>476</v>
      </c>
      <c r="AC40" s="323"/>
      <c r="AD40" s="323" t="s">
        <v>455</v>
      </c>
      <c r="AE40" s="947" t="str">
        <f>IF(ISERROR(VLOOKUP(CONCATENATE($W$9,"_",AC40),選手名簿!$A$1:$E$65536,5,FALSE))=TRUE,"",VLOOKUP(CONCATENATE($W$9,"_",AC40),選手名簿!$A$1:$E$65536,5,FALSE))</f>
        <v/>
      </c>
      <c r="AF40" s="947"/>
      <c r="AG40" s="947"/>
      <c r="AH40" s="947"/>
      <c r="AI40" s="947"/>
      <c r="AJ40" s="391"/>
      <c r="AK40" s="323"/>
      <c r="AL40" s="323"/>
      <c r="AN40" s="308"/>
      <c r="AO40" s="308"/>
      <c r="AP40" s="309"/>
      <c r="AQ40" s="309"/>
      <c r="AR40" s="309"/>
      <c r="AS40" s="309"/>
      <c r="AT40" s="309"/>
      <c r="AU40" s="308"/>
      <c r="AV40" s="308"/>
      <c r="AW40" s="308"/>
      <c r="AX40" s="308"/>
      <c r="AY40" s="309"/>
      <c r="AZ40" s="309"/>
      <c r="BA40" s="309"/>
      <c r="BB40" s="308"/>
      <c r="BC40" s="308"/>
      <c r="BD40" s="308"/>
    </row>
    <row r="41" spans="1:56" s="371" customFormat="1" ht="20.100000000000001" customHeight="1" x14ac:dyDescent="0.15">
      <c r="A41" s="349"/>
      <c r="B41" s="323" t="s">
        <v>317</v>
      </c>
      <c r="C41" s="323"/>
      <c r="D41" s="323" t="s">
        <v>455</v>
      </c>
      <c r="E41" s="947" t="str">
        <f>IF(ISERROR(VLOOKUP(CONCATENATE($B$9,"_",C41),選手名簿!$A$1:$E$65536,5,FALSE))=TRUE,"",VLOOKUP(CONCATENATE($B$9,"_",C41),選手名簿!$A$1:$E$65536,5,FALSE))</f>
        <v/>
      </c>
      <c r="F41" s="947"/>
      <c r="G41" s="947"/>
      <c r="H41" s="947"/>
      <c r="I41" s="947"/>
      <c r="J41" s="323" t="s">
        <v>476</v>
      </c>
      <c r="K41" s="323"/>
      <c r="L41" s="323" t="s">
        <v>455</v>
      </c>
      <c r="M41" s="947" t="str">
        <f>IF(ISERROR(VLOOKUP(CONCATENATE($B$9,"_",K41),選手名簿!$A$1:$E$65536,5,FALSE))=TRUE,"",VLOOKUP(CONCATENATE($B$9,"_",K41),選手名簿!$A$1:$E$65536,5,FALSE))</f>
        <v/>
      </c>
      <c r="N41" s="947"/>
      <c r="O41" s="947"/>
      <c r="P41" s="947"/>
      <c r="Q41" s="947"/>
      <c r="R41" s="323"/>
      <c r="S41" s="349"/>
      <c r="T41" s="323" t="s">
        <v>317</v>
      </c>
      <c r="U41" s="323"/>
      <c r="V41" s="323" t="s">
        <v>455</v>
      </c>
      <c r="W41" s="947" t="str">
        <f>IF(ISERROR(VLOOKUP(CONCATENATE($W$9,"_",U41),選手名簿!$A$1:$E$65536,5,FALSE))=TRUE,"",VLOOKUP(CONCATENATE($W$9,"_",U41),選手名簿!$A$1:$E$65536,5,FALSE))</f>
        <v/>
      </c>
      <c r="X41" s="947"/>
      <c r="Y41" s="947"/>
      <c r="Z41" s="947"/>
      <c r="AA41" s="947"/>
      <c r="AB41" s="323" t="s">
        <v>476</v>
      </c>
      <c r="AC41" s="323"/>
      <c r="AD41" s="323" t="s">
        <v>455</v>
      </c>
      <c r="AE41" s="947" t="str">
        <f>IF(ISERROR(VLOOKUP(CONCATENATE($W$9,"_",AC41),選手名簿!$A$1:$E$65536,5,FALSE))=TRUE,"",VLOOKUP(CONCATENATE($W$9,"_",AC41),選手名簿!$A$1:$E$65536,5,FALSE))</f>
        <v/>
      </c>
      <c r="AF41" s="947"/>
      <c r="AG41" s="947"/>
      <c r="AH41" s="947"/>
      <c r="AI41" s="947"/>
      <c r="AJ41" s="391"/>
      <c r="AK41" s="323"/>
      <c r="AL41" s="323"/>
      <c r="AN41" s="308"/>
      <c r="AO41" s="308"/>
      <c r="AP41" s="309"/>
      <c r="AQ41" s="309"/>
      <c r="AR41" s="309"/>
      <c r="AS41" s="309"/>
      <c r="AT41" s="309"/>
      <c r="AU41" s="308"/>
      <c r="AV41" s="308"/>
      <c r="AW41" s="308"/>
      <c r="AX41" s="308"/>
      <c r="AY41" s="309"/>
      <c r="AZ41" s="309"/>
      <c r="BA41" s="309"/>
      <c r="BB41" s="308"/>
      <c r="BC41" s="308"/>
      <c r="BD41" s="308"/>
    </row>
    <row r="42" spans="1:56" s="371" customFormat="1" ht="20.100000000000001" customHeight="1" x14ac:dyDescent="0.15">
      <c r="A42" s="349"/>
      <c r="B42" s="323" t="s">
        <v>317</v>
      </c>
      <c r="C42" s="323"/>
      <c r="D42" s="323" t="s">
        <v>455</v>
      </c>
      <c r="E42" s="947" t="str">
        <f>IF(ISERROR(VLOOKUP(CONCATENATE($B$9,"_",C42),選手名簿!$A$1:$E$65536,5,FALSE))=TRUE,"",VLOOKUP(CONCATENATE($B$9,"_",C42),選手名簿!$A$1:$E$65536,5,FALSE))</f>
        <v/>
      </c>
      <c r="F42" s="947"/>
      <c r="G42" s="947"/>
      <c r="H42" s="947"/>
      <c r="I42" s="947"/>
      <c r="J42" s="323" t="s">
        <v>476</v>
      </c>
      <c r="K42" s="323"/>
      <c r="L42" s="323" t="s">
        <v>455</v>
      </c>
      <c r="M42" s="947" t="str">
        <f>IF(ISERROR(VLOOKUP(CONCATENATE($B$9,"_",K42),選手名簿!$A$1:$E$65536,5,FALSE))=TRUE,"",VLOOKUP(CONCATENATE($B$9,"_",K42),選手名簿!$A$1:$E$65536,5,FALSE))</f>
        <v/>
      </c>
      <c r="N42" s="947"/>
      <c r="O42" s="947"/>
      <c r="P42" s="947"/>
      <c r="Q42" s="947"/>
      <c r="R42" s="323"/>
      <c r="S42" s="349"/>
      <c r="T42" s="323" t="s">
        <v>317</v>
      </c>
      <c r="U42" s="323"/>
      <c r="V42" s="323" t="s">
        <v>455</v>
      </c>
      <c r="W42" s="947" t="str">
        <f>IF(ISERROR(VLOOKUP(CONCATENATE($W$9,"_",U42),選手名簿!$A$1:$E$65536,5,FALSE))=TRUE,"",VLOOKUP(CONCATENATE($W$9,"_",U42),選手名簿!$A$1:$E$65536,5,FALSE))</f>
        <v/>
      </c>
      <c r="X42" s="947"/>
      <c r="Y42" s="947"/>
      <c r="Z42" s="947"/>
      <c r="AA42" s="947"/>
      <c r="AB42" s="323" t="s">
        <v>476</v>
      </c>
      <c r="AC42" s="323"/>
      <c r="AD42" s="323" t="s">
        <v>455</v>
      </c>
      <c r="AE42" s="947" t="str">
        <f>IF(ISERROR(VLOOKUP(CONCATENATE($W$9,"_",AC42),選手名簿!$A$1:$E$65536,5,FALSE))=TRUE,"",VLOOKUP(CONCATENATE($W$9,"_",AC42),選手名簿!$A$1:$E$65536,5,FALSE))</f>
        <v/>
      </c>
      <c r="AF42" s="947"/>
      <c r="AG42" s="947"/>
      <c r="AH42" s="947"/>
      <c r="AI42" s="947"/>
      <c r="AJ42" s="391"/>
      <c r="AK42" s="323"/>
      <c r="AL42" s="323"/>
      <c r="AN42" s="308"/>
      <c r="AO42" s="308"/>
      <c r="AP42" s="309"/>
      <c r="AQ42" s="309"/>
      <c r="AR42" s="309"/>
      <c r="AS42" s="309"/>
      <c r="AT42" s="309"/>
      <c r="AU42" s="308"/>
      <c r="AV42" s="308"/>
      <c r="AW42" s="308"/>
      <c r="AX42" s="308"/>
      <c r="AY42" s="309"/>
      <c r="AZ42" s="309"/>
      <c r="BA42" s="309"/>
      <c r="BB42" s="308"/>
      <c r="BC42" s="308"/>
      <c r="BD42" s="308"/>
    </row>
    <row r="43" spans="1:56" s="371" customFormat="1" ht="20.100000000000001" customHeight="1" x14ac:dyDescent="0.15">
      <c r="A43" s="388"/>
      <c r="B43" s="389" t="s">
        <v>317</v>
      </c>
      <c r="C43" s="389"/>
      <c r="D43" s="389" t="s">
        <v>455</v>
      </c>
      <c r="E43" s="968" t="str">
        <f>IF(ISERROR(VLOOKUP(CONCATENATE($B$9,"_",C43),選手名簿!$A$1:$E$65536,5,FALSE))=TRUE,"",VLOOKUP(CONCATENATE($B$9,"_",C43),選手名簿!$A$1:$E$65536,5,FALSE))</f>
        <v/>
      </c>
      <c r="F43" s="968"/>
      <c r="G43" s="968"/>
      <c r="H43" s="968"/>
      <c r="I43" s="968"/>
      <c r="J43" s="389" t="s">
        <v>476</v>
      </c>
      <c r="K43" s="389"/>
      <c r="L43" s="389" t="s">
        <v>455</v>
      </c>
      <c r="M43" s="968" t="str">
        <f>IF(ISERROR(VLOOKUP(CONCATENATE($B$9,"_",K43),選手名簿!$A$1:$E$65536,5,FALSE))=TRUE,"",VLOOKUP(CONCATENATE($B$9,"_",K43),選手名簿!$A$1:$E$65536,5,FALSE))</f>
        <v/>
      </c>
      <c r="N43" s="968"/>
      <c r="O43" s="968"/>
      <c r="P43" s="968"/>
      <c r="Q43" s="968"/>
      <c r="R43" s="389"/>
      <c r="S43" s="388"/>
      <c r="T43" s="389" t="s">
        <v>317</v>
      </c>
      <c r="U43" s="389"/>
      <c r="V43" s="389" t="s">
        <v>455</v>
      </c>
      <c r="W43" s="968" t="str">
        <f>IF(ISERROR(VLOOKUP(CONCATENATE($W$9,"_",U43),選手名簿!$A$1:$E$65536,5,FALSE))=TRUE,"",VLOOKUP(CONCATENATE($W$9,"_",U43),選手名簿!$A$1:$E$65536,5,FALSE))</f>
        <v/>
      </c>
      <c r="X43" s="968"/>
      <c r="Y43" s="968"/>
      <c r="Z43" s="968"/>
      <c r="AA43" s="968"/>
      <c r="AB43" s="389" t="s">
        <v>476</v>
      </c>
      <c r="AC43" s="389"/>
      <c r="AD43" s="389" t="s">
        <v>455</v>
      </c>
      <c r="AE43" s="968" t="str">
        <f>IF(ISERROR(VLOOKUP(CONCATENATE($W$9,"_",AC43),選手名簿!$A$1:$E$65536,5,FALSE))=TRUE,"",VLOOKUP(CONCATENATE($W$9,"_",AC43),選手名簿!$A$1:$E$65536,5,FALSE))</f>
        <v/>
      </c>
      <c r="AF43" s="968"/>
      <c r="AG43" s="968"/>
      <c r="AH43" s="968"/>
      <c r="AI43" s="968"/>
      <c r="AJ43" s="392"/>
      <c r="AK43" s="323"/>
      <c r="AL43" s="323"/>
      <c r="AN43" s="308"/>
      <c r="AO43" s="308"/>
      <c r="AP43" s="309"/>
      <c r="AQ43" s="309"/>
      <c r="AR43" s="309"/>
      <c r="AS43" s="309"/>
      <c r="AT43" s="309"/>
      <c r="AU43" s="308"/>
      <c r="AV43" s="308"/>
      <c r="AW43" s="308"/>
      <c r="AX43" s="308"/>
      <c r="AY43" s="309"/>
      <c r="AZ43" s="309"/>
      <c r="BA43" s="309"/>
      <c r="BB43" s="308"/>
      <c r="BC43" s="308"/>
      <c r="BD43" s="308"/>
    </row>
    <row r="44" spans="1:56" s="323" customFormat="1" ht="36" customHeight="1" x14ac:dyDescent="0.15">
      <c r="A44" s="960" t="s">
        <v>480</v>
      </c>
      <c r="B44" s="950"/>
      <c r="C44" s="950"/>
      <c r="D44" s="950"/>
      <c r="E44" s="950"/>
      <c r="F44" s="950"/>
      <c r="G44" s="951"/>
      <c r="H44" s="952" t="s">
        <v>473</v>
      </c>
      <c r="I44" s="951"/>
      <c r="J44" s="952" t="s">
        <v>449</v>
      </c>
      <c r="K44" s="951"/>
      <c r="L44" s="950" t="s">
        <v>448</v>
      </c>
      <c r="M44" s="951"/>
      <c r="N44" s="952" t="s">
        <v>338</v>
      </c>
      <c r="O44" s="951"/>
      <c r="P44" s="952" t="s">
        <v>335</v>
      </c>
      <c r="Q44" s="951"/>
      <c r="R44" s="972" t="s">
        <v>481</v>
      </c>
      <c r="S44" s="973"/>
      <c r="T44" s="952" t="s">
        <v>335</v>
      </c>
      <c r="U44" s="951"/>
      <c r="V44" s="952" t="s">
        <v>338</v>
      </c>
      <c r="W44" s="951"/>
      <c r="X44" s="950" t="s">
        <v>448</v>
      </c>
      <c r="Y44" s="951"/>
      <c r="Z44" s="952" t="s">
        <v>449</v>
      </c>
      <c r="AA44" s="950"/>
      <c r="AB44" s="952" t="s">
        <v>473</v>
      </c>
      <c r="AC44" s="951"/>
      <c r="AD44" s="952" t="s">
        <v>480</v>
      </c>
      <c r="AE44" s="950"/>
      <c r="AF44" s="950"/>
      <c r="AG44" s="950"/>
      <c r="AH44" s="950"/>
      <c r="AI44" s="950"/>
      <c r="AJ44" s="962"/>
      <c r="AN44" s="308"/>
      <c r="AO44" s="308"/>
      <c r="AP44" s="309"/>
      <c r="AQ44" s="309"/>
      <c r="AR44" s="309"/>
      <c r="AS44" s="309"/>
      <c r="AT44" s="309"/>
      <c r="AU44" s="308"/>
      <c r="AV44" s="308"/>
      <c r="AW44" s="308"/>
      <c r="AX44" s="308"/>
      <c r="AY44" s="309"/>
      <c r="AZ44" s="309"/>
      <c r="BA44" s="309"/>
      <c r="BB44" s="308"/>
      <c r="BC44" s="308"/>
      <c r="BD44" s="308"/>
    </row>
    <row r="45" spans="1:56" s="323" customFormat="1" ht="20.100000000000001" customHeight="1" x14ac:dyDescent="0.15">
      <c r="A45" s="936"/>
      <c r="B45" s="937"/>
      <c r="C45" s="937"/>
      <c r="D45" s="937"/>
      <c r="E45" s="937"/>
      <c r="F45" s="937"/>
      <c r="G45" s="938"/>
      <c r="H45" s="953">
        <f t="shared" ref="H45:H49" si="2">SUM(J45:Q45)</f>
        <v>0</v>
      </c>
      <c r="I45" s="953"/>
      <c r="J45" s="953"/>
      <c r="K45" s="953"/>
      <c r="L45" s="954"/>
      <c r="M45" s="943"/>
      <c r="N45" s="942"/>
      <c r="O45" s="943"/>
      <c r="P45" s="942"/>
      <c r="Q45" s="943"/>
      <c r="R45" s="345" t="s">
        <v>482</v>
      </c>
      <c r="S45" s="346" t="s">
        <v>483</v>
      </c>
      <c r="T45" s="942"/>
      <c r="U45" s="943"/>
      <c r="V45" s="942"/>
      <c r="W45" s="943"/>
      <c r="X45" s="954"/>
      <c r="Y45" s="943"/>
      <c r="Z45" s="953"/>
      <c r="AA45" s="953"/>
      <c r="AB45" s="953">
        <f t="shared" ref="AB45:AB49" si="3">SUM(T45:AA45)</f>
        <v>0</v>
      </c>
      <c r="AC45" s="953"/>
      <c r="AD45" s="342"/>
      <c r="AE45" s="342"/>
      <c r="AF45" s="342"/>
      <c r="AG45" s="342"/>
      <c r="AH45" s="342"/>
      <c r="AI45" s="342"/>
      <c r="AJ45" s="348"/>
      <c r="AN45" s="308"/>
      <c r="AO45" s="308"/>
      <c r="AP45" s="309"/>
      <c r="AQ45" s="309"/>
      <c r="AR45" s="309"/>
      <c r="AS45" s="309"/>
      <c r="AT45" s="309"/>
      <c r="AU45" s="308"/>
      <c r="AV45" s="308"/>
      <c r="AW45" s="308"/>
      <c r="AX45" s="308"/>
      <c r="AY45" s="309"/>
      <c r="AZ45" s="309"/>
      <c r="BA45" s="309"/>
      <c r="BB45" s="308"/>
      <c r="BC45" s="308"/>
      <c r="BD45" s="308"/>
    </row>
    <row r="46" spans="1:56" s="323" customFormat="1" ht="20.100000000000001" customHeight="1" x14ac:dyDescent="0.15">
      <c r="A46" s="976"/>
      <c r="B46" s="947"/>
      <c r="C46" s="947"/>
      <c r="D46" s="947"/>
      <c r="E46" s="947"/>
      <c r="F46" s="947"/>
      <c r="G46" s="948"/>
      <c r="H46" s="953">
        <f t="shared" si="2"/>
        <v>0</v>
      </c>
      <c r="I46" s="953"/>
      <c r="J46" s="953"/>
      <c r="K46" s="953"/>
      <c r="L46" s="954"/>
      <c r="M46" s="943"/>
      <c r="N46" s="942"/>
      <c r="O46" s="943"/>
      <c r="P46" s="942"/>
      <c r="Q46" s="943"/>
      <c r="R46" s="345" t="s">
        <v>484</v>
      </c>
      <c r="S46" s="346" t="s">
        <v>483</v>
      </c>
      <c r="T46" s="942"/>
      <c r="U46" s="943"/>
      <c r="V46" s="942"/>
      <c r="W46" s="943"/>
      <c r="X46" s="954"/>
      <c r="Y46" s="943"/>
      <c r="Z46" s="953"/>
      <c r="AA46" s="953"/>
      <c r="AB46" s="953">
        <f t="shared" si="3"/>
        <v>0</v>
      </c>
      <c r="AC46" s="953"/>
      <c r="AJ46" s="352"/>
      <c r="AN46" s="308"/>
      <c r="AO46" s="308"/>
      <c r="AP46" s="309"/>
      <c r="AQ46" s="309"/>
      <c r="AR46" s="309"/>
      <c r="AS46" s="309"/>
      <c r="AT46" s="309"/>
      <c r="AU46" s="308"/>
      <c r="AV46" s="308"/>
      <c r="AW46" s="308"/>
      <c r="AX46" s="308"/>
      <c r="AY46" s="309"/>
      <c r="AZ46" s="309"/>
      <c r="BA46" s="309"/>
      <c r="BB46" s="308"/>
      <c r="BC46" s="308"/>
      <c r="BD46" s="308"/>
    </row>
    <row r="47" spans="1:56" s="323" customFormat="1" ht="20.100000000000001" customHeight="1" x14ac:dyDescent="0.15">
      <c r="A47" s="976"/>
      <c r="B47" s="947"/>
      <c r="C47" s="947"/>
      <c r="D47" s="947"/>
      <c r="E47" s="947"/>
      <c r="F47" s="947"/>
      <c r="G47" s="948"/>
      <c r="H47" s="953">
        <f t="shared" si="2"/>
        <v>0</v>
      </c>
      <c r="I47" s="953"/>
      <c r="J47" s="953"/>
      <c r="K47" s="953"/>
      <c r="L47" s="954"/>
      <c r="M47" s="943"/>
      <c r="N47" s="942"/>
      <c r="O47" s="943"/>
      <c r="P47" s="942"/>
      <c r="Q47" s="943"/>
      <c r="R47" s="345" t="s">
        <v>485</v>
      </c>
      <c r="S47" s="346" t="s">
        <v>486</v>
      </c>
      <c r="T47" s="942"/>
      <c r="U47" s="943"/>
      <c r="V47" s="942"/>
      <c r="W47" s="943"/>
      <c r="X47" s="954"/>
      <c r="Y47" s="943"/>
      <c r="Z47" s="953"/>
      <c r="AA47" s="953"/>
      <c r="AB47" s="953">
        <f t="shared" si="3"/>
        <v>0</v>
      </c>
      <c r="AC47" s="953"/>
      <c r="AJ47" s="352"/>
      <c r="AN47" s="308"/>
      <c r="AO47" s="308"/>
      <c r="AP47" s="309"/>
      <c r="AQ47" s="309"/>
      <c r="AR47" s="309"/>
      <c r="AS47" s="309"/>
      <c r="AT47" s="309"/>
      <c r="AU47" s="308"/>
      <c r="AV47" s="308"/>
      <c r="AW47" s="308"/>
      <c r="AX47" s="308"/>
      <c r="AY47" s="309"/>
      <c r="AZ47" s="309"/>
      <c r="BA47" s="309"/>
      <c r="BB47" s="308"/>
      <c r="BC47" s="308"/>
      <c r="BD47" s="308"/>
    </row>
    <row r="48" spans="1:56" s="323" customFormat="1" ht="20.100000000000001" customHeight="1" x14ac:dyDescent="0.15">
      <c r="A48" s="976"/>
      <c r="B48" s="947"/>
      <c r="C48" s="947"/>
      <c r="D48" s="947"/>
      <c r="E48" s="947"/>
      <c r="F48" s="947"/>
      <c r="G48" s="948"/>
      <c r="H48" s="953">
        <f t="shared" si="2"/>
        <v>0</v>
      </c>
      <c r="I48" s="953"/>
      <c r="J48" s="953"/>
      <c r="K48" s="953"/>
      <c r="L48" s="954"/>
      <c r="M48" s="943"/>
      <c r="N48" s="942"/>
      <c r="O48" s="943"/>
      <c r="P48" s="942"/>
      <c r="Q48" s="943"/>
      <c r="R48" s="345" t="s">
        <v>487</v>
      </c>
      <c r="S48" s="346" t="s">
        <v>486</v>
      </c>
      <c r="T48" s="942"/>
      <c r="U48" s="943"/>
      <c r="V48" s="942"/>
      <c r="W48" s="943"/>
      <c r="X48" s="954"/>
      <c r="Y48" s="943"/>
      <c r="Z48" s="953"/>
      <c r="AA48" s="953"/>
      <c r="AB48" s="953">
        <f t="shared" si="3"/>
        <v>0</v>
      </c>
      <c r="AC48" s="953"/>
      <c r="AJ48" s="352"/>
      <c r="AN48" s="308"/>
      <c r="AO48" s="308"/>
      <c r="AP48" s="309"/>
      <c r="AQ48" s="309"/>
      <c r="AR48" s="309"/>
      <c r="AS48" s="309"/>
      <c r="AT48" s="309"/>
      <c r="AU48" s="308"/>
      <c r="AV48" s="308"/>
      <c r="AW48" s="308"/>
      <c r="AX48" s="308"/>
      <c r="AY48" s="309"/>
      <c r="AZ48" s="309"/>
      <c r="BA48" s="309"/>
      <c r="BB48" s="308"/>
      <c r="BC48" s="308"/>
      <c r="BD48" s="308"/>
    </row>
    <row r="49" spans="1:56" s="323" customFormat="1" ht="20.100000000000001" customHeight="1" x14ac:dyDescent="0.15">
      <c r="A49" s="960"/>
      <c r="B49" s="950"/>
      <c r="C49" s="950"/>
      <c r="D49" s="950"/>
      <c r="E49" s="950"/>
      <c r="F49" s="950"/>
      <c r="G49" s="951"/>
      <c r="H49" s="953">
        <f t="shared" si="2"/>
        <v>0</v>
      </c>
      <c r="I49" s="953"/>
      <c r="J49" s="953"/>
      <c r="K49" s="953"/>
      <c r="L49" s="954"/>
      <c r="M49" s="943"/>
      <c r="N49" s="942"/>
      <c r="O49" s="943"/>
      <c r="P49" s="942"/>
      <c r="Q49" s="943"/>
      <c r="R49" s="345" t="s">
        <v>488</v>
      </c>
      <c r="S49" s="343" t="s">
        <v>483</v>
      </c>
      <c r="T49" s="942"/>
      <c r="U49" s="943"/>
      <c r="V49" s="942"/>
      <c r="W49" s="943"/>
      <c r="X49" s="954"/>
      <c r="Y49" s="943"/>
      <c r="Z49" s="953"/>
      <c r="AA49" s="953"/>
      <c r="AB49" s="953">
        <f t="shared" si="3"/>
        <v>0</v>
      </c>
      <c r="AC49" s="953"/>
      <c r="AD49" s="354"/>
      <c r="AE49" s="354"/>
      <c r="AF49" s="354"/>
      <c r="AG49" s="354"/>
      <c r="AH49" s="354"/>
      <c r="AI49" s="354"/>
      <c r="AJ49" s="357"/>
      <c r="AN49" s="308"/>
      <c r="AO49" s="308"/>
      <c r="AP49" s="309"/>
      <c r="AQ49" s="309"/>
      <c r="AR49" s="309"/>
      <c r="AS49" s="309"/>
      <c r="AT49" s="309"/>
      <c r="AU49" s="308"/>
      <c r="AV49" s="308"/>
      <c r="AW49" s="308"/>
      <c r="AX49" s="308"/>
      <c r="AY49" s="309"/>
      <c r="AZ49" s="309"/>
      <c r="BA49" s="309"/>
      <c r="BB49" s="308"/>
      <c r="BC49" s="308"/>
      <c r="BD49" s="308"/>
    </row>
    <row r="50" spans="1:56" s="323" customFormat="1" ht="20.100000000000001" customHeight="1" x14ac:dyDescent="0.15">
      <c r="A50" s="974" t="s">
        <v>412</v>
      </c>
      <c r="B50" s="954"/>
      <c r="C50" s="943"/>
      <c r="D50" s="942" t="s">
        <v>343</v>
      </c>
      <c r="E50" s="943"/>
      <c r="F50" s="942" t="s">
        <v>489</v>
      </c>
      <c r="G50" s="954"/>
      <c r="H50" s="954"/>
      <c r="I50" s="954"/>
      <c r="J50" s="954"/>
      <c r="K50" s="954"/>
      <c r="L50" s="954"/>
      <c r="M50" s="954"/>
      <c r="N50" s="954"/>
      <c r="O50" s="954"/>
      <c r="P50" s="954"/>
      <c r="Q50" s="954"/>
      <c r="R50" s="975"/>
      <c r="S50" s="974" t="s">
        <v>412</v>
      </c>
      <c r="T50" s="954"/>
      <c r="U50" s="943"/>
      <c r="V50" s="942" t="s">
        <v>343</v>
      </c>
      <c r="W50" s="943"/>
      <c r="X50" s="942" t="s">
        <v>489</v>
      </c>
      <c r="Y50" s="954"/>
      <c r="Z50" s="954"/>
      <c r="AA50" s="954"/>
      <c r="AB50" s="954"/>
      <c r="AC50" s="954"/>
      <c r="AD50" s="954"/>
      <c r="AE50" s="954"/>
      <c r="AF50" s="954"/>
      <c r="AG50" s="954"/>
      <c r="AH50" s="954"/>
      <c r="AI50" s="954"/>
      <c r="AJ50" s="975"/>
      <c r="AN50" s="308"/>
      <c r="AO50" s="308"/>
      <c r="AP50" s="309"/>
      <c r="AQ50" s="309"/>
      <c r="AR50" s="309"/>
      <c r="AS50" s="309"/>
      <c r="AT50" s="309"/>
      <c r="AU50" s="308"/>
      <c r="AV50" s="308"/>
      <c r="AW50" s="308"/>
      <c r="AX50" s="308"/>
      <c r="AY50" s="309"/>
      <c r="AZ50" s="309"/>
      <c r="BA50" s="309"/>
      <c r="BB50" s="308"/>
      <c r="BC50" s="308"/>
      <c r="BD50" s="308"/>
    </row>
    <row r="51" spans="1:56" s="323" customFormat="1" ht="20.100000000000001" customHeight="1" x14ac:dyDescent="0.15">
      <c r="A51" s="358"/>
      <c r="B51" s="361"/>
      <c r="C51" s="346" t="s">
        <v>317</v>
      </c>
      <c r="D51" s="942"/>
      <c r="E51" s="943"/>
      <c r="F51" s="942"/>
      <c r="G51" s="954"/>
      <c r="H51" s="954"/>
      <c r="I51" s="954"/>
      <c r="J51" s="954"/>
      <c r="K51" s="954"/>
      <c r="L51" s="954"/>
      <c r="M51" s="954"/>
      <c r="N51" s="954"/>
      <c r="O51" s="954"/>
      <c r="P51" s="954"/>
      <c r="Q51" s="954"/>
      <c r="R51" s="975"/>
      <c r="S51" s="358"/>
      <c r="T51" s="361"/>
      <c r="U51" s="346" t="s">
        <v>317</v>
      </c>
      <c r="V51" s="942"/>
      <c r="W51" s="943"/>
      <c r="X51" s="942"/>
      <c r="Y51" s="954"/>
      <c r="Z51" s="954"/>
      <c r="AA51" s="954"/>
      <c r="AB51" s="954"/>
      <c r="AC51" s="954"/>
      <c r="AD51" s="954"/>
      <c r="AE51" s="954"/>
      <c r="AF51" s="954"/>
      <c r="AG51" s="954"/>
      <c r="AH51" s="954"/>
      <c r="AI51" s="954"/>
      <c r="AJ51" s="975"/>
      <c r="AN51" s="308"/>
      <c r="AO51" s="308"/>
      <c r="AP51" s="309"/>
      <c r="AQ51" s="309"/>
      <c r="AR51" s="309"/>
      <c r="AS51" s="309"/>
      <c r="AT51" s="309"/>
      <c r="AU51" s="308"/>
      <c r="AV51" s="308"/>
      <c r="AW51" s="308"/>
      <c r="AX51" s="308"/>
      <c r="AY51" s="309"/>
      <c r="AZ51" s="309"/>
      <c r="BA51" s="309"/>
      <c r="BB51" s="308"/>
      <c r="BC51" s="308"/>
      <c r="BD51" s="308"/>
    </row>
    <row r="52" spans="1:56" s="323" customFormat="1" ht="20.100000000000001" customHeight="1" x14ac:dyDescent="0.15">
      <c r="A52" s="358"/>
      <c r="B52" s="361"/>
      <c r="C52" s="346" t="s">
        <v>317</v>
      </c>
      <c r="D52" s="942"/>
      <c r="E52" s="943"/>
      <c r="F52" s="942"/>
      <c r="G52" s="954"/>
      <c r="H52" s="954"/>
      <c r="I52" s="954"/>
      <c r="J52" s="954"/>
      <c r="K52" s="954"/>
      <c r="L52" s="954"/>
      <c r="M52" s="954"/>
      <c r="N52" s="954"/>
      <c r="O52" s="954"/>
      <c r="P52" s="954"/>
      <c r="Q52" s="954"/>
      <c r="R52" s="975"/>
      <c r="S52" s="358"/>
      <c r="T52" s="361"/>
      <c r="U52" s="346" t="s">
        <v>317</v>
      </c>
      <c r="V52" s="942"/>
      <c r="W52" s="943"/>
      <c r="X52" s="942"/>
      <c r="Y52" s="954"/>
      <c r="Z52" s="954"/>
      <c r="AA52" s="954"/>
      <c r="AB52" s="954"/>
      <c r="AC52" s="954"/>
      <c r="AD52" s="954"/>
      <c r="AE52" s="954"/>
      <c r="AF52" s="954"/>
      <c r="AG52" s="954"/>
      <c r="AH52" s="954"/>
      <c r="AI52" s="954"/>
      <c r="AJ52" s="975"/>
      <c r="AN52" s="308"/>
      <c r="AO52" s="308"/>
      <c r="AP52" s="309"/>
      <c r="AQ52" s="309"/>
      <c r="AR52" s="309"/>
      <c r="AS52" s="309"/>
      <c r="AT52" s="309"/>
      <c r="AU52" s="308"/>
      <c r="AV52" s="308"/>
      <c r="AW52" s="308"/>
      <c r="AX52" s="308"/>
      <c r="AY52" s="309"/>
      <c r="AZ52" s="309"/>
      <c r="BA52" s="309"/>
      <c r="BB52" s="308"/>
      <c r="BC52" s="308"/>
      <c r="BD52" s="308"/>
    </row>
    <row r="53" spans="1:56" s="323" customFormat="1" ht="20.100000000000001" customHeight="1" x14ac:dyDescent="0.15">
      <c r="A53" s="358"/>
      <c r="B53" s="361"/>
      <c r="C53" s="346" t="s">
        <v>317</v>
      </c>
      <c r="D53" s="942"/>
      <c r="E53" s="943"/>
      <c r="F53" s="942"/>
      <c r="G53" s="954"/>
      <c r="H53" s="954"/>
      <c r="I53" s="954"/>
      <c r="J53" s="954"/>
      <c r="K53" s="954"/>
      <c r="L53" s="954"/>
      <c r="M53" s="954"/>
      <c r="N53" s="954"/>
      <c r="O53" s="954"/>
      <c r="P53" s="954"/>
      <c r="Q53" s="954"/>
      <c r="R53" s="975"/>
      <c r="S53" s="358"/>
      <c r="T53" s="361"/>
      <c r="U53" s="346" t="s">
        <v>317</v>
      </c>
      <c r="V53" s="942"/>
      <c r="W53" s="943"/>
      <c r="X53" s="942"/>
      <c r="Y53" s="954"/>
      <c r="Z53" s="954"/>
      <c r="AA53" s="954"/>
      <c r="AB53" s="954"/>
      <c r="AC53" s="954"/>
      <c r="AD53" s="954"/>
      <c r="AE53" s="954"/>
      <c r="AF53" s="954"/>
      <c r="AG53" s="954"/>
      <c r="AH53" s="954"/>
      <c r="AI53" s="954"/>
      <c r="AJ53" s="975"/>
      <c r="AN53" s="308"/>
      <c r="AO53" s="308"/>
      <c r="AP53" s="309"/>
      <c r="AQ53" s="309"/>
      <c r="AR53" s="309"/>
      <c r="AS53" s="309"/>
      <c r="AT53" s="309"/>
      <c r="AU53" s="308"/>
      <c r="AV53" s="308"/>
      <c r="AW53" s="308"/>
      <c r="AX53" s="308"/>
      <c r="AY53" s="309"/>
      <c r="AZ53" s="309"/>
      <c r="BA53" s="309"/>
      <c r="BB53" s="308"/>
      <c r="BC53" s="308"/>
      <c r="BD53" s="308"/>
    </row>
    <row r="54" spans="1:56" s="323" customFormat="1" ht="20.100000000000001" customHeight="1" x14ac:dyDescent="0.15">
      <c r="A54" s="358"/>
      <c r="B54" s="361"/>
      <c r="C54" s="346" t="s">
        <v>317</v>
      </c>
      <c r="D54" s="942"/>
      <c r="E54" s="943"/>
      <c r="F54" s="942"/>
      <c r="G54" s="954"/>
      <c r="H54" s="954"/>
      <c r="I54" s="954"/>
      <c r="J54" s="954"/>
      <c r="K54" s="954"/>
      <c r="L54" s="954"/>
      <c r="M54" s="954"/>
      <c r="N54" s="954"/>
      <c r="O54" s="954"/>
      <c r="P54" s="954"/>
      <c r="Q54" s="954"/>
      <c r="R54" s="975"/>
      <c r="S54" s="358"/>
      <c r="T54" s="361"/>
      <c r="U54" s="346" t="s">
        <v>317</v>
      </c>
      <c r="V54" s="942"/>
      <c r="W54" s="943"/>
      <c r="X54" s="942"/>
      <c r="Y54" s="954"/>
      <c r="Z54" s="954"/>
      <c r="AA54" s="954"/>
      <c r="AB54" s="954"/>
      <c r="AC54" s="954"/>
      <c r="AD54" s="954"/>
      <c r="AE54" s="954"/>
      <c r="AF54" s="954"/>
      <c r="AG54" s="954"/>
      <c r="AH54" s="954"/>
      <c r="AI54" s="954"/>
      <c r="AJ54" s="975"/>
      <c r="AN54" s="308"/>
      <c r="AO54" s="308"/>
      <c r="AP54" s="309"/>
      <c r="AQ54" s="309"/>
      <c r="AR54" s="309"/>
      <c r="AS54" s="309"/>
      <c r="AT54" s="309"/>
      <c r="AU54" s="308"/>
      <c r="AV54" s="308"/>
      <c r="AW54" s="308"/>
      <c r="AX54" s="308"/>
      <c r="AY54" s="309"/>
      <c r="AZ54" s="309"/>
      <c r="BA54" s="309"/>
      <c r="BB54" s="308"/>
      <c r="BC54" s="308"/>
      <c r="BD54" s="308"/>
    </row>
    <row r="55" spans="1:56" s="323" customFormat="1" ht="20.100000000000001" customHeight="1" x14ac:dyDescent="0.15">
      <c r="A55" s="358"/>
      <c r="B55" s="361"/>
      <c r="C55" s="346" t="s">
        <v>317</v>
      </c>
      <c r="D55" s="942"/>
      <c r="E55" s="943"/>
      <c r="F55" s="942"/>
      <c r="G55" s="954"/>
      <c r="H55" s="954"/>
      <c r="I55" s="954"/>
      <c r="J55" s="954"/>
      <c r="K55" s="954"/>
      <c r="L55" s="954"/>
      <c r="M55" s="954"/>
      <c r="N55" s="954"/>
      <c r="O55" s="954"/>
      <c r="P55" s="954"/>
      <c r="Q55" s="954"/>
      <c r="R55" s="975"/>
      <c r="S55" s="358"/>
      <c r="T55" s="361"/>
      <c r="U55" s="346" t="s">
        <v>317</v>
      </c>
      <c r="V55" s="942"/>
      <c r="W55" s="943"/>
      <c r="X55" s="942"/>
      <c r="Y55" s="954"/>
      <c r="Z55" s="954"/>
      <c r="AA55" s="954"/>
      <c r="AB55" s="954"/>
      <c r="AC55" s="954"/>
      <c r="AD55" s="954"/>
      <c r="AE55" s="954"/>
      <c r="AF55" s="954"/>
      <c r="AG55" s="954"/>
      <c r="AH55" s="954"/>
      <c r="AI55" s="954"/>
      <c r="AJ55" s="975"/>
      <c r="AN55" s="308"/>
      <c r="AO55" s="308"/>
      <c r="AP55" s="309"/>
      <c r="AQ55" s="309"/>
      <c r="AR55" s="309"/>
      <c r="AS55" s="309"/>
      <c r="AT55" s="309"/>
      <c r="AU55" s="308"/>
      <c r="AV55" s="308"/>
      <c r="AW55" s="308"/>
      <c r="AX55" s="308"/>
      <c r="AY55" s="309"/>
      <c r="AZ55" s="309"/>
      <c r="BA55" s="309"/>
      <c r="BB55" s="308"/>
      <c r="BC55" s="308"/>
      <c r="BD55" s="308"/>
    </row>
    <row r="56" spans="1:56" s="323" customFormat="1" ht="20.100000000000001" customHeight="1" x14ac:dyDescent="0.15">
      <c r="A56" s="358"/>
      <c r="B56" s="361"/>
      <c r="C56" s="346" t="s">
        <v>317</v>
      </c>
      <c r="D56" s="942"/>
      <c r="E56" s="943"/>
      <c r="F56" s="942"/>
      <c r="G56" s="954"/>
      <c r="H56" s="954"/>
      <c r="I56" s="954"/>
      <c r="J56" s="954"/>
      <c r="K56" s="954"/>
      <c r="L56" s="954"/>
      <c r="M56" s="954"/>
      <c r="N56" s="954"/>
      <c r="O56" s="954"/>
      <c r="P56" s="954"/>
      <c r="Q56" s="954"/>
      <c r="R56" s="975"/>
      <c r="S56" s="358"/>
      <c r="T56" s="361"/>
      <c r="U56" s="346" t="s">
        <v>317</v>
      </c>
      <c r="V56" s="942"/>
      <c r="W56" s="943"/>
      <c r="X56" s="942"/>
      <c r="Y56" s="954"/>
      <c r="Z56" s="954"/>
      <c r="AA56" s="954"/>
      <c r="AB56" s="954"/>
      <c r="AC56" s="954"/>
      <c r="AD56" s="954"/>
      <c r="AE56" s="954"/>
      <c r="AF56" s="954"/>
      <c r="AG56" s="954"/>
      <c r="AH56" s="954"/>
      <c r="AI56" s="954"/>
      <c r="AJ56" s="975"/>
      <c r="AN56" s="308"/>
      <c r="AO56" s="308"/>
      <c r="AP56" s="309"/>
      <c r="AQ56" s="309"/>
      <c r="AR56" s="309"/>
      <c r="AS56" s="309"/>
      <c r="AT56" s="309"/>
      <c r="AU56" s="308"/>
      <c r="AV56" s="308"/>
      <c r="AW56" s="308"/>
      <c r="AX56" s="308"/>
      <c r="AY56" s="309"/>
      <c r="AZ56" s="309"/>
      <c r="BA56" s="309"/>
      <c r="BB56" s="308"/>
      <c r="BC56" s="308"/>
      <c r="BD56" s="308"/>
    </row>
    <row r="57" spans="1:56" s="323" customFormat="1" ht="20.100000000000001" customHeight="1" x14ac:dyDescent="0.15">
      <c r="A57" s="393" t="s">
        <v>490</v>
      </c>
      <c r="B57" s="394"/>
      <c r="C57" s="395"/>
      <c r="D57" s="977" t="s">
        <v>491</v>
      </c>
      <c r="E57" s="977"/>
      <c r="F57" s="977"/>
      <c r="G57" s="395"/>
      <c r="H57" s="977" t="s">
        <v>492</v>
      </c>
      <c r="I57" s="977"/>
      <c r="J57" s="395" t="s">
        <v>493</v>
      </c>
      <c r="K57" s="395"/>
      <c r="L57" s="977" t="s">
        <v>494</v>
      </c>
      <c r="M57" s="977"/>
      <c r="N57" s="977"/>
      <c r="O57" s="395" t="s">
        <v>476</v>
      </c>
      <c r="P57" s="395"/>
      <c r="Q57" s="977" t="s">
        <v>495</v>
      </c>
      <c r="R57" s="977"/>
      <c r="S57" s="395" t="s">
        <v>496</v>
      </c>
      <c r="T57" s="395"/>
      <c r="U57" s="977" t="s">
        <v>497</v>
      </c>
      <c r="V57" s="977"/>
      <c r="W57" s="395" t="s">
        <v>232</v>
      </c>
      <c r="X57" s="395"/>
      <c r="Y57" s="977" t="s">
        <v>498</v>
      </c>
      <c r="Z57" s="977"/>
      <c r="AA57" s="977"/>
      <c r="AB57" s="395" t="s">
        <v>499</v>
      </c>
      <c r="AC57" s="395"/>
      <c r="AD57" s="977" t="s">
        <v>500</v>
      </c>
      <c r="AE57" s="977"/>
      <c r="AF57" s="395" t="s">
        <v>501</v>
      </c>
      <c r="AG57" s="395"/>
      <c r="AH57" s="395"/>
      <c r="AI57" s="395"/>
      <c r="AJ57" s="396"/>
      <c r="AN57" s="308"/>
      <c r="AO57" s="308"/>
      <c r="AP57" s="309"/>
      <c r="AQ57" s="309"/>
      <c r="AR57" s="309"/>
      <c r="AS57" s="309"/>
      <c r="AT57" s="309"/>
      <c r="AU57" s="308"/>
      <c r="AV57" s="308"/>
      <c r="AW57" s="308"/>
      <c r="AX57" s="308"/>
      <c r="AY57" s="309"/>
      <c r="AZ57" s="309"/>
      <c r="BA57" s="309"/>
      <c r="BB57" s="308"/>
      <c r="BC57" s="308"/>
      <c r="BD57" s="308"/>
    </row>
    <row r="58" spans="1:56" s="397" customFormat="1" ht="20.100000000000001" customHeight="1" x14ac:dyDescent="0.15">
      <c r="A58" s="978" t="s">
        <v>502</v>
      </c>
      <c r="B58" s="978"/>
      <c r="C58" s="978"/>
      <c r="D58" s="978"/>
      <c r="E58" s="978"/>
      <c r="F58" s="978"/>
      <c r="G58" s="978"/>
      <c r="H58" s="978"/>
      <c r="I58" s="978"/>
      <c r="J58" s="978"/>
      <c r="K58" s="978"/>
      <c r="L58" s="978"/>
      <c r="M58" s="978"/>
      <c r="N58" s="978"/>
      <c r="O58" s="978"/>
      <c r="P58" s="978"/>
      <c r="Q58" s="978"/>
      <c r="R58" s="978"/>
      <c r="S58" s="978"/>
      <c r="T58" s="978"/>
      <c r="U58" s="978"/>
      <c r="V58" s="978"/>
      <c r="W58" s="978"/>
      <c r="X58" s="978"/>
      <c r="Y58" s="978"/>
      <c r="Z58" s="978"/>
      <c r="AA58" s="978"/>
      <c r="AB58" s="978"/>
      <c r="AC58" s="978"/>
      <c r="AD58" s="978"/>
      <c r="AE58" s="978"/>
      <c r="AF58" s="978"/>
      <c r="AG58" s="978"/>
      <c r="AH58" s="978"/>
      <c r="AI58" s="978"/>
      <c r="AJ58" s="978"/>
    </row>
    <row r="59" spans="1:56" s="397" customFormat="1" ht="20.100000000000001" customHeight="1" x14ac:dyDescent="0.15">
      <c r="A59" s="979" t="s">
        <v>503</v>
      </c>
      <c r="B59" s="979"/>
      <c r="C59" s="979"/>
      <c r="D59" s="979"/>
      <c r="E59" s="979"/>
      <c r="F59" s="979"/>
      <c r="G59" s="979"/>
      <c r="H59" s="979"/>
      <c r="I59" s="979"/>
      <c r="J59" s="979"/>
      <c r="K59" s="979"/>
      <c r="L59" s="979"/>
      <c r="M59" s="979"/>
      <c r="N59" s="979"/>
      <c r="O59" s="979"/>
      <c r="P59" s="979"/>
      <c r="Q59" s="979"/>
      <c r="R59" s="979"/>
      <c r="S59" s="979"/>
      <c r="T59" s="979"/>
      <c r="U59" s="979"/>
      <c r="V59" s="979"/>
      <c r="W59" s="979"/>
      <c r="X59" s="979"/>
      <c r="Y59" s="979"/>
      <c r="Z59" s="979"/>
      <c r="AA59" s="979"/>
      <c r="AB59" s="979"/>
      <c r="AC59" s="979"/>
      <c r="AD59" s="979"/>
      <c r="AE59" s="979"/>
      <c r="AF59" s="979"/>
      <c r="AG59" s="979"/>
      <c r="AH59" s="979"/>
      <c r="AI59" s="979"/>
      <c r="AJ59" s="979"/>
    </row>
    <row r="60" spans="1:56" s="398" customFormat="1" ht="18.75" hidden="1" customHeight="1" x14ac:dyDescent="0.15">
      <c r="A60" s="399"/>
      <c r="B60" s="399"/>
      <c r="C60" s="399"/>
      <c r="D60" s="399"/>
      <c r="E60" s="399"/>
      <c r="F60" s="399"/>
      <c r="G60" s="399"/>
      <c r="H60" s="399"/>
      <c r="I60" s="399"/>
      <c r="J60" s="399"/>
      <c r="K60" s="399"/>
      <c r="L60" s="399"/>
      <c r="M60" s="399"/>
      <c r="N60" s="399"/>
      <c r="O60" s="399"/>
      <c r="P60" s="399"/>
      <c r="Q60" s="399"/>
      <c r="R60" s="399"/>
      <c r="S60" s="399"/>
      <c r="T60" s="399"/>
      <c r="U60" s="399"/>
      <c r="V60" s="399"/>
      <c r="W60" s="399"/>
      <c r="X60" s="399"/>
      <c r="Y60" s="399"/>
      <c r="Z60" s="399"/>
      <c r="AA60" s="399"/>
      <c r="AB60" s="399"/>
      <c r="AC60" s="399"/>
      <c r="AD60" s="399"/>
      <c r="AE60" s="399"/>
      <c r="AF60" s="399"/>
      <c r="AG60" s="399"/>
      <c r="AH60" s="399"/>
      <c r="AI60" s="399"/>
      <c r="AJ60" s="399"/>
    </row>
    <row r="61" spans="1:56" s="400" customFormat="1" ht="20.100000000000001" hidden="1" customHeight="1" x14ac:dyDescent="0.15">
      <c r="A61" s="990" t="s">
        <v>504</v>
      </c>
      <c r="B61" s="991"/>
      <c r="C61" s="991"/>
      <c r="D61" s="991"/>
      <c r="E61" s="401" t="s">
        <v>123</v>
      </c>
      <c r="F61" s="991"/>
      <c r="G61" s="991"/>
      <c r="H61" s="991"/>
      <c r="I61" s="991"/>
      <c r="J61" s="991"/>
      <c r="K61" s="401" t="s">
        <v>336</v>
      </c>
      <c r="L61" s="991" t="s">
        <v>505</v>
      </c>
      <c r="M61" s="991"/>
      <c r="N61" s="991"/>
      <c r="O61" s="991"/>
      <c r="P61" s="991"/>
      <c r="Q61" s="991"/>
      <c r="R61" s="991"/>
      <c r="S61" s="401" t="s">
        <v>123</v>
      </c>
      <c r="T61" s="992"/>
      <c r="U61" s="992"/>
      <c r="V61" s="992"/>
      <c r="W61" s="992"/>
      <c r="X61" s="992"/>
      <c r="Y61" s="992"/>
      <c r="Z61" s="992"/>
      <c r="AA61" s="992"/>
      <c r="AB61" s="992"/>
      <c r="AC61" s="992"/>
      <c r="AD61" s="992"/>
      <c r="AE61" s="992"/>
      <c r="AF61" s="992"/>
      <c r="AG61" s="992"/>
      <c r="AH61" s="992"/>
      <c r="AI61" s="401" t="s">
        <v>506</v>
      </c>
      <c r="AJ61" s="402"/>
    </row>
    <row r="62" spans="1:56" s="398" customFormat="1" ht="20.100000000000001" hidden="1" customHeight="1" x14ac:dyDescent="0.15">
      <c r="A62" s="993"/>
      <c r="B62" s="994"/>
      <c r="C62" s="994"/>
      <c r="D62" s="994"/>
      <c r="E62" s="994"/>
      <c r="F62" s="994"/>
      <c r="G62" s="994"/>
      <c r="H62" s="994"/>
      <c r="I62" s="994"/>
      <c r="J62" s="994"/>
      <c r="K62" s="994"/>
      <c r="L62" s="994"/>
      <c r="M62" s="994"/>
      <c r="N62" s="994"/>
      <c r="O62" s="994"/>
      <c r="P62" s="994"/>
      <c r="Q62" s="994"/>
      <c r="R62" s="994"/>
      <c r="S62" s="994"/>
      <c r="T62" s="994"/>
      <c r="U62" s="994"/>
      <c r="V62" s="994"/>
      <c r="W62" s="994"/>
      <c r="X62" s="994"/>
      <c r="Y62" s="994"/>
      <c r="Z62" s="994"/>
      <c r="AA62" s="994"/>
      <c r="AB62" s="994"/>
      <c r="AC62" s="994"/>
      <c r="AD62" s="994"/>
      <c r="AE62" s="994"/>
      <c r="AF62" s="994"/>
      <c r="AG62" s="994"/>
      <c r="AH62" s="994"/>
      <c r="AI62" s="994"/>
      <c r="AJ62" s="995"/>
    </row>
    <row r="63" spans="1:56" s="398" customFormat="1" ht="20.100000000000001" hidden="1" customHeight="1" x14ac:dyDescent="0.15">
      <c r="A63" s="996"/>
      <c r="B63" s="997"/>
      <c r="C63" s="997"/>
      <c r="D63" s="997"/>
      <c r="E63" s="997"/>
      <c r="F63" s="997"/>
      <c r="G63" s="997"/>
      <c r="H63" s="997"/>
      <c r="I63" s="997"/>
      <c r="J63" s="997"/>
      <c r="K63" s="997"/>
      <c r="L63" s="997"/>
      <c r="M63" s="997"/>
      <c r="N63" s="997"/>
      <c r="O63" s="997"/>
      <c r="P63" s="997"/>
      <c r="Q63" s="997"/>
      <c r="R63" s="997"/>
      <c r="S63" s="997"/>
      <c r="T63" s="997"/>
      <c r="U63" s="997"/>
      <c r="V63" s="997"/>
      <c r="W63" s="997"/>
      <c r="X63" s="997"/>
      <c r="Y63" s="997"/>
      <c r="Z63" s="997"/>
      <c r="AA63" s="997"/>
      <c r="AB63" s="997"/>
      <c r="AC63" s="997"/>
      <c r="AD63" s="997"/>
      <c r="AE63" s="997"/>
      <c r="AF63" s="997"/>
      <c r="AG63" s="997"/>
      <c r="AH63" s="997"/>
      <c r="AI63" s="997"/>
      <c r="AJ63" s="998"/>
    </row>
    <row r="64" spans="1:56" s="398" customFormat="1" ht="20.100000000000001" hidden="1" customHeight="1" x14ac:dyDescent="0.15">
      <c r="A64" s="996"/>
      <c r="B64" s="997"/>
      <c r="C64" s="997"/>
      <c r="D64" s="997"/>
      <c r="E64" s="997"/>
      <c r="F64" s="997"/>
      <c r="G64" s="997"/>
      <c r="H64" s="997"/>
      <c r="I64" s="997"/>
      <c r="J64" s="997"/>
      <c r="K64" s="997"/>
      <c r="L64" s="997"/>
      <c r="M64" s="997"/>
      <c r="N64" s="997"/>
      <c r="O64" s="997"/>
      <c r="P64" s="997"/>
      <c r="Q64" s="997"/>
      <c r="R64" s="997"/>
      <c r="S64" s="997"/>
      <c r="T64" s="997"/>
      <c r="U64" s="997"/>
      <c r="V64" s="997"/>
      <c r="W64" s="997"/>
      <c r="X64" s="997"/>
      <c r="Y64" s="997"/>
      <c r="Z64" s="997"/>
      <c r="AA64" s="997"/>
      <c r="AB64" s="997"/>
      <c r="AC64" s="997"/>
      <c r="AD64" s="997"/>
      <c r="AE64" s="997"/>
      <c r="AF64" s="997"/>
      <c r="AG64" s="997"/>
      <c r="AH64" s="997"/>
      <c r="AI64" s="997"/>
      <c r="AJ64" s="998"/>
    </row>
    <row r="65" spans="1:36" s="398" customFormat="1" ht="20.100000000000001" hidden="1" customHeight="1" x14ac:dyDescent="0.15">
      <c r="A65" s="996"/>
      <c r="B65" s="997"/>
      <c r="C65" s="997"/>
      <c r="D65" s="997"/>
      <c r="E65" s="997"/>
      <c r="F65" s="997"/>
      <c r="G65" s="997"/>
      <c r="H65" s="997"/>
      <c r="I65" s="997"/>
      <c r="J65" s="997"/>
      <c r="K65" s="997"/>
      <c r="L65" s="997"/>
      <c r="M65" s="997"/>
      <c r="N65" s="997"/>
      <c r="O65" s="997"/>
      <c r="P65" s="997"/>
      <c r="Q65" s="997"/>
      <c r="R65" s="997"/>
      <c r="S65" s="997"/>
      <c r="T65" s="997"/>
      <c r="U65" s="997"/>
      <c r="V65" s="997"/>
      <c r="W65" s="997"/>
      <c r="X65" s="997"/>
      <c r="Y65" s="997"/>
      <c r="Z65" s="997"/>
      <c r="AA65" s="997"/>
      <c r="AB65" s="997"/>
      <c r="AC65" s="997"/>
      <c r="AD65" s="997"/>
      <c r="AE65" s="997"/>
      <c r="AF65" s="997"/>
      <c r="AG65" s="997"/>
      <c r="AH65" s="997"/>
      <c r="AI65" s="997"/>
      <c r="AJ65" s="998"/>
    </row>
    <row r="66" spans="1:36" s="398" customFormat="1" ht="20.100000000000001" hidden="1" customHeight="1" x14ac:dyDescent="0.15">
      <c r="A66" s="996"/>
      <c r="B66" s="997"/>
      <c r="C66" s="997"/>
      <c r="D66" s="997"/>
      <c r="E66" s="997"/>
      <c r="F66" s="997"/>
      <c r="G66" s="997"/>
      <c r="H66" s="997"/>
      <c r="I66" s="997"/>
      <c r="J66" s="997"/>
      <c r="K66" s="997"/>
      <c r="L66" s="997"/>
      <c r="M66" s="997"/>
      <c r="N66" s="997"/>
      <c r="O66" s="997"/>
      <c r="P66" s="997"/>
      <c r="Q66" s="997"/>
      <c r="R66" s="997"/>
      <c r="S66" s="997"/>
      <c r="T66" s="997"/>
      <c r="U66" s="997"/>
      <c r="V66" s="997"/>
      <c r="W66" s="997"/>
      <c r="X66" s="997"/>
      <c r="Y66" s="997"/>
      <c r="Z66" s="997"/>
      <c r="AA66" s="997"/>
      <c r="AB66" s="997"/>
      <c r="AC66" s="997"/>
      <c r="AD66" s="997"/>
      <c r="AE66" s="997"/>
      <c r="AF66" s="997"/>
      <c r="AG66" s="997"/>
      <c r="AH66" s="997"/>
      <c r="AI66" s="997"/>
      <c r="AJ66" s="998"/>
    </row>
    <row r="67" spans="1:36" s="398" customFormat="1" ht="20.100000000000001" hidden="1" customHeight="1" x14ac:dyDescent="0.15">
      <c r="A67" s="996"/>
      <c r="B67" s="997"/>
      <c r="C67" s="997"/>
      <c r="D67" s="997"/>
      <c r="E67" s="997"/>
      <c r="F67" s="997"/>
      <c r="G67" s="997"/>
      <c r="H67" s="997"/>
      <c r="I67" s="997"/>
      <c r="J67" s="997"/>
      <c r="K67" s="997"/>
      <c r="L67" s="997"/>
      <c r="M67" s="997"/>
      <c r="N67" s="997"/>
      <c r="O67" s="997"/>
      <c r="P67" s="997"/>
      <c r="Q67" s="997"/>
      <c r="R67" s="997"/>
      <c r="S67" s="997"/>
      <c r="T67" s="997"/>
      <c r="U67" s="997"/>
      <c r="V67" s="997"/>
      <c r="W67" s="997"/>
      <c r="X67" s="997"/>
      <c r="Y67" s="997"/>
      <c r="Z67" s="997"/>
      <c r="AA67" s="997"/>
      <c r="AB67" s="997"/>
      <c r="AC67" s="997"/>
      <c r="AD67" s="997"/>
      <c r="AE67" s="997"/>
      <c r="AF67" s="997"/>
      <c r="AG67" s="997"/>
      <c r="AH67" s="997"/>
      <c r="AI67" s="997"/>
      <c r="AJ67" s="998"/>
    </row>
    <row r="68" spans="1:36" s="398" customFormat="1" ht="20.100000000000001" hidden="1" customHeight="1" x14ac:dyDescent="0.15">
      <c r="A68" s="999"/>
      <c r="B68" s="1000"/>
      <c r="C68" s="1000"/>
      <c r="D68" s="1000"/>
      <c r="E68" s="1000"/>
      <c r="F68" s="1000"/>
      <c r="G68" s="1000"/>
      <c r="H68" s="1000"/>
      <c r="I68" s="1000"/>
      <c r="J68" s="1000"/>
      <c r="K68" s="1000"/>
      <c r="L68" s="1000"/>
      <c r="M68" s="1000"/>
      <c r="N68" s="1000"/>
      <c r="O68" s="1000"/>
      <c r="P68" s="1000"/>
      <c r="Q68" s="1000"/>
      <c r="R68" s="1000"/>
      <c r="S68" s="1000"/>
      <c r="T68" s="1000"/>
      <c r="U68" s="1000"/>
      <c r="V68" s="1000"/>
      <c r="W68" s="1000"/>
      <c r="X68" s="1000"/>
      <c r="Y68" s="1000"/>
      <c r="Z68" s="1000"/>
      <c r="AA68" s="1000"/>
      <c r="AB68" s="1000"/>
      <c r="AC68" s="1000"/>
      <c r="AD68" s="1000"/>
      <c r="AE68" s="1000"/>
      <c r="AF68" s="1000"/>
      <c r="AG68" s="1000"/>
      <c r="AH68" s="1000"/>
      <c r="AI68" s="1000"/>
      <c r="AJ68" s="1001"/>
    </row>
    <row r="69" spans="1:36" s="398" customFormat="1" x14ac:dyDescent="0.15"/>
    <row r="70" spans="1:36" s="403" customFormat="1" ht="17.25" x14ac:dyDescent="0.15">
      <c r="I70" s="1002" t="s">
        <v>507</v>
      </c>
      <c r="J70" s="1002"/>
      <c r="K70" s="1002"/>
      <c r="L70" s="1002"/>
      <c r="M70" s="1002"/>
      <c r="N70" s="1002"/>
      <c r="O70" s="1002"/>
      <c r="P70" s="1002" t="s">
        <v>137</v>
      </c>
      <c r="Q70" s="1002"/>
      <c r="R70" s="1002"/>
      <c r="S70" s="1002"/>
      <c r="T70" s="1002"/>
      <c r="U70" s="1002"/>
      <c r="V70" s="1002"/>
      <c r="W70" s="1003" t="s">
        <v>508</v>
      </c>
      <c r="X70" s="1004"/>
      <c r="Y70" s="1004"/>
      <c r="Z70" s="1004"/>
      <c r="AA70" s="1004"/>
      <c r="AB70" s="1004"/>
      <c r="AC70" s="1005"/>
      <c r="AD70" s="1003" t="s">
        <v>509</v>
      </c>
      <c r="AE70" s="1004"/>
      <c r="AF70" s="1004"/>
      <c r="AG70" s="1004"/>
      <c r="AH70" s="1004"/>
      <c r="AI70" s="1004"/>
      <c r="AJ70" s="1005"/>
    </row>
    <row r="71" spans="1:36" s="404" customFormat="1" ht="13.5" customHeight="1" x14ac:dyDescent="0.15">
      <c r="I71" s="980"/>
      <c r="J71" s="980"/>
      <c r="K71" s="980"/>
      <c r="L71" s="980"/>
      <c r="M71" s="980"/>
      <c r="N71" s="980"/>
      <c r="O71" s="980"/>
      <c r="P71" s="980"/>
      <c r="Q71" s="980"/>
      <c r="R71" s="980"/>
      <c r="S71" s="980"/>
      <c r="T71" s="980"/>
      <c r="U71" s="980"/>
      <c r="V71" s="980"/>
      <c r="W71" s="981"/>
      <c r="X71" s="982"/>
      <c r="Y71" s="982"/>
      <c r="Z71" s="982"/>
      <c r="AA71" s="982"/>
      <c r="AB71" s="982"/>
      <c r="AC71" s="983"/>
      <c r="AD71" s="981"/>
      <c r="AE71" s="982"/>
      <c r="AF71" s="982"/>
      <c r="AG71" s="982"/>
      <c r="AH71" s="982"/>
      <c r="AI71" s="982"/>
      <c r="AJ71" s="983"/>
    </row>
    <row r="72" spans="1:36" s="404" customFormat="1" ht="13.5" customHeight="1" x14ac:dyDescent="0.15">
      <c r="I72" s="980"/>
      <c r="J72" s="980"/>
      <c r="K72" s="980"/>
      <c r="L72" s="980"/>
      <c r="M72" s="980"/>
      <c r="N72" s="980"/>
      <c r="O72" s="980"/>
      <c r="P72" s="980"/>
      <c r="Q72" s="980"/>
      <c r="R72" s="980"/>
      <c r="S72" s="980"/>
      <c r="T72" s="980"/>
      <c r="U72" s="980"/>
      <c r="V72" s="980"/>
      <c r="W72" s="984"/>
      <c r="X72" s="985"/>
      <c r="Y72" s="985"/>
      <c r="Z72" s="985"/>
      <c r="AA72" s="985"/>
      <c r="AB72" s="985"/>
      <c r="AC72" s="986"/>
      <c r="AD72" s="984"/>
      <c r="AE72" s="985"/>
      <c r="AF72" s="985"/>
      <c r="AG72" s="985"/>
      <c r="AH72" s="985"/>
      <c r="AI72" s="985"/>
      <c r="AJ72" s="986"/>
    </row>
    <row r="73" spans="1:36" s="404" customFormat="1" ht="13.5" customHeight="1" x14ac:dyDescent="0.15">
      <c r="I73" s="980"/>
      <c r="J73" s="980"/>
      <c r="K73" s="980"/>
      <c r="L73" s="980"/>
      <c r="M73" s="980"/>
      <c r="N73" s="980"/>
      <c r="O73" s="980"/>
      <c r="P73" s="980"/>
      <c r="Q73" s="980"/>
      <c r="R73" s="980"/>
      <c r="S73" s="980"/>
      <c r="T73" s="980"/>
      <c r="U73" s="980"/>
      <c r="V73" s="980"/>
      <c r="W73" s="987"/>
      <c r="X73" s="988"/>
      <c r="Y73" s="988"/>
      <c r="Z73" s="988"/>
      <c r="AA73" s="988"/>
      <c r="AB73" s="988"/>
      <c r="AC73" s="989"/>
      <c r="AD73" s="987"/>
      <c r="AE73" s="988"/>
      <c r="AF73" s="988"/>
      <c r="AG73" s="988"/>
      <c r="AH73" s="988"/>
      <c r="AI73" s="988"/>
      <c r="AJ73" s="989"/>
    </row>
  </sheetData>
  <mergeCells count="273">
    <mergeCell ref="I71:O73"/>
    <mergeCell ref="P71:V73"/>
    <mergeCell ref="W71:AC73"/>
    <mergeCell ref="AD71:AJ73"/>
    <mergeCell ref="A61:D61"/>
    <mergeCell ref="F61:J61"/>
    <mergeCell ref="L61:R61"/>
    <mergeCell ref="T61:AH61"/>
    <mergeCell ref="A62:AJ68"/>
    <mergeCell ref="I70:O70"/>
    <mergeCell ref="P70:V70"/>
    <mergeCell ref="W70:AC70"/>
    <mergeCell ref="AD70:AJ70"/>
    <mergeCell ref="D57:F57"/>
    <mergeCell ref="H57:I57"/>
    <mergeCell ref="L57:N57"/>
    <mergeCell ref="Q57:R57"/>
    <mergeCell ref="U57:V57"/>
    <mergeCell ref="Y57:AA57"/>
    <mergeCell ref="AD57:AE57"/>
    <mergeCell ref="A58:AJ58"/>
    <mergeCell ref="A59:AJ59"/>
    <mergeCell ref="D54:E54"/>
    <mergeCell ref="F54:R54"/>
    <mergeCell ref="V54:W54"/>
    <mergeCell ref="X54:AJ54"/>
    <mergeCell ref="D55:E55"/>
    <mergeCell ref="F55:R55"/>
    <mergeCell ref="V55:W55"/>
    <mergeCell ref="X55:AJ55"/>
    <mergeCell ref="D56:E56"/>
    <mergeCell ref="F56:R56"/>
    <mergeCell ref="V56:W56"/>
    <mergeCell ref="X56:AJ56"/>
    <mergeCell ref="D51:E51"/>
    <mergeCell ref="F51:R51"/>
    <mergeCell ref="V51:W51"/>
    <mergeCell ref="X51:AJ51"/>
    <mergeCell ref="D52:E52"/>
    <mergeCell ref="F52:R52"/>
    <mergeCell ref="V52:W52"/>
    <mergeCell ref="X52:AJ52"/>
    <mergeCell ref="D53:E53"/>
    <mergeCell ref="F53:R53"/>
    <mergeCell ref="V53:W53"/>
    <mergeCell ref="X53:AJ53"/>
    <mergeCell ref="X49:Y49"/>
    <mergeCell ref="Z49:AA49"/>
    <mergeCell ref="AB49:AC49"/>
    <mergeCell ref="A50:C50"/>
    <mergeCell ref="D50:E50"/>
    <mergeCell ref="F50:R50"/>
    <mergeCell ref="S50:U50"/>
    <mergeCell ref="V50:W50"/>
    <mergeCell ref="X50:AJ50"/>
    <mergeCell ref="A45:G49"/>
    <mergeCell ref="H49:I49"/>
    <mergeCell ref="J49:K49"/>
    <mergeCell ref="L49:M49"/>
    <mergeCell ref="N49:O49"/>
    <mergeCell ref="P49:Q49"/>
    <mergeCell ref="T49:U49"/>
    <mergeCell ref="V49:W49"/>
    <mergeCell ref="Z47:AA47"/>
    <mergeCell ref="AB47:AC47"/>
    <mergeCell ref="H48:I48"/>
    <mergeCell ref="J48:K48"/>
    <mergeCell ref="L48:M48"/>
    <mergeCell ref="N48:O48"/>
    <mergeCell ref="P48:Q48"/>
    <mergeCell ref="T48:U48"/>
    <mergeCell ref="V48:W48"/>
    <mergeCell ref="X48:Y48"/>
    <mergeCell ref="Z48:AA48"/>
    <mergeCell ref="AB48:AC48"/>
    <mergeCell ref="H47:I47"/>
    <mergeCell ref="J47:K47"/>
    <mergeCell ref="L47:M47"/>
    <mergeCell ref="N47:O47"/>
    <mergeCell ref="P47:Q47"/>
    <mergeCell ref="T47:U47"/>
    <mergeCell ref="V47:W47"/>
    <mergeCell ref="X47:Y47"/>
    <mergeCell ref="Z45:AA45"/>
    <mergeCell ref="AB45:AC45"/>
    <mergeCell ref="H46:I46"/>
    <mergeCell ref="J46:K46"/>
    <mergeCell ref="L46:M46"/>
    <mergeCell ref="N46:O46"/>
    <mergeCell ref="P46:Q46"/>
    <mergeCell ref="T46:U46"/>
    <mergeCell ref="V46:W46"/>
    <mergeCell ref="X46:Y46"/>
    <mergeCell ref="Z46:AA46"/>
    <mergeCell ref="AB46:AC46"/>
    <mergeCell ref="H45:I45"/>
    <mergeCell ref="J45:K45"/>
    <mergeCell ref="L45:M45"/>
    <mergeCell ref="N45:O45"/>
    <mergeCell ref="P45:Q45"/>
    <mergeCell ref="T45:U45"/>
    <mergeCell ref="V45:W45"/>
    <mergeCell ref="X45:Y45"/>
    <mergeCell ref="E43:I43"/>
    <mergeCell ref="M43:Q43"/>
    <mergeCell ref="W43:AA43"/>
    <mergeCell ref="AE43:AI43"/>
    <mergeCell ref="A44:G44"/>
    <mergeCell ref="H44:I44"/>
    <mergeCell ref="J44:K44"/>
    <mergeCell ref="L44:M44"/>
    <mergeCell ref="N44:O44"/>
    <mergeCell ref="P44:Q44"/>
    <mergeCell ref="R44:S44"/>
    <mergeCell ref="T44:U44"/>
    <mergeCell ref="V44:W44"/>
    <mergeCell ref="X44:Y44"/>
    <mergeCell ref="Z44:AA44"/>
    <mergeCell ref="AB44:AC44"/>
    <mergeCell ref="AD44:AJ44"/>
    <mergeCell ref="E40:I40"/>
    <mergeCell ref="M40:Q40"/>
    <mergeCell ref="W40:AA40"/>
    <mergeCell ref="AE40:AI40"/>
    <mergeCell ref="E41:I41"/>
    <mergeCell ref="M41:Q41"/>
    <mergeCell ref="W41:AA41"/>
    <mergeCell ref="AE41:AI41"/>
    <mergeCell ref="E42:I42"/>
    <mergeCell ref="M42:Q42"/>
    <mergeCell ref="W42:AA42"/>
    <mergeCell ref="AE42:AI42"/>
    <mergeCell ref="E37:I37"/>
    <mergeCell ref="M37:Q37"/>
    <mergeCell ref="W37:AA37"/>
    <mergeCell ref="AE37:AI37"/>
    <mergeCell ref="E38:I38"/>
    <mergeCell ref="M38:Q38"/>
    <mergeCell ref="W38:AA38"/>
    <mergeCell ref="AE38:AI38"/>
    <mergeCell ref="E39:I39"/>
    <mergeCell ref="M39:Q39"/>
    <mergeCell ref="W39:AA39"/>
    <mergeCell ref="AE39:AI39"/>
    <mergeCell ref="C34:I35"/>
    <mergeCell ref="J34:J35"/>
    <mergeCell ref="K34:Q35"/>
    <mergeCell ref="R34:S34"/>
    <mergeCell ref="U34:AA35"/>
    <mergeCell ref="AB34:AB35"/>
    <mergeCell ref="AC34:AI35"/>
    <mergeCell ref="R35:S35"/>
    <mergeCell ref="E36:I36"/>
    <mergeCell ref="M36:Q36"/>
    <mergeCell ref="W36:AA36"/>
    <mergeCell ref="AE36:AI36"/>
    <mergeCell ref="L30:P30"/>
    <mergeCell ref="U30:Y30"/>
    <mergeCell ref="L31:P31"/>
    <mergeCell ref="U31:Y31"/>
    <mergeCell ref="L32:P32"/>
    <mergeCell ref="U32:Y32"/>
    <mergeCell ref="L33:P33"/>
    <mergeCell ref="R33:S33"/>
    <mergeCell ref="U33:Y33"/>
    <mergeCell ref="L25:P25"/>
    <mergeCell ref="U25:Y25"/>
    <mergeCell ref="L26:P26"/>
    <mergeCell ref="U26:Y26"/>
    <mergeCell ref="L27:P27"/>
    <mergeCell ref="U27:Y27"/>
    <mergeCell ref="L28:P28"/>
    <mergeCell ref="U28:Y28"/>
    <mergeCell ref="L29:P29"/>
    <mergeCell ref="U29:Y29"/>
    <mergeCell ref="L20:P20"/>
    <mergeCell ref="U20:Y20"/>
    <mergeCell ref="L21:P21"/>
    <mergeCell ref="U21:Y21"/>
    <mergeCell ref="L22:P22"/>
    <mergeCell ref="U22:Y22"/>
    <mergeCell ref="L23:P23"/>
    <mergeCell ref="U23:Y23"/>
    <mergeCell ref="Q24:T24"/>
    <mergeCell ref="AI15:AJ15"/>
    <mergeCell ref="L16:P16"/>
    <mergeCell ref="U16:Y16"/>
    <mergeCell ref="L17:P17"/>
    <mergeCell ref="U17:Y17"/>
    <mergeCell ref="L18:P18"/>
    <mergeCell ref="U18:Y18"/>
    <mergeCell ref="L19:P19"/>
    <mergeCell ref="U19:Y19"/>
    <mergeCell ref="A15:B15"/>
    <mergeCell ref="C15:D15"/>
    <mergeCell ref="E15:F15"/>
    <mergeCell ref="G15:H15"/>
    <mergeCell ref="I15:J15"/>
    <mergeCell ref="AA15:AB15"/>
    <mergeCell ref="AC15:AD15"/>
    <mergeCell ref="AE15:AF15"/>
    <mergeCell ref="AG15:AH15"/>
    <mergeCell ref="R11:S11"/>
    <mergeCell ref="V11:W11"/>
    <mergeCell ref="X11:Y11"/>
    <mergeCell ref="R12:S12"/>
    <mergeCell ref="C13:J13"/>
    <mergeCell ref="AA13:AH13"/>
    <mergeCell ref="AP13:AQ13"/>
    <mergeCell ref="A14:B14"/>
    <mergeCell ref="C14:D14"/>
    <mergeCell ref="E14:F14"/>
    <mergeCell ref="G14:H14"/>
    <mergeCell ref="I14:J14"/>
    <mergeCell ref="R14:S14"/>
    <mergeCell ref="AA14:AB14"/>
    <mergeCell ref="AC14:AD14"/>
    <mergeCell ref="AE14:AF14"/>
    <mergeCell ref="AG14:AH14"/>
    <mergeCell ref="AI14:AJ14"/>
    <mergeCell ref="AP14:AQ14"/>
    <mergeCell ref="AA6:AE6"/>
    <mergeCell ref="AF6:AJ6"/>
    <mergeCell ref="A7:B7"/>
    <mergeCell ref="L7:M7"/>
    <mergeCell ref="N7:O7"/>
    <mergeCell ref="S7:T7"/>
    <mergeCell ref="AA7:AE7"/>
    <mergeCell ref="A8:C8"/>
    <mergeCell ref="L8:O8"/>
    <mergeCell ref="P8:P12"/>
    <mergeCell ref="R8:S8"/>
    <mergeCell ref="U8:U12"/>
    <mergeCell ref="V8:X8"/>
    <mergeCell ref="AG8:AJ8"/>
    <mergeCell ref="B9:K9"/>
    <mergeCell ref="L9:O9"/>
    <mergeCell ref="R9:S9"/>
    <mergeCell ref="W9:AF9"/>
    <mergeCell ref="AG9:AJ9"/>
    <mergeCell ref="M10:O10"/>
    <mergeCell ref="R10:S10"/>
    <mergeCell ref="V10:X10"/>
    <mergeCell ref="L11:M11"/>
    <mergeCell ref="N11:O11"/>
    <mergeCell ref="A5:B5"/>
    <mergeCell ref="C5:I7"/>
    <mergeCell ref="L5:M5"/>
    <mergeCell ref="S5:T5"/>
    <mergeCell ref="A6:B6"/>
    <mergeCell ref="L6:M6"/>
    <mergeCell ref="N6:O6"/>
    <mergeCell ref="S6:T6"/>
    <mergeCell ref="V6:Z6"/>
    <mergeCell ref="A1:F1"/>
    <mergeCell ref="G1:J1"/>
    <mergeCell ref="K1:L1"/>
    <mergeCell ref="A2:B2"/>
    <mergeCell ref="C2:N4"/>
    <mergeCell ref="P2:Q2"/>
    <mergeCell ref="AC2:AD3"/>
    <mergeCell ref="AF2:AJ2"/>
    <mergeCell ref="A3:B3"/>
    <mergeCell ref="O3:P3"/>
    <mergeCell ref="Q3:R3"/>
    <mergeCell ref="S3:AA3"/>
    <mergeCell ref="AF3:AJ3"/>
    <mergeCell ref="A4:B4"/>
    <mergeCell ref="O4:P4"/>
    <mergeCell ref="Q4:R4"/>
    <mergeCell ref="S4:AA4"/>
    <mergeCell ref="AC4:AD4"/>
    <mergeCell ref="AF4:AJ4"/>
  </mergeCells>
  <phoneticPr fontId="77"/>
  <pageMargins left="0" right="0" top="0" bottom="0" header="0.19685039370078738" footer="0.35433070866141736"/>
  <pageSetup paperSize="9" scale="68" orientation="portrait"/>
  <rowBreaks count="1" manualBreakCount="1">
    <brk id="66" max="16383" man="1"/>
  </rowBreaks>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D00-000000000000}">
          <x14:formula1>
            <xm:f>項目!$G$1:$G$33</xm:f>
          </x14:formula1>
          <xm:sqref>AF2:AJ4 G69:AA71</xm:sqref>
        </x14:dataValidation>
        <x14:dataValidation type="list" allowBlank="1" showInputMessage="1" showErrorMessage="1" xr:uid="{00000000-0002-0000-0D00-000001000000}">
          <x14:formula1>
            <xm:f>項目!$H$1:$H$33</xm:f>
          </x14:formula1>
          <xm:sqref>V6:Z6 AA6:AE7 AF6:AJ6 AB69:AJ71</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0">
    <tabColor indexed="2"/>
  </sheetPr>
  <dimension ref="A1:S25"/>
  <sheetViews>
    <sheetView workbookViewId="0">
      <selection activeCell="I1" sqref="I1"/>
    </sheetView>
  </sheetViews>
  <sheetFormatPr defaultRowHeight="15.75" x14ac:dyDescent="0.15"/>
  <cols>
    <col min="1" max="1" width="28.375" style="56" bestFit="1" customWidth="1"/>
    <col min="2" max="2" width="9" style="56"/>
    <col min="3" max="3" width="15.125" style="57" bestFit="1" customWidth="1"/>
    <col min="4" max="4" width="9" style="58"/>
    <col min="5" max="5" width="37.125" style="58" bestFit="1" customWidth="1"/>
    <col min="6" max="6" width="9" style="58"/>
    <col min="7" max="7" width="12.375" style="58" bestFit="1" customWidth="1"/>
    <col min="8" max="8" width="13" style="58" bestFit="1" customWidth="1"/>
    <col min="9" max="19" width="9" style="58"/>
    <col min="20" max="20" width="9" style="58" customWidth="1"/>
    <col min="21" max="21" width="9" style="58"/>
    <col min="22" max="22" width="8.75" style="58"/>
    <col min="23" max="252" width="9" style="58"/>
    <col min="253" max="253" width="28.375" style="58" bestFit="1" customWidth="1"/>
    <col min="254" max="254" width="9" style="58"/>
    <col min="255" max="255" width="15.125" style="58" bestFit="1" customWidth="1"/>
    <col min="256" max="508" width="9" style="58"/>
    <col min="509" max="509" width="28.375" style="58" bestFit="1" customWidth="1"/>
    <col min="510" max="510" width="9" style="58"/>
    <col min="511" max="511" width="15.125" style="58" bestFit="1" customWidth="1"/>
    <col min="512" max="764" width="9" style="58"/>
    <col min="765" max="765" width="28.375" style="58" bestFit="1" customWidth="1"/>
    <col min="766" max="766" width="9" style="58"/>
    <col min="767" max="767" width="15.125" style="58" bestFit="1" customWidth="1"/>
    <col min="768" max="1020" width="9" style="58"/>
    <col min="1021" max="1021" width="28.375" style="58" bestFit="1" customWidth="1"/>
    <col min="1022" max="1022" width="9" style="58"/>
    <col min="1023" max="1023" width="15.125" style="58" bestFit="1" customWidth="1"/>
    <col min="1024" max="1276" width="9" style="58"/>
    <col min="1277" max="1277" width="28.375" style="58" bestFit="1" customWidth="1"/>
    <col min="1278" max="1278" width="9" style="58"/>
    <col min="1279" max="1279" width="15.125" style="58" bestFit="1" customWidth="1"/>
    <col min="1280" max="1532" width="9" style="58"/>
    <col min="1533" max="1533" width="28.375" style="58" bestFit="1" customWidth="1"/>
    <col min="1534" max="1534" width="9" style="58"/>
    <col min="1535" max="1535" width="15.125" style="58" bestFit="1" customWidth="1"/>
    <col min="1536" max="1788" width="9" style="58"/>
    <col min="1789" max="1789" width="28.375" style="58" bestFit="1" customWidth="1"/>
    <col min="1790" max="1790" width="9" style="58"/>
    <col min="1791" max="1791" width="15.125" style="58" bestFit="1" customWidth="1"/>
    <col min="1792" max="2044" width="9" style="58"/>
    <col min="2045" max="2045" width="28.375" style="58" bestFit="1" customWidth="1"/>
    <col min="2046" max="2046" width="9" style="58"/>
    <col min="2047" max="2047" width="15.125" style="58" bestFit="1" customWidth="1"/>
    <col min="2048" max="2300" width="9" style="58"/>
    <col min="2301" max="2301" width="28.375" style="58" bestFit="1" customWidth="1"/>
    <col min="2302" max="2302" width="9" style="58"/>
    <col min="2303" max="2303" width="15.125" style="58" bestFit="1" customWidth="1"/>
    <col min="2304" max="2556" width="9" style="58"/>
    <col min="2557" max="2557" width="28.375" style="58" bestFit="1" customWidth="1"/>
    <col min="2558" max="2558" width="9" style="58"/>
    <col min="2559" max="2559" width="15.125" style="58" bestFit="1" customWidth="1"/>
    <col min="2560" max="2812" width="9" style="58"/>
    <col min="2813" max="2813" width="28.375" style="58" bestFit="1" customWidth="1"/>
    <col min="2814" max="2814" width="9" style="58"/>
    <col min="2815" max="2815" width="15.125" style="58" bestFit="1" customWidth="1"/>
    <col min="2816" max="3068" width="9" style="58"/>
    <col min="3069" max="3069" width="28.375" style="58" bestFit="1" customWidth="1"/>
    <col min="3070" max="3070" width="9" style="58"/>
    <col min="3071" max="3071" width="15.125" style="58" bestFit="1" customWidth="1"/>
    <col min="3072" max="3324" width="9" style="58"/>
    <col min="3325" max="3325" width="28.375" style="58" bestFit="1" customWidth="1"/>
    <col min="3326" max="3326" width="9" style="58"/>
    <col min="3327" max="3327" width="15.125" style="58" bestFit="1" customWidth="1"/>
    <col min="3328" max="3580" width="9" style="58"/>
    <col min="3581" max="3581" width="28.375" style="58" bestFit="1" customWidth="1"/>
    <col min="3582" max="3582" width="9" style="58"/>
    <col min="3583" max="3583" width="15.125" style="58" bestFit="1" customWidth="1"/>
    <col min="3584" max="3836" width="9" style="58"/>
    <col min="3837" max="3837" width="28.375" style="58" bestFit="1" customWidth="1"/>
    <col min="3838" max="3838" width="9" style="58"/>
    <col min="3839" max="3839" width="15.125" style="58" bestFit="1" customWidth="1"/>
    <col min="3840" max="4092" width="9" style="58"/>
    <col min="4093" max="4093" width="28.375" style="58" bestFit="1" customWidth="1"/>
    <col min="4094" max="4094" width="9" style="58"/>
    <col min="4095" max="4095" width="15.125" style="58" bestFit="1" customWidth="1"/>
    <col min="4096" max="4348" width="9" style="58"/>
    <col min="4349" max="4349" width="28.375" style="58" bestFit="1" customWidth="1"/>
    <col min="4350" max="4350" width="9" style="58"/>
    <col min="4351" max="4351" width="15.125" style="58" bestFit="1" customWidth="1"/>
    <col min="4352" max="4604" width="9" style="58"/>
    <col min="4605" max="4605" width="28.375" style="58" bestFit="1" customWidth="1"/>
    <col min="4606" max="4606" width="9" style="58"/>
    <col min="4607" max="4607" width="15.125" style="58" bestFit="1" customWidth="1"/>
    <col min="4608" max="4860" width="9" style="58"/>
    <col min="4861" max="4861" width="28.375" style="58" bestFit="1" customWidth="1"/>
    <col min="4862" max="4862" width="9" style="58"/>
    <col min="4863" max="4863" width="15.125" style="58" bestFit="1" customWidth="1"/>
    <col min="4864" max="5116" width="9" style="58"/>
    <col min="5117" max="5117" width="28.375" style="58" bestFit="1" customWidth="1"/>
    <col min="5118" max="5118" width="9" style="58"/>
    <col min="5119" max="5119" width="15.125" style="58" bestFit="1" customWidth="1"/>
    <col min="5120" max="5372" width="9" style="58"/>
    <col min="5373" max="5373" width="28.375" style="58" bestFit="1" customWidth="1"/>
    <col min="5374" max="5374" width="9" style="58"/>
    <col min="5375" max="5375" width="15.125" style="58" bestFit="1" customWidth="1"/>
    <col min="5376" max="5628" width="9" style="58"/>
    <col min="5629" max="5629" width="28.375" style="58" bestFit="1" customWidth="1"/>
    <col min="5630" max="5630" width="9" style="58"/>
    <col min="5631" max="5631" width="15.125" style="58" bestFit="1" customWidth="1"/>
    <col min="5632" max="5884" width="9" style="58"/>
    <col min="5885" max="5885" width="28.375" style="58" bestFit="1" customWidth="1"/>
    <col min="5886" max="5886" width="9" style="58"/>
    <col min="5887" max="5887" width="15.125" style="58" bestFit="1" customWidth="1"/>
    <col min="5888" max="6140" width="9" style="58"/>
    <col min="6141" max="6141" width="28.375" style="58" bestFit="1" customWidth="1"/>
    <col min="6142" max="6142" width="9" style="58"/>
    <col min="6143" max="6143" width="15.125" style="58" bestFit="1" customWidth="1"/>
    <col min="6144" max="6396" width="9" style="58"/>
    <col min="6397" max="6397" width="28.375" style="58" bestFit="1" customWidth="1"/>
    <col min="6398" max="6398" width="9" style="58"/>
    <col min="6399" max="6399" width="15.125" style="58" bestFit="1" customWidth="1"/>
    <col min="6400" max="6652" width="9" style="58"/>
    <col min="6653" max="6653" width="28.375" style="58" bestFit="1" customWidth="1"/>
    <col min="6654" max="6654" width="9" style="58"/>
    <col min="6655" max="6655" width="15.125" style="58" bestFit="1" customWidth="1"/>
    <col min="6656" max="6908" width="9" style="58"/>
    <col min="6909" max="6909" width="28.375" style="58" bestFit="1" customWidth="1"/>
    <col min="6910" max="6910" width="9" style="58"/>
    <col min="6911" max="6911" width="15.125" style="58" bestFit="1" customWidth="1"/>
    <col min="6912" max="7164" width="9" style="58"/>
    <col min="7165" max="7165" width="28.375" style="58" bestFit="1" customWidth="1"/>
    <col min="7166" max="7166" width="9" style="58"/>
    <col min="7167" max="7167" width="15.125" style="58" bestFit="1" customWidth="1"/>
    <col min="7168" max="7420" width="9" style="58"/>
    <col min="7421" max="7421" width="28.375" style="58" bestFit="1" customWidth="1"/>
    <col min="7422" max="7422" width="9" style="58"/>
    <col min="7423" max="7423" width="15.125" style="58" bestFit="1" customWidth="1"/>
    <col min="7424" max="7676" width="9" style="58"/>
    <col min="7677" max="7677" width="28.375" style="58" bestFit="1" customWidth="1"/>
    <col min="7678" max="7678" width="9" style="58"/>
    <col min="7679" max="7679" width="15.125" style="58" bestFit="1" customWidth="1"/>
    <col min="7680" max="7932" width="9" style="58"/>
    <col min="7933" max="7933" width="28.375" style="58" bestFit="1" customWidth="1"/>
    <col min="7934" max="7934" width="9" style="58"/>
    <col min="7935" max="7935" width="15.125" style="58" bestFit="1" customWidth="1"/>
    <col min="7936" max="8188" width="9" style="58"/>
    <col min="8189" max="8189" width="28.375" style="58" bestFit="1" customWidth="1"/>
    <col min="8190" max="8190" width="9" style="58"/>
    <col min="8191" max="8191" width="15.125" style="58" bestFit="1" customWidth="1"/>
    <col min="8192" max="8444" width="9" style="58"/>
    <col min="8445" max="8445" width="28.375" style="58" bestFit="1" customWidth="1"/>
    <col min="8446" max="8446" width="9" style="58"/>
    <col min="8447" max="8447" width="15.125" style="58" bestFit="1" customWidth="1"/>
    <col min="8448" max="8700" width="9" style="58"/>
    <col min="8701" max="8701" width="28.375" style="58" bestFit="1" customWidth="1"/>
    <col min="8702" max="8702" width="9" style="58"/>
    <col min="8703" max="8703" width="15.125" style="58" bestFit="1" customWidth="1"/>
    <col min="8704" max="8956" width="9" style="58"/>
    <col min="8957" max="8957" width="28.375" style="58" bestFit="1" customWidth="1"/>
    <col min="8958" max="8958" width="9" style="58"/>
    <col min="8959" max="8959" width="15.125" style="58" bestFit="1" customWidth="1"/>
    <col min="8960" max="9212" width="9" style="58"/>
    <col min="9213" max="9213" width="28.375" style="58" bestFit="1" customWidth="1"/>
    <col min="9214" max="9214" width="9" style="58"/>
    <col min="9215" max="9215" width="15.125" style="58" bestFit="1" customWidth="1"/>
    <col min="9216" max="9468" width="9" style="58"/>
    <col min="9469" max="9469" width="28.375" style="58" bestFit="1" customWidth="1"/>
    <col min="9470" max="9470" width="9" style="58"/>
    <col min="9471" max="9471" width="15.125" style="58" bestFit="1" customWidth="1"/>
    <col min="9472" max="9724" width="9" style="58"/>
    <col min="9725" max="9725" width="28.375" style="58" bestFit="1" customWidth="1"/>
    <col min="9726" max="9726" width="9" style="58"/>
    <col min="9727" max="9727" width="15.125" style="58" bestFit="1" customWidth="1"/>
    <col min="9728" max="9980" width="9" style="58"/>
    <col min="9981" max="9981" width="28.375" style="58" bestFit="1" customWidth="1"/>
    <col min="9982" max="9982" width="9" style="58"/>
    <col min="9983" max="9983" width="15.125" style="58" bestFit="1" customWidth="1"/>
    <col min="9984" max="10236" width="9" style="58"/>
    <col min="10237" max="10237" width="28.375" style="58" bestFit="1" customWidth="1"/>
    <col min="10238" max="10238" width="9" style="58"/>
    <col min="10239" max="10239" width="15.125" style="58" bestFit="1" customWidth="1"/>
    <col min="10240" max="10492" width="9" style="58"/>
    <col min="10493" max="10493" width="28.375" style="58" bestFit="1" customWidth="1"/>
    <col min="10494" max="10494" width="9" style="58"/>
    <col min="10495" max="10495" width="15.125" style="58" bestFit="1" customWidth="1"/>
    <col min="10496" max="10748" width="9" style="58"/>
    <col min="10749" max="10749" width="28.375" style="58" bestFit="1" customWidth="1"/>
    <col min="10750" max="10750" width="9" style="58"/>
    <col min="10751" max="10751" width="15.125" style="58" bestFit="1" customWidth="1"/>
    <col min="10752" max="11004" width="9" style="58"/>
    <col min="11005" max="11005" width="28.375" style="58" bestFit="1" customWidth="1"/>
    <col min="11006" max="11006" width="9" style="58"/>
    <col min="11007" max="11007" width="15.125" style="58" bestFit="1" customWidth="1"/>
    <col min="11008" max="11260" width="9" style="58"/>
    <col min="11261" max="11261" width="28.375" style="58" bestFit="1" customWidth="1"/>
    <col min="11262" max="11262" width="9" style="58"/>
    <col min="11263" max="11263" width="15.125" style="58" bestFit="1" customWidth="1"/>
    <col min="11264" max="11516" width="9" style="58"/>
    <col min="11517" max="11517" width="28.375" style="58" bestFit="1" customWidth="1"/>
    <col min="11518" max="11518" width="9" style="58"/>
    <col min="11519" max="11519" width="15.125" style="58" bestFit="1" customWidth="1"/>
    <col min="11520" max="11772" width="9" style="58"/>
    <col min="11773" max="11773" width="28.375" style="58" bestFit="1" customWidth="1"/>
    <col min="11774" max="11774" width="9" style="58"/>
    <col min="11775" max="11775" width="15.125" style="58" bestFit="1" customWidth="1"/>
    <col min="11776" max="12028" width="9" style="58"/>
    <col min="12029" max="12029" width="28.375" style="58" bestFit="1" customWidth="1"/>
    <col min="12030" max="12030" width="9" style="58"/>
    <col min="12031" max="12031" width="15.125" style="58" bestFit="1" customWidth="1"/>
    <col min="12032" max="12284" width="9" style="58"/>
    <col min="12285" max="12285" width="28.375" style="58" bestFit="1" customWidth="1"/>
    <col min="12286" max="12286" width="9" style="58"/>
    <col min="12287" max="12287" width="15.125" style="58" bestFit="1" customWidth="1"/>
    <col min="12288" max="12540" width="9" style="58"/>
    <col min="12541" max="12541" width="28.375" style="58" bestFit="1" customWidth="1"/>
    <col min="12542" max="12542" width="9" style="58"/>
    <col min="12543" max="12543" width="15.125" style="58" bestFit="1" customWidth="1"/>
    <col min="12544" max="12796" width="9" style="58"/>
    <col min="12797" max="12797" width="28.375" style="58" bestFit="1" customWidth="1"/>
    <col min="12798" max="12798" width="9" style="58"/>
    <col min="12799" max="12799" width="15.125" style="58" bestFit="1" customWidth="1"/>
    <col min="12800" max="13052" width="9" style="58"/>
    <col min="13053" max="13053" width="28.375" style="58" bestFit="1" customWidth="1"/>
    <col min="13054" max="13054" width="9" style="58"/>
    <col min="13055" max="13055" width="15.125" style="58" bestFit="1" customWidth="1"/>
    <col min="13056" max="13308" width="9" style="58"/>
    <col min="13309" max="13309" width="28.375" style="58" bestFit="1" customWidth="1"/>
    <col min="13310" max="13310" width="9" style="58"/>
    <col min="13311" max="13311" width="15.125" style="58" bestFit="1" customWidth="1"/>
    <col min="13312" max="13564" width="9" style="58"/>
    <col min="13565" max="13565" width="28.375" style="58" bestFit="1" customWidth="1"/>
    <col min="13566" max="13566" width="9" style="58"/>
    <col min="13567" max="13567" width="15.125" style="58" bestFit="1" customWidth="1"/>
    <col min="13568" max="13820" width="9" style="58"/>
    <col min="13821" max="13821" width="28.375" style="58" bestFit="1" customWidth="1"/>
    <col min="13822" max="13822" width="9" style="58"/>
    <col min="13823" max="13823" width="15.125" style="58" bestFit="1" customWidth="1"/>
    <col min="13824" max="14076" width="9" style="58"/>
    <col min="14077" max="14077" width="28.375" style="58" bestFit="1" customWidth="1"/>
    <col min="14078" max="14078" width="9" style="58"/>
    <col min="14079" max="14079" width="15.125" style="58" bestFit="1" customWidth="1"/>
    <col min="14080" max="14332" width="9" style="58"/>
    <col min="14333" max="14333" width="28.375" style="58" bestFit="1" customWidth="1"/>
    <col min="14334" max="14334" width="9" style="58"/>
    <col min="14335" max="14335" width="15.125" style="58" bestFit="1" customWidth="1"/>
    <col min="14336" max="14588" width="9" style="58"/>
    <col min="14589" max="14589" width="28.375" style="58" bestFit="1" customWidth="1"/>
    <col min="14590" max="14590" width="9" style="58"/>
    <col min="14591" max="14591" width="15.125" style="58" bestFit="1" customWidth="1"/>
    <col min="14592" max="14844" width="9" style="58"/>
    <col min="14845" max="14845" width="28.375" style="58" bestFit="1" customWidth="1"/>
    <col min="14846" max="14846" width="9" style="58"/>
    <col min="14847" max="14847" width="15.125" style="58" bestFit="1" customWidth="1"/>
    <col min="14848" max="15100" width="9" style="58"/>
    <col min="15101" max="15101" width="28.375" style="58" bestFit="1" customWidth="1"/>
    <col min="15102" max="15102" width="9" style="58"/>
    <col min="15103" max="15103" width="15.125" style="58" bestFit="1" customWidth="1"/>
    <col min="15104" max="15356" width="9" style="58"/>
    <col min="15357" max="15357" width="28.375" style="58" bestFit="1" customWidth="1"/>
    <col min="15358" max="15358" width="9" style="58"/>
    <col min="15359" max="15359" width="15.125" style="58" bestFit="1" customWidth="1"/>
    <col min="15360" max="15612" width="9" style="58"/>
    <col min="15613" max="15613" width="28.375" style="58" bestFit="1" customWidth="1"/>
    <col min="15614" max="15614" width="9" style="58"/>
    <col min="15615" max="15615" width="15.125" style="58" bestFit="1" customWidth="1"/>
    <col min="15616" max="15868" width="9" style="58"/>
    <col min="15869" max="15869" width="28.375" style="58" bestFit="1" customWidth="1"/>
    <col min="15870" max="15870" width="9" style="58"/>
    <col min="15871" max="15871" width="15.125" style="58" bestFit="1" customWidth="1"/>
    <col min="15872" max="16124" width="9" style="58"/>
    <col min="16125" max="16125" width="28.375" style="58" bestFit="1" customWidth="1"/>
    <col min="16126" max="16126" width="9" style="58"/>
    <col min="16127" max="16127" width="15.125" style="58" bestFit="1" customWidth="1"/>
    <col min="16128" max="16380" width="9" style="58"/>
    <col min="16381" max="16384" width="9" style="58" customWidth="1"/>
  </cols>
  <sheetData>
    <row r="1" spans="1:19" x14ac:dyDescent="0.15">
      <c r="A1" s="428" t="s">
        <v>243</v>
      </c>
      <c r="B1" s="428"/>
      <c r="C1" s="428" t="s">
        <v>514</v>
      </c>
      <c r="E1" s="428" t="s">
        <v>515</v>
      </c>
      <c r="G1" s="428" t="s">
        <v>516</v>
      </c>
      <c r="H1" s="428" t="s">
        <v>517</v>
      </c>
    </row>
    <row r="2" spans="1:19" x14ac:dyDescent="0.15">
      <c r="A2" s="428" t="s">
        <v>518</v>
      </c>
      <c r="B2" s="428"/>
      <c r="C2" s="428" t="s">
        <v>519</v>
      </c>
      <c r="E2" s="58" t="s">
        <v>11858</v>
      </c>
      <c r="G2" s="58" t="s">
        <v>530</v>
      </c>
    </row>
    <row r="3" spans="1:19" x14ac:dyDescent="0.15">
      <c r="A3" s="428" t="s">
        <v>522</v>
      </c>
      <c r="B3" s="429"/>
      <c r="C3" s="428" t="s">
        <v>523</v>
      </c>
      <c r="E3" s="58" t="s">
        <v>11860</v>
      </c>
      <c r="G3" s="58" t="s">
        <v>510</v>
      </c>
    </row>
    <row r="4" spans="1:19" x14ac:dyDescent="0.15">
      <c r="A4" s="59" t="s">
        <v>527</v>
      </c>
      <c r="B4" s="428"/>
      <c r="C4" s="428" t="s">
        <v>528</v>
      </c>
      <c r="E4" s="58" t="s">
        <v>529</v>
      </c>
      <c r="G4" s="58" t="s">
        <v>580</v>
      </c>
    </row>
    <row r="5" spans="1:19" x14ac:dyDescent="0.15">
      <c r="A5" s="428"/>
      <c r="B5" s="428"/>
      <c r="C5" s="428" t="s">
        <v>533</v>
      </c>
      <c r="E5" s="58" t="s">
        <v>534</v>
      </c>
      <c r="G5" s="58" t="s">
        <v>524</v>
      </c>
    </row>
    <row r="6" spans="1:19" x14ac:dyDescent="0.15">
      <c r="A6" s="428"/>
      <c r="B6" s="428"/>
      <c r="C6" s="428" t="s">
        <v>537</v>
      </c>
      <c r="E6" s="58" t="s">
        <v>6829</v>
      </c>
      <c r="G6" s="58" t="s">
        <v>11847</v>
      </c>
      <c r="H6" s="5"/>
      <c r="I6" s="5"/>
    </row>
    <row r="7" spans="1:19" x14ac:dyDescent="0.15">
      <c r="A7" s="428"/>
      <c r="B7" s="428"/>
      <c r="C7" s="428" t="s">
        <v>540</v>
      </c>
      <c r="G7" s="58" t="s">
        <v>541</v>
      </c>
    </row>
    <row r="8" spans="1:19" x14ac:dyDescent="0.15">
      <c r="A8" s="428"/>
      <c r="B8" s="428"/>
      <c r="C8" s="428" t="s">
        <v>544</v>
      </c>
      <c r="G8" s="58" t="s">
        <v>11848</v>
      </c>
    </row>
    <row r="9" spans="1:19" x14ac:dyDescent="0.15">
      <c r="A9" s="428"/>
      <c r="B9" s="428"/>
      <c r="C9" s="428" t="s">
        <v>547</v>
      </c>
      <c r="G9" s="58" t="s">
        <v>11849</v>
      </c>
    </row>
    <row r="10" spans="1:19" x14ac:dyDescent="0.15">
      <c r="A10" s="428"/>
      <c r="B10" s="428"/>
      <c r="C10" s="428" t="s">
        <v>551</v>
      </c>
      <c r="G10" s="58" t="s">
        <v>552</v>
      </c>
    </row>
    <row r="11" spans="1:19" x14ac:dyDescent="0.15">
      <c r="A11" s="428"/>
      <c r="B11" s="428"/>
      <c r="C11" s="428" t="s">
        <v>555</v>
      </c>
      <c r="G11" s="58" t="s">
        <v>11850</v>
      </c>
    </row>
    <row r="12" spans="1:19" x14ac:dyDescent="0.15">
      <c r="A12" s="428"/>
      <c r="B12" s="428"/>
      <c r="C12" s="428" t="s">
        <v>559</v>
      </c>
      <c r="G12" s="58" t="s">
        <v>560</v>
      </c>
    </row>
    <row r="13" spans="1:19" x14ac:dyDescent="0.15">
      <c r="A13" s="428"/>
      <c r="B13" s="428"/>
      <c r="C13" s="428" t="s">
        <v>563</v>
      </c>
      <c r="G13" s="58" t="s">
        <v>564</v>
      </c>
    </row>
    <row r="14" spans="1:19" x14ac:dyDescent="0.15">
      <c r="A14" s="428"/>
      <c r="B14" s="428"/>
      <c r="C14" s="428" t="s">
        <v>567</v>
      </c>
      <c r="G14" s="58" t="s">
        <v>568</v>
      </c>
    </row>
    <row r="15" spans="1:19" x14ac:dyDescent="0.15">
      <c r="A15" s="428"/>
      <c r="B15" s="428"/>
      <c r="C15" s="428" t="s">
        <v>570</v>
      </c>
      <c r="G15" s="58" t="s">
        <v>571</v>
      </c>
      <c r="P15" s="5"/>
      <c r="Q15" s="5"/>
      <c r="R15" s="5"/>
      <c r="S15" s="5"/>
    </row>
    <row r="16" spans="1:19" x14ac:dyDescent="0.15">
      <c r="A16" s="428"/>
      <c r="B16" s="428"/>
      <c r="C16" s="428" t="s">
        <v>574</v>
      </c>
      <c r="G16" s="58" t="s">
        <v>575</v>
      </c>
    </row>
    <row r="17" spans="1:7" x14ac:dyDescent="0.15">
      <c r="A17" s="428"/>
      <c r="B17" s="428"/>
      <c r="C17" s="428" t="s">
        <v>576</v>
      </c>
      <c r="G17" s="58" t="s">
        <v>577</v>
      </c>
    </row>
    <row r="18" spans="1:7" x14ac:dyDescent="0.15">
      <c r="A18" s="428"/>
      <c r="B18" s="428"/>
      <c r="G18" s="58" t="s">
        <v>11851</v>
      </c>
    </row>
    <row r="19" spans="1:7" x14ac:dyDescent="0.15">
      <c r="G19" s="58" t="s">
        <v>585</v>
      </c>
    </row>
    <row r="20" spans="1:7" x14ac:dyDescent="0.15">
      <c r="G20" s="58" t="s">
        <v>591</v>
      </c>
    </row>
    <row r="21" spans="1:7" x14ac:dyDescent="0.15">
      <c r="G21" s="58" t="s">
        <v>594</v>
      </c>
    </row>
    <row r="22" spans="1:7" x14ac:dyDescent="0.15">
      <c r="G22" s="58" t="s">
        <v>11852</v>
      </c>
    </row>
    <row r="23" spans="1:7" x14ac:dyDescent="0.15">
      <c r="G23" s="58" t="s">
        <v>599</v>
      </c>
    </row>
    <row r="24" spans="1:7" x14ac:dyDescent="0.15">
      <c r="G24" s="58" t="s">
        <v>11853</v>
      </c>
    </row>
    <row r="25" spans="1:7" x14ac:dyDescent="0.15">
      <c r="G25" s="58" t="s">
        <v>600</v>
      </c>
    </row>
  </sheetData>
  <sortState xmlns:xlrd2="http://schemas.microsoft.com/office/spreadsheetml/2017/richdata2" ref="O2:P27">
    <sortCondition ref="P2:P27"/>
  </sortState>
  <phoneticPr fontId="77"/>
  <conditionalFormatting sqref="A1:C65536">
    <cfRule type="cellIs" dxfId="8" priority="10" stopIfTrue="1" operator="equal">
      <formula>"退場"</formula>
    </cfRule>
    <cfRule type="cellIs" dxfId="7" priority="11" stopIfTrue="1" operator="equal">
      <formula>"警告"</formula>
    </cfRule>
    <cfRule type="cellIs" dxfId="6" priority="12" stopIfTrue="1" operator="equal">
      <formula>"警告(累積2枚目次節出場停止）"</formula>
    </cfRule>
  </conditionalFormatting>
  <conditionalFormatting sqref="E1">
    <cfRule type="cellIs" dxfId="5" priority="7" stopIfTrue="1" operator="equal">
      <formula>"退場"</formula>
    </cfRule>
    <cfRule type="cellIs" dxfId="4" priority="8" stopIfTrue="1" operator="equal">
      <formula>"警告"</formula>
    </cfRule>
    <cfRule type="cellIs" dxfId="3" priority="9" stopIfTrue="1" operator="equal">
      <formula>"警告(累積2枚目次節出場停止）"</formula>
    </cfRule>
  </conditionalFormatting>
  <conditionalFormatting sqref="G1:H1">
    <cfRule type="cellIs" dxfId="2" priority="1" stopIfTrue="1" operator="equal">
      <formula>"退場"</formula>
    </cfRule>
    <cfRule type="cellIs" dxfId="1" priority="2" stopIfTrue="1" operator="equal">
      <formula>"警告"</formula>
    </cfRule>
    <cfRule type="cellIs" dxfId="0" priority="3" stopIfTrue="1" operator="equal">
      <formula>"警告(累積2枚目次節出場停止）"</formula>
    </cfRule>
  </conditionalFormatting>
  <pageMargins left="0.7" right="0.7" top="0.75" bottom="0.75" header="0.3" footer="0.3"/>
  <pageSetup paperSize="9"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1">
    <tabColor indexed="2"/>
  </sheetPr>
  <dimension ref="A1:J1481"/>
  <sheetViews>
    <sheetView zoomScale="85" zoomScaleNormal="85" workbookViewId="0">
      <selection activeCell="B1" sqref="B1"/>
    </sheetView>
  </sheetViews>
  <sheetFormatPr defaultColWidth="9" defaultRowHeight="13.5" x14ac:dyDescent="0.15"/>
  <cols>
    <col min="1" max="1" width="40.375" style="406" bestFit="1" customWidth="1"/>
    <col min="2" max="2" width="54.625" style="218" bestFit="1" customWidth="1"/>
    <col min="3" max="10" width="9" style="218"/>
    <col min="11" max="16384" width="9" style="406"/>
  </cols>
  <sheetData>
    <row r="1" spans="1:10" x14ac:dyDescent="0.15">
      <c r="A1" s="407" t="str">
        <f t="shared" ref="A1:A64" si="0">CONCATENATE(B1,"_",C1)</f>
        <v>大会参加チーム名_背番号</v>
      </c>
      <c r="B1" s="218" t="s">
        <v>602</v>
      </c>
      <c r="C1" s="218" t="s">
        <v>241</v>
      </c>
      <c r="D1" s="218" t="s">
        <v>603</v>
      </c>
      <c r="E1" s="218" t="s">
        <v>604</v>
      </c>
      <c r="F1" s="218" t="s">
        <v>605</v>
      </c>
      <c r="G1" s="218" t="s">
        <v>606</v>
      </c>
      <c r="H1" s="218" t="s">
        <v>607</v>
      </c>
      <c r="I1" s="218" t="s">
        <v>608</v>
      </c>
      <c r="J1" s="218" t="s">
        <v>609</v>
      </c>
    </row>
    <row r="2" spans="1:10" x14ac:dyDescent="0.15">
      <c r="A2" s="406" t="str">
        <f t="shared" si="0"/>
        <v>ＭＦＣ三花少年サッカー教室_2</v>
      </c>
      <c r="B2" s="218" t="s">
        <v>610</v>
      </c>
      <c r="C2" s="218" t="str">
        <f>("2")</f>
        <v>2</v>
      </c>
      <c r="D2" s="218" t="s">
        <v>615</v>
      </c>
      <c r="E2" s="218" t="s">
        <v>6838</v>
      </c>
      <c r="F2" s="218" t="s">
        <v>1652</v>
      </c>
      <c r="G2" s="218">
        <v>5</v>
      </c>
      <c r="H2" s="218" t="s">
        <v>614</v>
      </c>
      <c r="I2" s="218" t="str">
        <f>("1405130222")</f>
        <v>1405130222</v>
      </c>
    </row>
    <row r="3" spans="1:10" x14ac:dyDescent="0.15">
      <c r="A3" s="406" t="str">
        <f t="shared" si="0"/>
        <v>ＭＦＣ三花少年サッカー教室_3</v>
      </c>
      <c r="B3" s="218" t="s">
        <v>610</v>
      </c>
      <c r="C3" s="218" t="str">
        <f>("3")</f>
        <v>3</v>
      </c>
      <c r="D3" s="218" t="s">
        <v>615</v>
      </c>
      <c r="E3" s="218" t="s">
        <v>6839</v>
      </c>
      <c r="F3" s="218" t="s">
        <v>6840</v>
      </c>
      <c r="G3" s="218">
        <v>6</v>
      </c>
      <c r="H3" s="218" t="s">
        <v>614</v>
      </c>
      <c r="I3" s="218" t="str">
        <f>("1311040172")</f>
        <v>1311040172</v>
      </c>
    </row>
    <row r="4" spans="1:10" x14ac:dyDescent="0.15">
      <c r="A4" s="406" t="str">
        <f t="shared" si="0"/>
        <v>ＭＦＣ三花少年サッカー教室_4</v>
      </c>
      <c r="B4" s="218" t="s">
        <v>610</v>
      </c>
      <c r="C4" s="218" t="str">
        <f>("4")</f>
        <v>4</v>
      </c>
      <c r="D4" s="218" t="s">
        <v>615</v>
      </c>
      <c r="E4" s="218" t="s">
        <v>6841</v>
      </c>
      <c r="F4" s="218" t="s">
        <v>6842</v>
      </c>
      <c r="G4" s="218">
        <v>6</v>
      </c>
      <c r="H4" s="218" t="s">
        <v>614</v>
      </c>
      <c r="I4" s="218" t="str">
        <f>("1305080309")</f>
        <v>1305080309</v>
      </c>
    </row>
    <row r="5" spans="1:10" x14ac:dyDescent="0.15">
      <c r="A5" s="406" t="str">
        <f t="shared" si="0"/>
        <v>ＭＦＣ三花少年サッカー教室_5</v>
      </c>
      <c r="B5" s="218" t="s">
        <v>610</v>
      </c>
      <c r="C5" s="218" t="str">
        <f>("5")</f>
        <v>5</v>
      </c>
      <c r="D5" s="218" t="s">
        <v>615</v>
      </c>
      <c r="E5" s="218" t="s">
        <v>6843</v>
      </c>
      <c r="F5" s="218" t="s">
        <v>6844</v>
      </c>
      <c r="G5" s="218">
        <v>6</v>
      </c>
      <c r="H5" s="218" t="s">
        <v>614</v>
      </c>
      <c r="I5" s="218" t="str">
        <f>("1312260098")</f>
        <v>1312260098</v>
      </c>
    </row>
    <row r="6" spans="1:10" x14ac:dyDescent="0.15">
      <c r="A6" s="406" t="str">
        <f t="shared" si="0"/>
        <v>ＭＦＣ三花少年サッカー教室_6</v>
      </c>
      <c r="B6" s="218" t="s">
        <v>610</v>
      </c>
      <c r="C6" s="218" t="str">
        <f>("6")</f>
        <v>6</v>
      </c>
      <c r="D6" s="218" t="s">
        <v>615</v>
      </c>
      <c r="E6" s="218" t="s">
        <v>6845</v>
      </c>
      <c r="F6" s="218" t="s">
        <v>6846</v>
      </c>
      <c r="G6" s="218">
        <v>4</v>
      </c>
      <c r="H6" s="218" t="s">
        <v>614</v>
      </c>
      <c r="I6" s="218" t="str">
        <f>("1603230037")</f>
        <v>1603230037</v>
      </c>
    </row>
    <row r="7" spans="1:10" x14ac:dyDescent="0.15">
      <c r="A7" s="406" t="str">
        <f t="shared" si="0"/>
        <v>ＭＦＣ三花少年サッカー教室_7</v>
      </c>
      <c r="B7" s="218" t="s">
        <v>610</v>
      </c>
      <c r="C7" s="218" t="str">
        <f>("7")</f>
        <v>7</v>
      </c>
      <c r="D7" s="218" t="s">
        <v>611</v>
      </c>
      <c r="E7" s="218" t="s">
        <v>6847</v>
      </c>
      <c r="F7" s="218" t="s">
        <v>6848</v>
      </c>
      <c r="G7" s="218">
        <v>4</v>
      </c>
      <c r="H7" s="218" t="s">
        <v>614</v>
      </c>
      <c r="I7" s="218" t="str">
        <f>("1601190114")</f>
        <v>1601190114</v>
      </c>
    </row>
    <row r="8" spans="1:10" x14ac:dyDescent="0.15">
      <c r="A8" s="406" t="str">
        <f t="shared" si="0"/>
        <v>ＭＦＣ三花少年サッカー教室_9</v>
      </c>
      <c r="B8" s="218" t="s">
        <v>610</v>
      </c>
      <c r="C8" s="218" t="str">
        <f>("9")</f>
        <v>9</v>
      </c>
      <c r="D8" s="218" t="s">
        <v>615</v>
      </c>
      <c r="E8" s="218" t="s">
        <v>621</v>
      </c>
      <c r="F8" s="218" t="s">
        <v>622</v>
      </c>
      <c r="G8" s="218">
        <v>5</v>
      </c>
      <c r="H8" s="218" t="s">
        <v>614</v>
      </c>
      <c r="I8" s="218" t="str">
        <f>("1404030033")</f>
        <v>1404030033</v>
      </c>
    </row>
    <row r="9" spans="1:10" x14ac:dyDescent="0.15">
      <c r="A9" s="406" t="str">
        <f t="shared" si="0"/>
        <v>ＭＦＣ三花少年サッカー教室_10</v>
      </c>
      <c r="B9" s="218" t="s">
        <v>610</v>
      </c>
      <c r="C9" s="218" t="str">
        <f>("10")</f>
        <v>10</v>
      </c>
      <c r="D9" s="218" t="s">
        <v>615</v>
      </c>
      <c r="E9" s="218" t="s">
        <v>619</v>
      </c>
      <c r="F9" s="218" t="s">
        <v>620</v>
      </c>
      <c r="G9" s="218">
        <v>6</v>
      </c>
      <c r="H9" s="218" t="s">
        <v>614</v>
      </c>
      <c r="I9" s="218" t="str">
        <f>("1310070019")</f>
        <v>1310070019</v>
      </c>
      <c r="J9" s="218" t="s">
        <v>159</v>
      </c>
    </row>
    <row r="10" spans="1:10" x14ac:dyDescent="0.15">
      <c r="A10" s="406" t="str">
        <f t="shared" si="0"/>
        <v>ＭＦＣ三花少年サッカー教室_11</v>
      </c>
      <c r="B10" s="218" t="s">
        <v>610</v>
      </c>
      <c r="C10" s="218" t="str">
        <f>("11")</f>
        <v>11</v>
      </c>
      <c r="D10" s="218" t="s">
        <v>623</v>
      </c>
      <c r="E10" s="218" t="s">
        <v>617</v>
      </c>
      <c r="F10" s="218" t="s">
        <v>618</v>
      </c>
      <c r="G10" s="218">
        <v>6</v>
      </c>
      <c r="H10" s="218" t="s">
        <v>614</v>
      </c>
      <c r="I10" s="218" t="str">
        <f>("1306220115")</f>
        <v>1306220115</v>
      </c>
    </row>
    <row r="11" spans="1:10" x14ac:dyDescent="0.15">
      <c r="A11" s="406" t="str">
        <f t="shared" si="0"/>
        <v>ＭＦＣ三花少年サッカー教室_12</v>
      </c>
      <c r="B11" s="218" t="s">
        <v>610</v>
      </c>
      <c r="C11" s="218" t="str">
        <f>("12")</f>
        <v>12</v>
      </c>
      <c r="D11" s="218" t="s">
        <v>615</v>
      </c>
      <c r="E11" s="218" t="s">
        <v>6849</v>
      </c>
      <c r="F11" s="218" t="s">
        <v>6850</v>
      </c>
      <c r="G11" s="218">
        <v>5</v>
      </c>
      <c r="H11" s="218" t="s">
        <v>614</v>
      </c>
      <c r="I11" s="218" t="str">
        <f>("1408180175")</f>
        <v>1408180175</v>
      </c>
    </row>
    <row r="12" spans="1:10" x14ac:dyDescent="0.15">
      <c r="A12" s="406" t="str">
        <f t="shared" si="0"/>
        <v>ＭＦＣ三花少年サッカー教室_13</v>
      </c>
      <c r="B12" s="218" t="s">
        <v>610</v>
      </c>
      <c r="C12" s="218" t="str">
        <f>("13")</f>
        <v>13</v>
      </c>
      <c r="D12" s="218" t="s">
        <v>615</v>
      </c>
      <c r="E12" s="218" t="s">
        <v>6851</v>
      </c>
      <c r="F12" s="218" t="s">
        <v>6852</v>
      </c>
      <c r="G12" s="218">
        <v>5</v>
      </c>
      <c r="H12" s="218" t="s">
        <v>614</v>
      </c>
      <c r="I12" s="218" t="str">
        <f>("1405270245")</f>
        <v>1405270245</v>
      </c>
    </row>
    <row r="13" spans="1:10" x14ac:dyDescent="0.15">
      <c r="A13" s="406" t="str">
        <f t="shared" si="0"/>
        <v>ＭＦＣ三花少年サッカー教室_14</v>
      </c>
      <c r="B13" s="218" t="s">
        <v>610</v>
      </c>
      <c r="C13" s="218" t="str">
        <f>("14")</f>
        <v>14</v>
      </c>
      <c r="D13" s="218" t="s">
        <v>611</v>
      </c>
      <c r="E13" s="218" t="s">
        <v>6853</v>
      </c>
      <c r="F13" s="218" t="s">
        <v>6854</v>
      </c>
      <c r="G13" s="218">
        <v>5</v>
      </c>
      <c r="H13" s="218" t="s">
        <v>614</v>
      </c>
      <c r="I13" s="218" t="str">
        <f>("1411090002")</f>
        <v>1411090002</v>
      </c>
    </row>
    <row r="14" spans="1:10" x14ac:dyDescent="0.15">
      <c r="A14" s="406" t="str">
        <f t="shared" si="0"/>
        <v>ＭＦＣ三花少年サッカー教室_15</v>
      </c>
      <c r="B14" s="218" t="s">
        <v>610</v>
      </c>
      <c r="C14" s="218" t="str">
        <f>("15")</f>
        <v>15</v>
      </c>
      <c r="D14" s="218" t="s">
        <v>624</v>
      </c>
      <c r="E14" s="218" t="s">
        <v>626</v>
      </c>
      <c r="F14" s="218" t="s">
        <v>627</v>
      </c>
      <c r="G14" s="218">
        <v>6</v>
      </c>
      <c r="H14" s="218" t="s">
        <v>614</v>
      </c>
      <c r="I14" s="218" t="str">
        <f>("1310040111")</f>
        <v>1310040111</v>
      </c>
    </row>
    <row r="15" spans="1:10" x14ac:dyDescent="0.15">
      <c r="A15" s="406" t="str">
        <f t="shared" si="0"/>
        <v>ＭＦＣ三花少年サッカー教室_16</v>
      </c>
      <c r="B15" s="218" t="s">
        <v>610</v>
      </c>
      <c r="C15" s="218" t="str">
        <f>("16")</f>
        <v>16</v>
      </c>
      <c r="D15" s="218" t="s">
        <v>611</v>
      </c>
      <c r="E15" s="218" t="s">
        <v>6855</v>
      </c>
      <c r="F15" s="218" t="s">
        <v>6856</v>
      </c>
      <c r="G15" s="218">
        <v>5</v>
      </c>
      <c r="H15" s="218" t="s">
        <v>614</v>
      </c>
      <c r="I15" s="218" t="str">
        <f>("1501190027")</f>
        <v>1501190027</v>
      </c>
    </row>
    <row r="16" spans="1:10" x14ac:dyDescent="0.15">
      <c r="A16" s="406" t="str">
        <f t="shared" si="0"/>
        <v>若宮サッカースポーツ少年団_1</v>
      </c>
      <c r="B16" s="218" t="s">
        <v>628</v>
      </c>
      <c r="C16" s="218" t="str">
        <f>("1")</f>
        <v>1</v>
      </c>
      <c r="D16" s="218" t="s">
        <v>624</v>
      </c>
      <c r="E16" s="218" t="s">
        <v>637</v>
      </c>
      <c r="F16" s="218" t="s">
        <v>638</v>
      </c>
      <c r="G16" s="218">
        <v>6</v>
      </c>
      <c r="H16" s="218" t="s">
        <v>614</v>
      </c>
      <c r="I16" s="218" t="str">
        <f>("1403110010")</f>
        <v>1403110010</v>
      </c>
    </row>
    <row r="17" spans="1:10" x14ac:dyDescent="0.15">
      <c r="A17" s="406" t="str">
        <f t="shared" si="0"/>
        <v>若宮サッカースポーツ少年団_2</v>
      </c>
      <c r="B17" s="218" t="s">
        <v>628</v>
      </c>
      <c r="C17" s="218" t="str">
        <f>("2")</f>
        <v>2</v>
      </c>
      <c r="D17" s="218" t="s">
        <v>611</v>
      </c>
      <c r="E17" s="218" t="s">
        <v>631</v>
      </c>
      <c r="F17" s="218" t="s">
        <v>632</v>
      </c>
      <c r="G17" s="218">
        <v>6</v>
      </c>
      <c r="H17" s="218" t="s">
        <v>614</v>
      </c>
      <c r="I17" s="218" t="str">
        <f>("1304070033")</f>
        <v>1304070033</v>
      </c>
    </row>
    <row r="18" spans="1:10" x14ac:dyDescent="0.15">
      <c r="A18" s="406" t="str">
        <f t="shared" si="0"/>
        <v>若宮サッカースポーツ少年団_3</v>
      </c>
      <c r="B18" s="218" t="s">
        <v>628</v>
      </c>
      <c r="C18" s="218" t="str">
        <f>("3")</f>
        <v>3</v>
      </c>
      <c r="D18" s="218" t="s">
        <v>611</v>
      </c>
      <c r="E18" s="218" t="s">
        <v>639</v>
      </c>
      <c r="F18" s="218" t="s">
        <v>640</v>
      </c>
      <c r="G18" s="218">
        <v>6</v>
      </c>
      <c r="H18" s="218" t="s">
        <v>614</v>
      </c>
      <c r="I18" s="218" t="str">
        <f>("1402280148")</f>
        <v>1402280148</v>
      </c>
    </row>
    <row r="19" spans="1:10" x14ac:dyDescent="0.15">
      <c r="A19" s="406" t="str">
        <f t="shared" si="0"/>
        <v>若宮サッカースポーツ少年団_4</v>
      </c>
      <c r="B19" s="218" t="s">
        <v>628</v>
      </c>
      <c r="C19" s="218" t="str">
        <f>("4")</f>
        <v>4</v>
      </c>
      <c r="D19" s="218" t="s">
        <v>615</v>
      </c>
      <c r="E19" s="218" t="s">
        <v>633</v>
      </c>
      <c r="F19" s="218" t="s">
        <v>634</v>
      </c>
      <c r="G19" s="218">
        <v>6</v>
      </c>
      <c r="H19" s="218" t="s">
        <v>614</v>
      </c>
      <c r="I19" s="218" t="str">
        <f>("1304280059")</f>
        <v>1304280059</v>
      </c>
    </row>
    <row r="20" spans="1:10" x14ac:dyDescent="0.15">
      <c r="A20" s="406" t="str">
        <f t="shared" si="0"/>
        <v>若宮サッカースポーツ少年団_5</v>
      </c>
      <c r="B20" s="218" t="s">
        <v>628</v>
      </c>
      <c r="C20" s="218" t="str">
        <f>("5")</f>
        <v>5</v>
      </c>
      <c r="D20" s="218" t="s">
        <v>615</v>
      </c>
      <c r="E20" s="218" t="s">
        <v>641</v>
      </c>
      <c r="F20" s="218" t="s">
        <v>642</v>
      </c>
      <c r="G20" s="218">
        <v>6</v>
      </c>
      <c r="H20" s="218" t="s">
        <v>616</v>
      </c>
      <c r="I20" s="218" t="str">
        <f>("1312030171")</f>
        <v>1312030171</v>
      </c>
    </row>
    <row r="21" spans="1:10" x14ac:dyDescent="0.15">
      <c r="A21" s="406" t="str">
        <f t="shared" si="0"/>
        <v>若宮サッカースポーツ少年団_6</v>
      </c>
      <c r="B21" s="218" t="s">
        <v>628</v>
      </c>
      <c r="C21" s="218" t="str">
        <f>("6")</f>
        <v>6</v>
      </c>
      <c r="D21" s="218" t="s">
        <v>611</v>
      </c>
      <c r="E21" s="218" t="s">
        <v>635</v>
      </c>
      <c r="F21" s="218" t="s">
        <v>636</v>
      </c>
      <c r="G21" s="218">
        <v>6</v>
      </c>
      <c r="H21" s="218" t="s">
        <v>614</v>
      </c>
      <c r="I21" s="218" t="str">
        <f>("1402280150")</f>
        <v>1402280150</v>
      </c>
    </row>
    <row r="22" spans="1:10" x14ac:dyDescent="0.15">
      <c r="A22" s="406" t="str">
        <f t="shared" si="0"/>
        <v>若宮サッカースポーツ少年団_7</v>
      </c>
      <c r="B22" s="218" t="s">
        <v>628</v>
      </c>
      <c r="C22" s="218" t="str">
        <f>("7")</f>
        <v>7</v>
      </c>
      <c r="D22" s="218" t="s">
        <v>611</v>
      </c>
      <c r="E22" s="218" t="s">
        <v>6857</v>
      </c>
      <c r="F22" s="218" t="s">
        <v>6858</v>
      </c>
      <c r="G22" s="218">
        <v>6</v>
      </c>
      <c r="H22" s="218" t="s">
        <v>614</v>
      </c>
      <c r="I22" s="218" t="str">
        <f>("1409120213")</f>
        <v>1409120213</v>
      </c>
    </row>
    <row r="23" spans="1:10" x14ac:dyDescent="0.15">
      <c r="A23" s="406" t="str">
        <f t="shared" si="0"/>
        <v>若宮サッカースポーツ少年団_8</v>
      </c>
      <c r="B23" s="218" t="s">
        <v>628</v>
      </c>
      <c r="C23" s="218" t="str">
        <f>("8")</f>
        <v>8</v>
      </c>
      <c r="D23" s="218" t="s">
        <v>615</v>
      </c>
      <c r="E23" s="218" t="s">
        <v>6859</v>
      </c>
      <c r="F23" s="218" t="s">
        <v>6860</v>
      </c>
      <c r="G23" s="218">
        <v>6</v>
      </c>
      <c r="H23" s="218" t="s">
        <v>614</v>
      </c>
      <c r="I23" s="218" t="str">
        <f>("1409120214")</f>
        <v>1409120214</v>
      </c>
    </row>
    <row r="24" spans="1:10" x14ac:dyDescent="0.15">
      <c r="A24" s="406" t="str">
        <f t="shared" si="0"/>
        <v>若宮サッカースポーツ少年団_9</v>
      </c>
      <c r="B24" s="218" t="s">
        <v>628</v>
      </c>
      <c r="C24" s="218" t="str">
        <f>("9")</f>
        <v>9</v>
      </c>
      <c r="D24" s="218" t="s">
        <v>615</v>
      </c>
      <c r="E24" s="218" t="s">
        <v>643</v>
      </c>
      <c r="F24" s="218" t="s">
        <v>644</v>
      </c>
      <c r="G24" s="218">
        <v>6</v>
      </c>
      <c r="H24" s="218" t="s">
        <v>614</v>
      </c>
      <c r="I24" s="218" t="str">
        <f>("1401140025")</f>
        <v>1401140025</v>
      </c>
    </row>
    <row r="25" spans="1:10" x14ac:dyDescent="0.15">
      <c r="A25" s="406" t="str">
        <f t="shared" si="0"/>
        <v>若宮サッカースポーツ少年団_10</v>
      </c>
      <c r="B25" s="218" t="s">
        <v>628</v>
      </c>
      <c r="C25" s="218" t="str">
        <f>("10")</f>
        <v>10</v>
      </c>
      <c r="D25" s="218" t="s">
        <v>615</v>
      </c>
      <c r="E25" s="218" t="s">
        <v>629</v>
      </c>
      <c r="F25" s="218" t="s">
        <v>630</v>
      </c>
      <c r="G25" s="218">
        <v>6</v>
      </c>
      <c r="H25" s="218" t="s">
        <v>614</v>
      </c>
      <c r="I25" s="218" t="str">
        <f>("1309120006")</f>
        <v>1309120006</v>
      </c>
      <c r="J25" s="218" t="s">
        <v>159</v>
      </c>
    </row>
    <row r="26" spans="1:10" x14ac:dyDescent="0.15">
      <c r="A26" s="406" t="str">
        <f t="shared" si="0"/>
        <v>若宮サッカースポーツ少年団_12</v>
      </c>
      <c r="B26" s="218" t="s">
        <v>628</v>
      </c>
      <c r="C26" s="218" t="str">
        <f>("12")</f>
        <v>12</v>
      </c>
      <c r="D26" s="218" t="s">
        <v>615</v>
      </c>
      <c r="E26" s="218" t="s">
        <v>6861</v>
      </c>
      <c r="F26" s="218" t="s">
        <v>6862</v>
      </c>
      <c r="G26" s="218">
        <v>4</v>
      </c>
      <c r="H26" s="218" t="s">
        <v>614</v>
      </c>
      <c r="I26" s="218" t="str">
        <f>("1712020001")</f>
        <v>1712020001</v>
      </c>
    </row>
    <row r="27" spans="1:10" x14ac:dyDescent="0.15">
      <c r="A27" s="406" t="str">
        <f t="shared" si="0"/>
        <v>若宮サッカースポーツ少年団_13</v>
      </c>
      <c r="B27" s="218" t="s">
        <v>628</v>
      </c>
      <c r="C27" s="218" t="str">
        <f>("13")</f>
        <v>13</v>
      </c>
      <c r="D27" s="218" t="s">
        <v>615</v>
      </c>
      <c r="E27" s="218" t="s">
        <v>6863</v>
      </c>
      <c r="F27" s="218" t="s">
        <v>6864</v>
      </c>
      <c r="G27" s="218">
        <v>4</v>
      </c>
      <c r="H27" s="218" t="s">
        <v>614</v>
      </c>
      <c r="I27" s="218" t="str">
        <f>("1708240013")</f>
        <v>1708240013</v>
      </c>
    </row>
    <row r="28" spans="1:10" x14ac:dyDescent="0.15">
      <c r="A28" s="406" t="str">
        <f t="shared" si="0"/>
        <v>若宮サッカースポーツ少年団_14</v>
      </c>
      <c r="B28" s="218" t="s">
        <v>628</v>
      </c>
      <c r="C28" s="218" t="str">
        <f>("14")</f>
        <v>14</v>
      </c>
      <c r="D28" s="218" t="s">
        <v>623</v>
      </c>
      <c r="E28" s="218" t="s">
        <v>6865</v>
      </c>
      <c r="F28" s="218" t="s">
        <v>6866</v>
      </c>
      <c r="G28" s="218">
        <v>4</v>
      </c>
      <c r="H28" s="218" t="s">
        <v>614</v>
      </c>
      <c r="I28" s="218" t="str">
        <f>("1505230039")</f>
        <v>1505230039</v>
      </c>
    </row>
    <row r="29" spans="1:10" x14ac:dyDescent="0.15">
      <c r="A29" s="406" t="str">
        <f t="shared" si="0"/>
        <v>若宮サッカースポーツ少年団_16</v>
      </c>
      <c r="B29" s="218" t="s">
        <v>628</v>
      </c>
      <c r="C29" s="218" t="str">
        <f>("16")</f>
        <v>16</v>
      </c>
      <c r="D29" s="218" t="s">
        <v>624</v>
      </c>
      <c r="E29" s="218" t="s">
        <v>6867</v>
      </c>
      <c r="F29" s="218" t="s">
        <v>6868</v>
      </c>
      <c r="G29" s="218">
        <v>5</v>
      </c>
      <c r="H29" s="218" t="s">
        <v>614</v>
      </c>
      <c r="I29" s="218" t="str">
        <f>("1404210161")</f>
        <v>1404210161</v>
      </c>
    </row>
    <row r="30" spans="1:10" x14ac:dyDescent="0.15">
      <c r="A30" s="406" t="str">
        <f t="shared" si="0"/>
        <v>ＦＣアリアーレ_1</v>
      </c>
      <c r="B30" s="218" t="s">
        <v>647</v>
      </c>
      <c r="C30" s="218" t="str">
        <f>("1")</f>
        <v>1</v>
      </c>
      <c r="D30" s="218" t="s">
        <v>624</v>
      </c>
      <c r="E30" s="218" t="s">
        <v>6869</v>
      </c>
      <c r="F30" s="218" t="s">
        <v>6870</v>
      </c>
      <c r="G30" s="218">
        <v>6</v>
      </c>
      <c r="H30" s="218" t="s">
        <v>614</v>
      </c>
      <c r="I30" s="218" t="str">
        <f>("1306230004")</f>
        <v>1306230004</v>
      </c>
    </row>
    <row r="31" spans="1:10" x14ac:dyDescent="0.15">
      <c r="A31" s="406" t="str">
        <f t="shared" si="0"/>
        <v>ＦＣアリアーレ_2</v>
      </c>
      <c r="B31" s="218" t="s">
        <v>647</v>
      </c>
      <c r="C31" s="218" t="str">
        <f>("2")</f>
        <v>2</v>
      </c>
      <c r="D31" s="218" t="s">
        <v>615</v>
      </c>
      <c r="E31" s="218" t="s">
        <v>6871</v>
      </c>
      <c r="F31" s="218" t="s">
        <v>6872</v>
      </c>
      <c r="G31" s="218">
        <v>5</v>
      </c>
      <c r="H31" s="218" t="s">
        <v>614</v>
      </c>
      <c r="I31" s="218" t="str">
        <f>("1410050085")</f>
        <v>1410050085</v>
      </c>
    </row>
    <row r="32" spans="1:10" x14ac:dyDescent="0.15">
      <c r="A32" s="406" t="str">
        <f t="shared" si="0"/>
        <v>ＦＣアリアーレ_3</v>
      </c>
      <c r="B32" s="218" t="s">
        <v>647</v>
      </c>
      <c r="C32" s="218" t="str">
        <f>("3")</f>
        <v>3</v>
      </c>
      <c r="D32" s="218" t="s">
        <v>615</v>
      </c>
      <c r="E32" s="218" t="s">
        <v>6873</v>
      </c>
      <c r="F32" s="218" t="s">
        <v>6874</v>
      </c>
      <c r="G32" s="218">
        <v>6</v>
      </c>
      <c r="H32" s="218" t="s">
        <v>614</v>
      </c>
      <c r="I32" s="218" t="str">
        <f>("1403290036")</f>
        <v>1403290036</v>
      </c>
    </row>
    <row r="33" spans="1:10" x14ac:dyDescent="0.15">
      <c r="A33" s="406" t="str">
        <f t="shared" si="0"/>
        <v>ＦＣアリアーレ_4</v>
      </c>
      <c r="B33" s="218" t="s">
        <v>647</v>
      </c>
      <c r="C33" s="218" t="str">
        <f>("4")</f>
        <v>4</v>
      </c>
      <c r="D33" s="218" t="s">
        <v>615</v>
      </c>
      <c r="E33" s="218" t="s">
        <v>6875</v>
      </c>
      <c r="F33" s="218" t="s">
        <v>6876</v>
      </c>
      <c r="G33" s="218">
        <v>5</v>
      </c>
      <c r="H33" s="218" t="s">
        <v>614</v>
      </c>
      <c r="I33" s="218" t="str">
        <f>("1502030114")</f>
        <v>1502030114</v>
      </c>
    </row>
    <row r="34" spans="1:10" x14ac:dyDescent="0.15">
      <c r="A34" s="406" t="str">
        <f t="shared" si="0"/>
        <v>ＦＣアリアーレ_5</v>
      </c>
      <c r="B34" s="218" t="s">
        <v>647</v>
      </c>
      <c r="C34" s="218" t="str">
        <f>("5")</f>
        <v>5</v>
      </c>
      <c r="D34" s="218" t="s">
        <v>615</v>
      </c>
      <c r="E34" s="218" t="s">
        <v>6877</v>
      </c>
      <c r="F34" s="218" t="s">
        <v>6878</v>
      </c>
      <c r="G34" s="218">
        <v>6</v>
      </c>
      <c r="H34" s="218" t="s">
        <v>614</v>
      </c>
      <c r="I34" s="218" t="str">
        <f>("1304080076")</f>
        <v>1304080076</v>
      </c>
    </row>
    <row r="35" spans="1:10" x14ac:dyDescent="0.15">
      <c r="A35" s="406" t="str">
        <f t="shared" si="0"/>
        <v>ＦＣアリアーレ_6</v>
      </c>
      <c r="B35" s="218" t="s">
        <v>647</v>
      </c>
      <c r="C35" s="218" t="str">
        <f>("6")</f>
        <v>6</v>
      </c>
      <c r="D35" s="218" t="s">
        <v>615</v>
      </c>
      <c r="E35" s="218" t="s">
        <v>6879</v>
      </c>
      <c r="F35" s="218" t="s">
        <v>6880</v>
      </c>
      <c r="G35" s="218">
        <v>5</v>
      </c>
      <c r="H35" s="218" t="s">
        <v>614</v>
      </c>
      <c r="I35" s="218" t="str">
        <f>("1501150133")</f>
        <v>1501150133</v>
      </c>
    </row>
    <row r="36" spans="1:10" x14ac:dyDescent="0.15">
      <c r="A36" s="406" t="str">
        <f t="shared" si="0"/>
        <v>ＦＣアリアーレ_7</v>
      </c>
      <c r="B36" s="218" t="s">
        <v>647</v>
      </c>
      <c r="C36" s="218" t="str">
        <f>("7")</f>
        <v>7</v>
      </c>
      <c r="D36" s="218" t="s">
        <v>615</v>
      </c>
      <c r="E36" s="218" t="s">
        <v>6881</v>
      </c>
      <c r="F36" s="218" t="s">
        <v>6882</v>
      </c>
      <c r="G36" s="218">
        <v>6</v>
      </c>
      <c r="H36" s="218" t="s">
        <v>616</v>
      </c>
      <c r="I36" s="218" t="str">
        <f>("1304090175")</f>
        <v>1304090175</v>
      </c>
    </row>
    <row r="37" spans="1:10" x14ac:dyDescent="0.15">
      <c r="A37" s="406" t="str">
        <f t="shared" si="0"/>
        <v>ＦＣアリアーレ_8</v>
      </c>
      <c r="B37" s="218" t="s">
        <v>647</v>
      </c>
      <c r="C37" s="218" t="str">
        <f>("8")</f>
        <v>8</v>
      </c>
      <c r="D37" s="218" t="s">
        <v>615</v>
      </c>
      <c r="E37" s="218" t="s">
        <v>6883</v>
      </c>
      <c r="F37" s="218" t="s">
        <v>6884</v>
      </c>
      <c r="G37" s="218">
        <v>6</v>
      </c>
      <c r="H37" s="218" t="s">
        <v>614</v>
      </c>
      <c r="I37" s="218" t="str">
        <f>("1311060130")</f>
        <v>1311060130</v>
      </c>
    </row>
    <row r="38" spans="1:10" x14ac:dyDescent="0.15">
      <c r="A38" s="406" t="str">
        <f t="shared" si="0"/>
        <v>ＦＣアリアーレ_9</v>
      </c>
      <c r="B38" s="218" t="s">
        <v>647</v>
      </c>
      <c r="C38" s="218" t="str">
        <f>("9")</f>
        <v>9</v>
      </c>
      <c r="D38" s="218" t="s">
        <v>615</v>
      </c>
      <c r="E38" s="218" t="s">
        <v>6885</v>
      </c>
      <c r="F38" s="218" t="s">
        <v>6885</v>
      </c>
      <c r="G38" s="218">
        <v>6</v>
      </c>
      <c r="H38" s="218" t="s">
        <v>614</v>
      </c>
      <c r="I38" s="218" t="str">
        <f>("1312160212")</f>
        <v>1312160212</v>
      </c>
    </row>
    <row r="39" spans="1:10" x14ac:dyDescent="0.15">
      <c r="A39" s="406" t="str">
        <f t="shared" si="0"/>
        <v>ＦＣアリアーレ_10</v>
      </c>
      <c r="B39" s="218" t="s">
        <v>647</v>
      </c>
      <c r="C39" s="218" t="str">
        <f>("10")</f>
        <v>10</v>
      </c>
      <c r="D39" s="218" t="s">
        <v>615</v>
      </c>
      <c r="E39" s="218" t="s">
        <v>6886</v>
      </c>
      <c r="F39" s="218" t="s">
        <v>6887</v>
      </c>
      <c r="G39" s="218">
        <v>6</v>
      </c>
      <c r="H39" s="218" t="s">
        <v>614</v>
      </c>
      <c r="I39" s="218" t="str">
        <f>("1308310010")</f>
        <v>1308310010</v>
      </c>
      <c r="J39" s="218" t="s">
        <v>159</v>
      </c>
    </row>
    <row r="40" spans="1:10" x14ac:dyDescent="0.15">
      <c r="A40" s="406" t="str">
        <f t="shared" si="0"/>
        <v>ＦＣアリアーレ_11</v>
      </c>
      <c r="B40" s="218" t="s">
        <v>647</v>
      </c>
      <c r="C40" s="218" t="str">
        <f>("11")</f>
        <v>11</v>
      </c>
      <c r="D40" s="218" t="s">
        <v>615</v>
      </c>
      <c r="E40" s="218" t="s">
        <v>6888</v>
      </c>
      <c r="F40" s="218" t="s">
        <v>6421</v>
      </c>
      <c r="G40" s="218">
        <v>6</v>
      </c>
      <c r="H40" s="218" t="s">
        <v>614</v>
      </c>
      <c r="I40" s="218" t="str">
        <f>("1401310108")</f>
        <v>1401310108</v>
      </c>
    </row>
    <row r="41" spans="1:10" x14ac:dyDescent="0.15">
      <c r="A41" s="406" t="str">
        <f t="shared" si="0"/>
        <v>ＦＣアリアーレ_12</v>
      </c>
      <c r="B41" s="218" t="s">
        <v>647</v>
      </c>
      <c r="C41" s="218" t="str">
        <f>("12")</f>
        <v>12</v>
      </c>
      <c r="D41" s="218" t="s">
        <v>615</v>
      </c>
      <c r="E41" s="218" t="s">
        <v>6889</v>
      </c>
      <c r="F41" s="218" t="s">
        <v>6890</v>
      </c>
      <c r="G41" s="218">
        <v>5</v>
      </c>
      <c r="H41" s="218" t="s">
        <v>614</v>
      </c>
      <c r="I41" s="218" t="str">
        <f>("1411280120")</f>
        <v>1411280120</v>
      </c>
    </row>
    <row r="42" spans="1:10" x14ac:dyDescent="0.15">
      <c r="A42" s="406" t="str">
        <f t="shared" si="0"/>
        <v>ＦＣアリアーレ_13</v>
      </c>
      <c r="B42" s="218" t="s">
        <v>647</v>
      </c>
      <c r="C42" s="218" t="str">
        <f>("13")</f>
        <v>13</v>
      </c>
      <c r="D42" s="218" t="s">
        <v>615</v>
      </c>
      <c r="E42" s="218" t="s">
        <v>6891</v>
      </c>
      <c r="F42" s="218" t="s">
        <v>6892</v>
      </c>
      <c r="G42" s="218">
        <v>5</v>
      </c>
      <c r="H42" s="218" t="s">
        <v>614</v>
      </c>
      <c r="I42" s="218" t="str">
        <f>("1405250081")</f>
        <v>1405250081</v>
      </c>
    </row>
    <row r="43" spans="1:10" x14ac:dyDescent="0.15">
      <c r="A43" s="406" t="str">
        <f t="shared" si="0"/>
        <v>ＦＣアリアーレ_14</v>
      </c>
      <c r="B43" s="218" t="s">
        <v>647</v>
      </c>
      <c r="C43" s="218" t="str">
        <f>("14")</f>
        <v>14</v>
      </c>
      <c r="D43" s="218" t="s">
        <v>615</v>
      </c>
      <c r="E43" s="218" t="s">
        <v>6893</v>
      </c>
      <c r="F43" s="218" t="s">
        <v>6894</v>
      </c>
      <c r="G43" s="218">
        <v>6</v>
      </c>
      <c r="H43" s="218" t="s">
        <v>614</v>
      </c>
      <c r="I43" s="218" t="str">
        <f>("1305160069")</f>
        <v>1305160069</v>
      </c>
    </row>
    <row r="44" spans="1:10" x14ac:dyDescent="0.15">
      <c r="A44" s="406" t="str">
        <f t="shared" si="0"/>
        <v>ＦＣアリアーレ_15</v>
      </c>
      <c r="B44" s="218" t="s">
        <v>647</v>
      </c>
      <c r="C44" s="218" t="str">
        <f>("15")</f>
        <v>15</v>
      </c>
      <c r="D44" s="218" t="s">
        <v>615</v>
      </c>
      <c r="E44" s="218" t="s">
        <v>6895</v>
      </c>
      <c r="F44" s="218" t="s">
        <v>6896</v>
      </c>
      <c r="G44" s="218">
        <v>5</v>
      </c>
      <c r="H44" s="218" t="s">
        <v>614</v>
      </c>
      <c r="I44" s="218" t="str">
        <f>("1503290041")</f>
        <v>1503290041</v>
      </c>
    </row>
    <row r="45" spans="1:10" x14ac:dyDescent="0.15">
      <c r="A45" s="406" t="str">
        <f t="shared" si="0"/>
        <v>ＦＣアリアーレ_16</v>
      </c>
      <c r="B45" s="218" t="s">
        <v>647</v>
      </c>
      <c r="C45" s="218" t="str">
        <f>("16")</f>
        <v>16</v>
      </c>
      <c r="D45" s="218" t="s">
        <v>624</v>
      </c>
      <c r="E45" s="218" t="s">
        <v>6897</v>
      </c>
      <c r="F45" s="218" t="s">
        <v>6898</v>
      </c>
      <c r="G45" s="218">
        <v>5</v>
      </c>
      <c r="H45" s="218" t="s">
        <v>614</v>
      </c>
      <c r="I45" s="218" t="str">
        <f>("1501150134")</f>
        <v>1501150134</v>
      </c>
    </row>
    <row r="46" spans="1:10" x14ac:dyDescent="0.15">
      <c r="A46" s="406" t="str">
        <f t="shared" si="0"/>
        <v>三芳少年サッカースクール_1</v>
      </c>
      <c r="B46" s="218" t="s">
        <v>658</v>
      </c>
      <c r="C46" s="218" t="str">
        <f>("1")</f>
        <v>1</v>
      </c>
      <c r="D46" s="218" t="s">
        <v>624</v>
      </c>
      <c r="E46" s="218" t="s">
        <v>6899</v>
      </c>
      <c r="F46" s="218" t="s">
        <v>6900</v>
      </c>
      <c r="G46" s="218">
        <v>6</v>
      </c>
      <c r="H46" s="218" t="s">
        <v>614</v>
      </c>
      <c r="I46" s="218" t="str">
        <f>("1309120236")</f>
        <v>1309120236</v>
      </c>
    </row>
    <row r="47" spans="1:10" x14ac:dyDescent="0.15">
      <c r="A47" s="406" t="str">
        <f t="shared" si="0"/>
        <v>三芳少年サッカースクール_2</v>
      </c>
      <c r="B47" s="218" t="s">
        <v>658</v>
      </c>
      <c r="C47" s="218" t="str">
        <f>("2")</f>
        <v>2</v>
      </c>
      <c r="D47" s="218" t="s">
        <v>611</v>
      </c>
      <c r="E47" s="218" t="s">
        <v>6901</v>
      </c>
      <c r="F47" s="218" t="s">
        <v>6902</v>
      </c>
      <c r="G47" s="218">
        <v>6</v>
      </c>
      <c r="H47" s="218" t="s">
        <v>616</v>
      </c>
      <c r="I47" s="218" t="str">
        <f>("1305220221")</f>
        <v>1305220221</v>
      </c>
    </row>
    <row r="48" spans="1:10" x14ac:dyDescent="0.15">
      <c r="A48" s="406" t="str">
        <f t="shared" si="0"/>
        <v>三芳少年サッカースクール_3</v>
      </c>
      <c r="B48" s="218" t="s">
        <v>658</v>
      </c>
      <c r="C48" s="218" t="str">
        <f>("3")</f>
        <v>3</v>
      </c>
      <c r="D48" s="218" t="s">
        <v>623</v>
      </c>
      <c r="E48" s="218" t="s">
        <v>6903</v>
      </c>
      <c r="F48" s="218" t="s">
        <v>6904</v>
      </c>
      <c r="G48" s="218">
        <v>4</v>
      </c>
      <c r="H48" s="218" t="s">
        <v>614</v>
      </c>
      <c r="I48" s="218" t="str">
        <f>("1506080161")</f>
        <v>1506080161</v>
      </c>
    </row>
    <row r="49" spans="1:10" x14ac:dyDescent="0.15">
      <c r="A49" s="406" t="str">
        <f t="shared" si="0"/>
        <v>三芳少年サッカースクール_4</v>
      </c>
      <c r="B49" s="218" t="s">
        <v>658</v>
      </c>
      <c r="C49" s="218" t="str">
        <f>("4")</f>
        <v>4</v>
      </c>
      <c r="D49" s="218" t="s">
        <v>615</v>
      </c>
      <c r="E49" s="218" t="s">
        <v>6905</v>
      </c>
      <c r="F49" s="218" t="s">
        <v>6906</v>
      </c>
      <c r="G49" s="218">
        <v>6</v>
      </c>
      <c r="H49" s="218" t="s">
        <v>614</v>
      </c>
      <c r="I49" s="218" t="str">
        <f>("1309100063")</f>
        <v>1309100063</v>
      </c>
      <c r="J49" s="218" t="s">
        <v>159</v>
      </c>
    </row>
    <row r="50" spans="1:10" x14ac:dyDescent="0.15">
      <c r="A50" s="406" t="str">
        <f t="shared" si="0"/>
        <v>三芳少年サッカースクール_5</v>
      </c>
      <c r="B50" s="218" t="s">
        <v>658</v>
      </c>
      <c r="C50" s="218" t="str">
        <f>("5")</f>
        <v>5</v>
      </c>
      <c r="D50" s="218" t="s">
        <v>615</v>
      </c>
      <c r="E50" s="218" t="s">
        <v>6907</v>
      </c>
      <c r="F50" s="218" t="s">
        <v>6908</v>
      </c>
      <c r="G50" s="218">
        <v>5</v>
      </c>
      <c r="H50" s="218" t="s">
        <v>614</v>
      </c>
      <c r="I50" s="218" t="str">
        <f>("1406210019")</f>
        <v>1406210019</v>
      </c>
    </row>
    <row r="51" spans="1:10" x14ac:dyDescent="0.15">
      <c r="A51" s="406" t="str">
        <f t="shared" si="0"/>
        <v>三芳少年サッカースクール_6</v>
      </c>
      <c r="B51" s="218" t="s">
        <v>658</v>
      </c>
      <c r="C51" s="218" t="str">
        <f>("6")</f>
        <v>6</v>
      </c>
      <c r="D51" s="218" t="s">
        <v>611</v>
      </c>
      <c r="E51" s="218" t="s">
        <v>6909</v>
      </c>
      <c r="F51" s="218" t="s">
        <v>6910</v>
      </c>
      <c r="G51" s="218">
        <v>5</v>
      </c>
      <c r="H51" s="218" t="s">
        <v>614</v>
      </c>
      <c r="I51" s="218" t="str">
        <f>("1502280115")</f>
        <v>1502280115</v>
      </c>
    </row>
    <row r="52" spans="1:10" x14ac:dyDescent="0.15">
      <c r="A52" s="406" t="str">
        <f t="shared" si="0"/>
        <v>三芳少年サッカースクール_7</v>
      </c>
      <c r="B52" s="218" t="s">
        <v>658</v>
      </c>
      <c r="C52" s="218" t="str">
        <f>("7")</f>
        <v>7</v>
      </c>
      <c r="D52" s="218" t="s">
        <v>615</v>
      </c>
      <c r="E52" s="218" t="s">
        <v>6911</v>
      </c>
      <c r="F52" s="218" t="s">
        <v>6912</v>
      </c>
      <c r="G52" s="218">
        <v>6</v>
      </c>
      <c r="H52" s="218" t="s">
        <v>616</v>
      </c>
      <c r="I52" s="218" t="str">
        <f>("1402140155")</f>
        <v>1402140155</v>
      </c>
    </row>
    <row r="53" spans="1:10" x14ac:dyDescent="0.15">
      <c r="A53" s="406" t="str">
        <f t="shared" si="0"/>
        <v>三芳少年サッカースクール_8</v>
      </c>
      <c r="B53" s="218" t="s">
        <v>658</v>
      </c>
      <c r="C53" s="218" t="str">
        <f>("8")</f>
        <v>8</v>
      </c>
      <c r="D53" s="218" t="s">
        <v>623</v>
      </c>
      <c r="E53" s="218" t="s">
        <v>6913</v>
      </c>
      <c r="F53" s="218" t="s">
        <v>6914</v>
      </c>
      <c r="G53" s="218">
        <v>5</v>
      </c>
      <c r="H53" s="218" t="s">
        <v>614</v>
      </c>
      <c r="I53" s="218" t="str">
        <f>("1407160267")</f>
        <v>1407160267</v>
      </c>
    </row>
    <row r="54" spans="1:10" x14ac:dyDescent="0.15">
      <c r="A54" s="406" t="str">
        <f t="shared" si="0"/>
        <v>三芳少年サッカースクール_9</v>
      </c>
      <c r="B54" s="218" t="s">
        <v>658</v>
      </c>
      <c r="C54" s="218" t="str">
        <f>("9")</f>
        <v>9</v>
      </c>
      <c r="D54" s="218" t="s">
        <v>615</v>
      </c>
      <c r="E54" s="218" t="s">
        <v>6915</v>
      </c>
      <c r="F54" s="218" t="s">
        <v>6916</v>
      </c>
      <c r="G54" s="218">
        <v>6</v>
      </c>
      <c r="H54" s="218" t="s">
        <v>614</v>
      </c>
      <c r="I54" s="218" t="str">
        <f>("1310150213")</f>
        <v>1310150213</v>
      </c>
    </row>
    <row r="55" spans="1:10" x14ac:dyDescent="0.15">
      <c r="A55" s="406" t="str">
        <f t="shared" si="0"/>
        <v>三芳少年サッカースクール_10</v>
      </c>
      <c r="B55" s="218" t="s">
        <v>658</v>
      </c>
      <c r="C55" s="218" t="str">
        <f>("10")</f>
        <v>10</v>
      </c>
      <c r="D55" s="218" t="s">
        <v>623</v>
      </c>
      <c r="E55" s="218" t="s">
        <v>6917</v>
      </c>
      <c r="F55" s="218" t="s">
        <v>6918</v>
      </c>
      <c r="G55" s="218">
        <v>5</v>
      </c>
      <c r="H55" s="218" t="s">
        <v>614</v>
      </c>
      <c r="I55" s="218" t="str">
        <f>("1502270188")</f>
        <v>1502270188</v>
      </c>
    </row>
    <row r="56" spans="1:10" x14ac:dyDescent="0.15">
      <c r="A56" s="406" t="str">
        <f t="shared" si="0"/>
        <v>三芳少年サッカースクール_11</v>
      </c>
      <c r="B56" s="218" t="s">
        <v>658</v>
      </c>
      <c r="C56" s="218" t="str">
        <f>("11")</f>
        <v>11</v>
      </c>
      <c r="D56" s="218" t="s">
        <v>611</v>
      </c>
      <c r="E56" s="218" t="s">
        <v>6919</v>
      </c>
      <c r="F56" s="218" t="s">
        <v>6920</v>
      </c>
      <c r="G56" s="218">
        <v>5</v>
      </c>
      <c r="H56" s="218" t="s">
        <v>614</v>
      </c>
      <c r="I56" s="218" t="str">
        <f>("1503200156")</f>
        <v>1503200156</v>
      </c>
    </row>
    <row r="57" spans="1:10" x14ac:dyDescent="0.15">
      <c r="A57" s="406" t="str">
        <f t="shared" si="0"/>
        <v>三芳少年サッカースクール_12</v>
      </c>
      <c r="B57" s="218" t="s">
        <v>658</v>
      </c>
      <c r="C57" s="218" t="str">
        <f>("12")</f>
        <v>12</v>
      </c>
      <c r="D57" s="218" t="s">
        <v>611</v>
      </c>
      <c r="E57" s="218" t="s">
        <v>6921</v>
      </c>
      <c r="F57" s="218" t="s">
        <v>6922</v>
      </c>
      <c r="G57" s="218">
        <v>5</v>
      </c>
      <c r="H57" s="218" t="s">
        <v>614</v>
      </c>
      <c r="I57" s="218" t="str">
        <f>("1501230187")</f>
        <v>1501230187</v>
      </c>
    </row>
    <row r="58" spans="1:10" x14ac:dyDescent="0.15">
      <c r="A58" s="406" t="str">
        <f t="shared" si="0"/>
        <v>三芳少年サッカースクール_13</v>
      </c>
      <c r="B58" s="218" t="s">
        <v>658</v>
      </c>
      <c r="C58" s="218" t="str">
        <f>("13")</f>
        <v>13</v>
      </c>
      <c r="D58" s="218" t="s">
        <v>615</v>
      </c>
      <c r="E58" s="218" t="s">
        <v>6923</v>
      </c>
      <c r="F58" s="218" t="s">
        <v>6924</v>
      </c>
      <c r="G58" s="218">
        <v>5</v>
      </c>
      <c r="H58" s="218" t="s">
        <v>614</v>
      </c>
      <c r="I58" s="218" t="str">
        <f>("1410060183")</f>
        <v>1410060183</v>
      </c>
    </row>
    <row r="59" spans="1:10" x14ac:dyDescent="0.15">
      <c r="A59" s="406" t="str">
        <f t="shared" si="0"/>
        <v>三芳少年サッカースクール_14</v>
      </c>
      <c r="B59" s="218" t="s">
        <v>658</v>
      </c>
      <c r="C59" s="218" t="str">
        <f>("14")</f>
        <v>14</v>
      </c>
      <c r="D59" s="218" t="s">
        <v>623</v>
      </c>
      <c r="E59" s="218" t="s">
        <v>6925</v>
      </c>
      <c r="F59" s="218" t="s">
        <v>1376</v>
      </c>
      <c r="G59" s="218">
        <v>5</v>
      </c>
      <c r="H59" s="218" t="s">
        <v>614</v>
      </c>
      <c r="I59" s="218" t="str">
        <f>("1406120107")</f>
        <v>1406120107</v>
      </c>
    </row>
    <row r="60" spans="1:10" x14ac:dyDescent="0.15">
      <c r="A60" s="406" t="str">
        <f t="shared" si="0"/>
        <v>三芳少年サッカースクール_15</v>
      </c>
      <c r="B60" s="218" t="s">
        <v>658</v>
      </c>
      <c r="C60" s="218" t="str">
        <f>("15")</f>
        <v>15</v>
      </c>
      <c r="D60" s="218" t="s">
        <v>623</v>
      </c>
      <c r="E60" s="218" t="s">
        <v>6926</v>
      </c>
      <c r="F60" s="218" t="s">
        <v>6927</v>
      </c>
      <c r="G60" s="218">
        <v>5</v>
      </c>
      <c r="H60" s="218" t="s">
        <v>616</v>
      </c>
      <c r="I60" s="218" t="str">
        <f>("1412190190")</f>
        <v>1412190190</v>
      </c>
    </row>
    <row r="61" spans="1:10" x14ac:dyDescent="0.15">
      <c r="A61" s="406" t="str">
        <f t="shared" si="0"/>
        <v>三芳少年サッカースクール_16</v>
      </c>
      <c r="B61" s="218" t="s">
        <v>658</v>
      </c>
      <c r="C61" s="218" t="str">
        <f>("16")</f>
        <v>16</v>
      </c>
      <c r="D61" s="218" t="s">
        <v>624</v>
      </c>
      <c r="E61" s="218" t="s">
        <v>6928</v>
      </c>
      <c r="F61" s="218" t="s">
        <v>6929</v>
      </c>
      <c r="G61" s="218">
        <v>6</v>
      </c>
      <c r="H61" s="218" t="s">
        <v>616</v>
      </c>
      <c r="I61" s="218" t="str">
        <f>("1310310209")</f>
        <v>1310310209</v>
      </c>
    </row>
    <row r="62" spans="1:10" x14ac:dyDescent="0.15">
      <c r="A62" s="406" t="str">
        <f t="shared" si="0"/>
        <v>玖珠サッカースポーツ少年団_1</v>
      </c>
      <c r="B62" s="218" t="s">
        <v>667</v>
      </c>
      <c r="C62" s="218" t="str">
        <f>("1")</f>
        <v>1</v>
      </c>
      <c r="D62" s="218" t="s">
        <v>624</v>
      </c>
      <c r="E62" s="218" t="s">
        <v>6930</v>
      </c>
      <c r="F62" s="218" t="s">
        <v>6931</v>
      </c>
      <c r="G62" s="218">
        <v>6</v>
      </c>
      <c r="H62" s="218" t="s">
        <v>614</v>
      </c>
      <c r="I62" s="218" t="str">
        <f>("1309240107")</f>
        <v>1309240107</v>
      </c>
    </row>
    <row r="63" spans="1:10" x14ac:dyDescent="0.15">
      <c r="A63" s="406" t="str">
        <f t="shared" si="0"/>
        <v>玖珠サッカースポーツ少年団_2</v>
      </c>
      <c r="B63" s="218" t="s">
        <v>667</v>
      </c>
      <c r="C63" s="218" t="str">
        <f>("2")</f>
        <v>2</v>
      </c>
      <c r="D63" s="218" t="s">
        <v>615</v>
      </c>
      <c r="E63" s="218" t="s">
        <v>6932</v>
      </c>
      <c r="F63" s="218" t="s">
        <v>6933</v>
      </c>
      <c r="G63" s="218">
        <v>6</v>
      </c>
      <c r="H63" s="218" t="s">
        <v>616</v>
      </c>
      <c r="I63" s="218" t="str">
        <f>("1305160083")</f>
        <v>1305160083</v>
      </c>
    </row>
    <row r="64" spans="1:10" x14ac:dyDescent="0.15">
      <c r="A64" s="406" t="str">
        <f t="shared" si="0"/>
        <v>玖珠サッカースポーツ少年団_3</v>
      </c>
      <c r="B64" s="218" t="s">
        <v>667</v>
      </c>
      <c r="C64" s="218" t="str">
        <f>("3")</f>
        <v>3</v>
      </c>
      <c r="D64" s="218" t="s">
        <v>611</v>
      </c>
      <c r="E64" s="218" t="s">
        <v>6934</v>
      </c>
      <c r="F64" s="218" t="s">
        <v>6935</v>
      </c>
      <c r="G64" s="218">
        <v>6</v>
      </c>
      <c r="H64" s="218" t="s">
        <v>614</v>
      </c>
      <c r="I64" s="218" t="str">
        <f>("1305140093")</f>
        <v>1305140093</v>
      </c>
    </row>
    <row r="65" spans="1:10" x14ac:dyDescent="0.15">
      <c r="A65" s="406" t="str">
        <f t="shared" ref="A65:A128" si="1">CONCATENATE(B65,"_",C65)</f>
        <v>玖珠サッカースポーツ少年団_4</v>
      </c>
      <c r="B65" s="218" t="s">
        <v>667</v>
      </c>
      <c r="C65" s="218" t="str">
        <f>("4")</f>
        <v>4</v>
      </c>
      <c r="D65" s="218" t="s">
        <v>615</v>
      </c>
      <c r="E65" s="218" t="s">
        <v>6936</v>
      </c>
      <c r="F65" s="218" t="s">
        <v>6937</v>
      </c>
      <c r="G65" s="218">
        <v>6</v>
      </c>
      <c r="H65" s="218" t="s">
        <v>614</v>
      </c>
      <c r="I65" s="218" t="str">
        <f>("1308010109")</f>
        <v>1308010109</v>
      </c>
    </row>
    <row r="66" spans="1:10" x14ac:dyDescent="0.15">
      <c r="A66" s="406" t="str">
        <f t="shared" si="1"/>
        <v>玖珠サッカースポーツ少年団_5</v>
      </c>
      <c r="B66" s="218" t="s">
        <v>667</v>
      </c>
      <c r="C66" s="218" t="str">
        <f>("5")</f>
        <v>5</v>
      </c>
      <c r="D66" s="218" t="s">
        <v>615</v>
      </c>
      <c r="E66" s="218" t="s">
        <v>6938</v>
      </c>
      <c r="F66" s="218" t="s">
        <v>6939</v>
      </c>
      <c r="G66" s="218">
        <v>6</v>
      </c>
      <c r="H66" s="218" t="s">
        <v>616</v>
      </c>
      <c r="I66" s="218" t="str">
        <f>("1309200106")</f>
        <v>1309200106</v>
      </c>
    </row>
    <row r="67" spans="1:10" x14ac:dyDescent="0.15">
      <c r="A67" s="406" t="str">
        <f t="shared" si="1"/>
        <v>玖珠サッカースポーツ少年団_6</v>
      </c>
      <c r="B67" s="218" t="s">
        <v>667</v>
      </c>
      <c r="C67" s="218" t="str">
        <f>("6")</f>
        <v>6</v>
      </c>
      <c r="D67" s="218" t="s">
        <v>615</v>
      </c>
      <c r="E67" s="218" t="s">
        <v>6940</v>
      </c>
      <c r="F67" s="218" t="s">
        <v>6941</v>
      </c>
      <c r="G67" s="218">
        <v>6</v>
      </c>
      <c r="H67" s="218" t="s">
        <v>614</v>
      </c>
      <c r="I67" s="218" t="str">
        <f>("1310140076")</f>
        <v>1310140076</v>
      </c>
    </row>
    <row r="68" spans="1:10" x14ac:dyDescent="0.15">
      <c r="A68" s="406" t="str">
        <f t="shared" si="1"/>
        <v>玖珠サッカースポーツ少年団_7</v>
      </c>
      <c r="B68" s="218" t="s">
        <v>667</v>
      </c>
      <c r="C68" s="218" t="str">
        <f>("7")</f>
        <v>7</v>
      </c>
      <c r="D68" s="218" t="s">
        <v>615</v>
      </c>
      <c r="E68" s="218" t="s">
        <v>6942</v>
      </c>
      <c r="F68" s="218" t="s">
        <v>6943</v>
      </c>
      <c r="G68" s="218">
        <v>6</v>
      </c>
      <c r="H68" s="218" t="s">
        <v>614</v>
      </c>
      <c r="I68" s="218" t="str">
        <f>("1403040063")</f>
        <v>1403040063</v>
      </c>
    </row>
    <row r="69" spans="1:10" x14ac:dyDescent="0.15">
      <c r="A69" s="406" t="str">
        <f t="shared" si="1"/>
        <v>玖珠サッカースポーツ少年団_8</v>
      </c>
      <c r="B69" s="218" t="s">
        <v>667</v>
      </c>
      <c r="C69" s="218" t="str">
        <f>("8")</f>
        <v>8</v>
      </c>
      <c r="D69" s="218" t="s">
        <v>623</v>
      </c>
      <c r="E69" s="218" t="s">
        <v>6944</v>
      </c>
      <c r="F69" s="218" t="s">
        <v>6945</v>
      </c>
      <c r="G69" s="218">
        <v>6</v>
      </c>
      <c r="H69" s="218" t="s">
        <v>616</v>
      </c>
      <c r="I69" s="218" t="str">
        <f>("1401250044")</f>
        <v>1401250044</v>
      </c>
    </row>
    <row r="70" spans="1:10" x14ac:dyDescent="0.15">
      <c r="A70" s="406" t="str">
        <f t="shared" si="1"/>
        <v>玖珠サッカースポーツ少年団_9</v>
      </c>
      <c r="B70" s="218" t="s">
        <v>667</v>
      </c>
      <c r="C70" s="218" t="str">
        <f>("9")</f>
        <v>9</v>
      </c>
      <c r="D70" s="218" t="s">
        <v>615</v>
      </c>
      <c r="E70" s="218" t="s">
        <v>6946</v>
      </c>
      <c r="F70" s="218" t="s">
        <v>6947</v>
      </c>
      <c r="G70" s="218">
        <v>6</v>
      </c>
      <c r="H70" s="218" t="s">
        <v>616</v>
      </c>
      <c r="I70" s="218" t="str">
        <f>("1403060055")</f>
        <v>1403060055</v>
      </c>
    </row>
    <row r="71" spans="1:10" x14ac:dyDescent="0.15">
      <c r="A71" s="406" t="str">
        <f t="shared" si="1"/>
        <v>玖珠サッカースポーツ少年団_10</v>
      </c>
      <c r="B71" s="218" t="s">
        <v>667</v>
      </c>
      <c r="C71" s="218" t="str">
        <f>("10")</f>
        <v>10</v>
      </c>
      <c r="D71" s="218" t="s">
        <v>615</v>
      </c>
      <c r="E71" s="218" t="s">
        <v>6948</v>
      </c>
      <c r="F71" s="218" t="s">
        <v>6949</v>
      </c>
      <c r="G71" s="218">
        <v>6</v>
      </c>
      <c r="H71" s="218" t="s">
        <v>614</v>
      </c>
      <c r="I71" s="218" t="str">
        <f>("1309100110")</f>
        <v>1309100110</v>
      </c>
      <c r="J71" s="218" t="s">
        <v>159</v>
      </c>
    </row>
    <row r="72" spans="1:10" x14ac:dyDescent="0.15">
      <c r="A72" s="406" t="str">
        <f t="shared" si="1"/>
        <v>玖珠サッカースポーツ少年団_11</v>
      </c>
      <c r="B72" s="218" t="s">
        <v>667</v>
      </c>
      <c r="C72" s="218" t="str">
        <f>("11")</f>
        <v>11</v>
      </c>
      <c r="D72" s="218" t="s">
        <v>611</v>
      </c>
      <c r="E72" s="218" t="s">
        <v>6950</v>
      </c>
      <c r="F72" s="218" t="s">
        <v>6951</v>
      </c>
      <c r="G72" s="218">
        <v>6</v>
      </c>
      <c r="H72" s="218" t="s">
        <v>614</v>
      </c>
      <c r="I72" s="218" t="str">
        <f>("1401050063")</f>
        <v>1401050063</v>
      </c>
    </row>
    <row r="73" spans="1:10" x14ac:dyDescent="0.15">
      <c r="A73" s="406" t="str">
        <f t="shared" si="1"/>
        <v>玖珠サッカースポーツ少年団_12</v>
      </c>
      <c r="B73" s="218" t="s">
        <v>667</v>
      </c>
      <c r="C73" s="218" t="str">
        <f>("12")</f>
        <v>12</v>
      </c>
      <c r="D73" s="218" t="s">
        <v>615</v>
      </c>
      <c r="E73" s="218" t="s">
        <v>6952</v>
      </c>
      <c r="F73" s="218" t="s">
        <v>5934</v>
      </c>
      <c r="G73" s="218">
        <v>6</v>
      </c>
      <c r="H73" s="218" t="s">
        <v>614</v>
      </c>
      <c r="I73" s="218" t="str">
        <f>("1402180021")</f>
        <v>1402180021</v>
      </c>
    </row>
    <row r="74" spans="1:10" x14ac:dyDescent="0.15">
      <c r="A74" s="406" t="str">
        <f t="shared" si="1"/>
        <v>玖珠サッカースポーツ少年団_13</v>
      </c>
      <c r="B74" s="218" t="s">
        <v>667</v>
      </c>
      <c r="C74" s="218" t="str">
        <f>("13")</f>
        <v>13</v>
      </c>
      <c r="D74" s="218" t="s">
        <v>623</v>
      </c>
      <c r="E74" s="218" t="s">
        <v>6953</v>
      </c>
      <c r="F74" s="218" t="s">
        <v>6954</v>
      </c>
      <c r="G74" s="218">
        <v>6</v>
      </c>
      <c r="H74" s="218" t="s">
        <v>614</v>
      </c>
      <c r="I74" s="218" t="str">
        <f>("1309140173")</f>
        <v>1309140173</v>
      </c>
    </row>
    <row r="75" spans="1:10" x14ac:dyDescent="0.15">
      <c r="A75" s="406" t="str">
        <f t="shared" si="1"/>
        <v>玖珠サッカースポーツ少年団_14</v>
      </c>
      <c r="B75" s="218" t="s">
        <v>667</v>
      </c>
      <c r="C75" s="218" t="str">
        <f>("14")</f>
        <v>14</v>
      </c>
      <c r="D75" s="218" t="s">
        <v>615</v>
      </c>
      <c r="E75" s="218" t="s">
        <v>6955</v>
      </c>
      <c r="F75" s="218" t="s">
        <v>6956</v>
      </c>
      <c r="G75" s="218">
        <v>6</v>
      </c>
      <c r="H75" s="218" t="s">
        <v>616</v>
      </c>
      <c r="I75" s="218" t="str">
        <f>("1306010145")</f>
        <v>1306010145</v>
      </c>
    </row>
    <row r="76" spans="1:10" x14ac:dyDescent="0.15">
      <c r="A76" s="406" t="str">
        <f t="shared" si="1"/>
        <v>玖珠サッカースポーツ少年団_15</v>
      </c>
      <c r="B76" s="218" t="s">
        <v>667</v>
      </c>
      <c r="C76" s="218" t="str">
        <f>("15")</f>
        <v>15</v>
      </c>
      <c r="D76" s="218" t="s">
        <v>615</v>
      </c>
      <c r="E76" s="218" t="s">
        <v>6957</v>
      </c>
      <c r="F76" s="218" t="s">
        <v>6958</v>
      </c>
      <c r="G76" s="218">
        <v>5</v>
      </c>
      <c r="H76" s="218" t="s">
        <v>614</v>
      </c>
      <c r="I76" s="218" t="str">
        <f>("1408020026")</f>
        <v>1408020026</v>
      </c>
    </row>
    <row r="77" spans="1:10" x14ac:dyDescent="0.15">
      <c r="A77" s="406" t="str">
        <f t="shared" si="1"/>
        <v>玖珠サッカースポーツ少年団_16</v>
      </c>
      <c r="B77" s="218" t="s">
        <v>667</v>
      </c>
      <c r="C77" s="218" t="str">
        <f>("16")</f>
        <v>16</v>
      </c>
      <c r="D77" s="218" t="s">
        <v>623</v>
      </c>
      <c r="E77" s="218" t="s">
        <v>6959</v>
      </c>
      <c r="F77" s="218" t="s">
        <v>6960</v>
      </c>
      <c r="G77" s="218">
        <v>5</v>
      </c>
      <c r="H77" s="218" t="s">
        <v>614</v>
      </c>
      <c r="I77" s="218" t="str">
        <f>("1501310022")</f>
        <v>1501310022</v>
      </c>
    </row>
    <row r="78" spans="1:10" x14ac:dyDescent="0.15">
      <c r="A78" s="406" t="str">
        <f t="shared" si="1"/>
        <v>ＦＣ．ＵＳＡ_1</v>
      </c>
      <c r="B78" s="218" t="s">
        <v>689</v>
      </c>
      <c r="C78" s="218" t="str">
        <f>("1")</f>
        <v>1</v>
      </c>
      <c r="D78" s="218" t="s">
        <v>624</v>
      </c>
      <c r="E78" s="218" t="s">
        <v>700</v>
      </c>
      <c r="F78" s="218" t="s">
        <v>701</v>
      </c>
      <c r="G78" s="218">
        <v>5</v>
      </c>
      <c r="H78" s="218" t="s">
        <v>614</v>
      </c>
      <c r="I78" s="218" t="str">
        <f>("1412090212")</f>
        <v>1412090212</v>
      </c>
    </row>
    <row r="79" spans="1:10" x14ac:dyDescent="0.15">
      <c r="A79" s="406" t="str">
        <f t="shared" si="1"/>
        <v>ＦＣ．ＵＳＡ_2</v>
      </c>
      <c r="B79" s="218" t="s">
        <v>689</v>
      </c>
      <c r="C79" s="218" t="str">
        <f>("2")</f>
        <v>2</v>
      </c>
      <c r="D79" s="218" t="s">
        <v>611</v>
      </c>
      <c r="E79" s="218" t="s">
        <v>6961</v>
      </c>
      <c r="F79" s="218" t="s">
        <v>6962</v>
      </c>
      <c r="G79" s="218">
        <v>5</v>
      </c>
      <c r="H79" s="218" t="s">
        <v>616</v>
      </c>
      <c r="I79" s="218" t="str">
        <f>("1412130085")</f>
        <v>1412130085</v>
      </c>
    </row>
    <row r="80" spans="1:10" x14ac:dyDescent="0.15">
      <c r="A80" s="406" t="str">
        <f t="shared" si="1"/>
        <v>ＦＣ．ＵＳＡ_3</v>
      </c>
      <c r="B80" s="218" t="s">
        <v>689</v>
      </c>
      <c r="C80" s="218" t="str">
        <f>("3")</f>
        <v>3</v>
      </c>
      <c r="D80" s="218" t="s">
        <v>611</v>
      </c>
      <c r="E80" s="218" t="s">
        <v>694</v>
      </c>
      <c r="F80" s="218" t="s">
        <v>695</v>
      </c>
      <c r="G80" s="218">
        <v>6</v>
      </c>
      <c r="H80" s="218" t="s">
        <v>614</v>
      </c>
      <c r="I80" s="218" t="str">
        <f>("1305310113")</f>
        <v>1305310113</v>
      </c>
    </row>
    <row r="81" spans="1:10" x14ac:dyDescent="0.15">
      <c r="A81" s="406" t="str">
        <f t="shared" si="1"/>
        <v>ＦＣ．ＵＳＡ_4</v>
      </c>
      <c r="B81" s="218" t="s">
        <v>689</v>
      </c>
      <c r="C81" s="218" t="str">
        <f>("4")</f>
        <v>4</v>
      </c>
      <c r="D81" s="218" t="s">
        <v>615</v>
      </c>
      <c r="E81" s="218" t="s">
        <v>690</v>
      </c>
      <c r="F81" s="218" t="s">
        <v>691</v>
      </c>
      <c r="G81" s="218">
        <v>6</v>
      </c>
      <c r="H81" s="218" t="s">
        <v>614</v>
      </c>
      <c r="I81" s="218" t="str">
        <f>("1304200025")</f>
        <v>1304200025</v>
      </c>
    </row>
    <row r="82" spans="1:10" x14ac:dyDescent="0.15">
      <c r="A82" s="406" t="str">
        <f t="shared" si="1"/>
        <v>ＦＣ．ＵＳＡ_5</v>
      </c>
      <c r="B82" s="218" t="s">
        <v>689</v>
      </c>
      <c r="C82" s="218" t="str">
        <f>("5")</f>
        <v>5</v>
      </c>
      <c r="D82" s="218" t="s">
        <v>615</v>
      </c>
      <c r="E82" s="218" t="s">
        <v>692</v>
      </c>
      <c r="F82" s="218" t="s">
        <v>693</v>
      </c>
      <c r="G82" s="218">
        <v>6</v>
      </c>
      <c r="H82" s="218" t="s">
        <v>614</v>
      </c>
      <c r="I82" s="218" t="str">
        <f>("1312240012")</f>
        <v>1312240012</v>
      </c>
      <c r="J82" s="218" t="s">
        <v>159</v>
      </c>
    </row>
    <row r="83" spans="1:10" x14ac:dyDescent="0.15">
      <c r="A83" s="406" t="str">
        <f t="shared" si="1"/>
        <v>ＦＣ．ＵＳＡ_6</v>
      </c>
      <c r="B83" s="218" t="s">
        <v>689</v>
      </c>
      <c r="C83" s="218" t="str">
        <f>("6")</f>
        <v>6</v>
      </c>
      <c r="D83" s="218" t="s">
        <v>615</v>
      </c>
      <c r="E83" s="218" t="s">
        <v>6963</v>
      </c>
      <c r="F83" s="218" t="s">
        <v>6964</v>
      </c>
      <c r="G83" s="218">
        <v>6</v>
      </c>
      <c r="H83" s="218" t="s">
        <v>616</v>
      </c>
      <c r="I83" s="218" t="str">
        <f>("1307120212")</f>
        <v>1307120212</v>
      </c>
    </row>
    <row r="84" spans="1:10" x14ac:dyDescent="0.15">
      <c r="A84" s="406" t="str">
        <f t="shared" si="1"/>
        <v>ＦＣ．ＵＳＡ_7</v>
      </c>
      <c r="B84" s="218" t="s">
        <v>689</v>
      </c>
      <c r="C84" s="218" t="str">
        <f>("7")</f>
        <v>7</v>
      </c>
      <c r="D84" s="218" t="s">
        <v>615</v>
      </c>
      <c r="E84" s="218" t="s">
        <v>6965</v>
      </c>
      <c r="F84" s="218" t="s">
        <v>6966</v>
      </c>
      <c r="G84" s="218">
        <v>6</v>
      </c>
      <c r="H84" s="218" t="s">
        <v>614</v>
      </c>
      <c r="I84" s="218" t="str">
        <f>("1402010114")</f>
        <v>1402010114</v>
      </c>
    </row>
    <row r="85" spans="1:10" x14ac:dyDescent="0.15">
      <c r="A85" s="406" t="str">
        <f t="shared" si="1"/>
        <v>ＦＣ．ＵＳＡ_8</v>
      </c>
      <c r="B85" s="218" t="s">
        <v>689</v>
      </c>
      <c r="C85" s="218" t="str">
        <f>("8")</f>
        <v>8</v>
      </c>
      <c r="D85" s="218" t="s">
        <v>623</v>
      </c>
      <c r="E85" s="218" t="s">
        <v>6967</v>
      </c>
      <c r="F85" s="218" t="s">
        <v>6968</v>
      </c>
      <c r="G85" s="218">
        <v>6</v>
      </c>
      <c r="H85" s="218" t="s">
        <v>616</v>
      </c>
      <c r="I85" s="218" t="str">
        <f>("1312080157")</f>
        <v>1312080157</v>
      </c>
    </row>
    <row r="86" spans="1:10" x14ac:dyDescent="0.15">
      <c r="A86" s="406" t="str">
        <f t="shared" si="1"/>
        <v>ＦＣ．ＵＳＡ_9</v>
      </c>
      <c r="B86" s="218" t="s">
        <v>689</v>
      </c>
      <c r="C86" s="218" t="str">
        <f>("9")</f>
        <v>9</v>
      </c>
      <c r="D86" s="218" t="s">
        <v>623</v>
      </c>
      <c r="E86" s="218" t="s">
        <v>698</v>
      </c>
      <c r="F86" s="218" t="s">
        <v>699</v>
      </c>
      <c r="G86" s="218">
        <v>5</v>
      </c>
      <c r="H86" s="218" t="s">
        <v>614</v>
      </c>
      <c r="I86" s="218" t="str">
        <f>("1409080233")</f>
        <v>1409080233</v>
      </c>
    </row>
    <row r="87" spans="1:10" x14ac:dyDescent="0.15">
      <c r="A87" s="406" t="str">
        <f t="shared" si="1"/>
        <v>ＦＣ．ＵＳＡ_10</v>
      </c>
      <c r="B87" s="218" t="s">
        <v>689</v>
      </c>
      <c r="C87" s="218" t="str">
        <f>("10")</f>
        <v>10</v>
      </c>
      <c r="D87" s="218" t="s">
        <v>611</v>
      </c>
      <c r="E87" s="218" t="s">
        <v>6969</v>
      </c>
      <c r="F87" s="218" t="s">
        <v>6970</v>
      </c>
      <c r="G87" s="218">
        <v>5</v>
      </c>
      <c r="H87" s="218" t="s">
        <v>616</v>
      </c>
      <c r="I87" s="218" t="str">
        <f>("1406150143")</f>
        <v>1406150143</v>
      </c>
    </row>
    <row r="88" spans="1:10" x14ac:dyDescent="0.15">
      <c r="A88" s="406" t="str">
        <f t="shared" si="1"/>
        <v>ＦＣ．ＵＳＡ_11</v>
      </c>
      <c r="B88" s="218" t="s">
        <v>689</v>
      </c>
      <c r="C88" s="218" t="str">
        <f>("11")</f>
        <v>11</v>
      </c>
      <c r="D88" s="218" t="s">
        <v>615</v>
      </c>
      <c r="E88" s="218" t="s">
        <v>6971</v>
      </c>
      <c r="F88" s="218" t="s">
        <v>6972</v>
      </c>
      <c r="G88" s="218">
        <v>5</v>
      </c>
      <c r="H88" s="218" t="s">
        <v>616</v>
      </c>
      <c r="I88" s="218" t="str">
        <f>("1407110204")</f>
        <v>1407110204</v>
      </c>
    </row>
    <row r="89" spans="1:10" x14ac:dyDescent="0.15">
      <c r="A89" s="406" t="str">
        <f t="shared" si="1"/>
        <v>ＦＣ．ＵＳＡ_12</v>
      </c>
      <c r="B89" s="218" t="s">
        <v>689</v>
      </c>
      <c r="C89" s="218" t="str">
        <f>("12")</f>
        <v>12</v>
      </c>
      <c r="D89" s="218" t="s">
        <v>615</v>
      </c>
      <c r="E89" s="218" t="s">
        <v>6973</v>
      </c>
      <c r="F89" s="218" t="s">
        <v>6974</v>
      </c>
      <c r="G89" s="218">
        <v>4</v>
      </c>
      <c r="H89" s="218" t="s">
        <v>614</v>
      </c>
      <c r="I89" s="218" t="str">
        <f>("1507150113")</f>
        <v>1507150113</v>
      </c>
    </row>
    <row r="90" spans="1:10" x14ac:dyDescent="0.15">
      <c r="A90" s="406" t="str">
        <f t="shared" si="1"/>
        <v>ＦＣ．ＵＳＡ_13</v>
      </c>
      <c r="B90" s="218" t="s">
        <v>689</v>
      </c>
      <c r="C90" s="218" t="str">
        <f>("13")</f>
        <v>13</v>
      </c>
      <c r="D90" s="218" t="s">
        <v>615</v>
      </c>
      <c r="E90" s="218" t="s">
        <v>6975</v>
      </c>
      <c r="F90" s="218" t="s">
        <v>6976</v>
      </c>
      <c r="G90" s="218">
        <v>4</v>
      </c>
      <c r="H90" s="218" t="s">
        <v>614</v>
      </c>
      <c r="I90" s="218" t="str">
        <f>("1602140069")</f>
        <v>1602140069</v>
      </c>
    </row>
    <row r="91" spans="1:10" x14ac:dyDescent="0.15">
      <c r="A91" s="406" t="str">
        <f t="shared" si="1"/>
        <v>ＦＣ．ＵＳＡ_14</v>
      </c>
      <c r="B91" s="218" t="s">
        <v>689</v>
      </c>
      <c r="C91" s="218" t="str">
        <f>("14")</f>
        <v>14</v>
      </c>
      <c r="D91" s="218" t="s">
        <v>615</v>
      </c>
      <c r="E91" s="218" t="s">
        <v>6977</v>
      </c>
      <c r="F91" s="218" t="s">
        <v>6978</v>
      </c>
      <c r="G91" s="218">
        <v>3</v>
      </c>
      <c r="H91" s="218" t="s">
        <v>614</v>
      </c>
      <c r="I91" s="218" t="str">
        <f>("1604260038")</f>
        <v>1604260038</v>
      </c>
    </row>
    <row r="92" spans="1:10" x14ac:dyDescent="0.15">
      <c r="A92" s="406" t="str">
        <f t="shared" si="1"/>
        <v>ＦＣ．ＵＳＡ_15</v>
      </c>
      <c r="B92" s="218" t="s">
        <v>689</v>
      </c>
      <c r="C92" s="218" t="str">
        <f>("15")</f>
        <v>15</v>
      </c>
      <c r="D92" s="218" t="s">
        <v>623</v>
      </c>
      <c r="E92" s="218" t="s">
        <v>6979</v>
      </c>
      <c r="F92" s="218" t="s">
        <v>6980</v>
      </c>
      <c r="G92" s="218">
        <v>3</v>
      </c>
      <c r="H92" s="218" t="s">
        <v>614</v>
      </c>
      <c r="I92" s="218" t="str">
        <f>("1609030035")</f>
        <v>1609030035</v>
      </c>
    </row>
    <row r="93" spans="1:10" x14ac:dyDescent="0.15">
      <c r="A93" s="406" t="str">
        <f t="shared" si="1"/>
        <v>ＦＣ．ＵＳＡ_16</v>
      </c>
      <c r="B93" s="218" t="s">
        <v>689</v>
      </c>
      <c r="C93" s="218" t="str">
        <f>("16")</f>
        <v>16</v>
      </c>
      <c r="D93" s="218" t="s">
        <v>624</v>
      </c>
      <c r="E93" s="218" t="s">
        <v>696</v>
      </c>
      <c r="F93" s="218" t="s">
        <v>697</v>
      </c>
      <c r="G93" s="218">
        <v>6</v>
      </c>
      <c r="H93" s="218" t="s">
        <v>614</v>
      </c>
      <c r="I93" s="218" t="str">
        <f>("1304220039")</f>
        <v>1304220039</v>
      </c>
    </row>
    <row r="94" spans="1:10" x14ac:dyDescent="0.15">
      <c r="A94" s="406" t="str">
        <f t="shared" si="1"/>
        <v>ＦＣ　ＷＡＹＳ_1</v>
      </c>
      <c r="B94" s="218" t="s">
        <v>702</v>
      </c>
      <c r="C94" s="218" t="str">
        <f>("1")</f>
        <v>1</v>
      </c>
      <c r="D94" s="218" t="s">
        <v>624</v>
      </c>
      <c r="E94" s="218" t="s">
        <v>6981</v>
      </c>
      <c r="F94" s="218" t="s">
        <v>6982</v>
      </c>
      <c r="G94" s="218">
        <v>6</v>
      </c>
      <c r="H94" s="218" t="s">
        <v>614</v>
      </c>
      <c r="I94" s="218" t="str">
        <f>("1306220135")</f>
        <v>1306220135</v>
      </c>
    </row>
    <row r="95" spans="1:10" x14ac:dyDescent="0.15">
      <c r="A95" s="406" t="str">
        <f t="shared" si="1"/>
        <v>ＦＣ　ＷＡＹＳ_2</v>
      </c>
      <c r="B95" s="218" t="s">
        <v>702</v>
      </c>
      <c r="C95" s="218" t="str">
        <f>("2")</f>
        <v>2</v>
      </c>
      <c r="D95" s="218" t="s">
        <v>611</v>
      </c>
      <c r="E95" s="218" t="s">
        <v>6983</v>
      </c>
      <c r="F95" s="218" t="s">
        <v>6984</v>
      </c>
      <c r="G95" s="218">
        <v>5</v>
      </c>
      <c r="H95" s="218" t="s">
        <v>614</v>
      </c>
      <c r="I95" s="218" t="str">
        <f>("1409260213")</f>
        <v>1409260213</v>
      </c>
    </row>
    <row r="96" spans="1:10" x14ac:dyDescent="0.15">
      <c r="A96" s="406" t="str">
        <f t="shared" si="1"/>
        <v>ＦＣ　ＷＡＹＳ_3</v>
      </c>
      <c r="B96" s="218" t="s">
        <v>702</v>
      </c>
      <c r="C96" s="218" t="str">
        <f>("3")</f>
        <v>3</v>
      </c>
      <c r="D96" s="218" t="s">
        <v>611</v>
      </c>
      <c r="E96" s="218" t="s">
        <v>6985</v>
      </c>
      <c r="F96" s="218" t="s">
        <v>6986</v>
      </c>
      <c r="G96" s="218">
        <v>5</v>
      </c>
      <c r="H96" s="218" t="s">
        <v>614</v>
      </c>
      <c r="I96" s="218" t="str">
        <f>("1409060140")</f>
        <v>1409060140</v>
      </c>
    </row>
    <row r="97" spans="1:10" x14ac:dyDescent="0.15">
      <c r="A97" s="406" t="str">
        <f t="shared" si="1"/>
        <v>ＦＣ　ＷＡＹＳ_4</v>
      </c>
      <c r="B97" s="218" t="s">
        <v>702</v>
      </c>
      <c r="C97" s="218" t="str">
        <f>("4")</f>
        <v>4</v>
      </c>
      <c r="D97" s="218" t="s">
        <v>611</v>
      </c>
      <c r="E97" s="218" t="s">
        <v>6987</v>
      </c>
      <c r="F97" s="218" t="s">
        <v>6988</v>
      </c>
      <c r="G97" s="218">
        <v>5</v>
      </c>
      <c r="H97" s="218" t="s">
        <v>614</v>
      </c>
      <c r="I97" s="218" t="str">
        <f>("1406160052")</f>
        <v>1406160052</v>
      </c>
    </row>
    <row r="98" spans="1:10" x14ac:dyDescent="0.15">
      <c r="A98" s="406" t="str">
        <f t="shared" si="1"/>
        <v>ＦＣ　ＷＡＹＳ_5</v>
      </c>
      <c r="B98" s="218" t="s">
        <v>702</v>
      </c>
      <c r="C98" s="218" t="str">
        <f>("5")</f>
        <v>5</v>
      </c>
      <c r="D98" s="218" t="s">
        <v>611</v>
      </c>
      <c r="E98" s="218" t="s">
        <v>6989</v>
      </c>
      <c r="F98" s="218" t="s">
        <v>6990</v>
      </c>
      <c r="G98" s="218">
        <v>5</v>
      </c>
      <c r="H98" s="218" t="s">
        <v>614</v>
      </c>
      <c r="I98" s="218" t="str">
        <f>("1408190074")</f>
        <v>1408190074</v>
      </c>
    </row>
    <row r="99" spans="1:10" x14ac:dyDescent="0.15">
      <c r="A99" s="406" t="str">
        <f t="shared" si="1"/>
        <v>ＦＣ　ＷＡＹＳ_6</v>
      </c>
      <c r="B99" s="218" t="s">
        <v>702</v>
      </c>
      <c r="C99" s="218" t="str">
        <f>("6")</f>
        <v>6</v>
      </c>
      <c r="D99" s="218" t="s">
        <v>615</v>
      </c>
      <c r="E99" s="218" t="s">
        <v>6991</v>
      </c>
      <c r="F99" s="218" t="s">
        <v>6992</v>
      </c>
      <c r="G99" s="218">
        <v>5</v>
      </c>
      <c r="H99" s="218" t="s">
        <v>614</v>
      </c>
      <c r="I99" s="218" t="str">
        <f>("1410130111")</f>
        <v>1410130111</v>
      </c>
    </row>
    <row r="100" spans="1:10" x14ac:dyDescent="0.15">
      <c r="A100" s="406" t="str">
        <f t="shared" si="1"/>
        <v>ＦＣ　ＷＡＹＳ_7</v>
      </c>
      <c r="B100" s="218" t="s">
        <v>702</v>
      </c>
      <c r="C100" s="218" t="str">
        <f>("7")</f>
        <v>7</v>
      </c>
      <c r="D100" s="218" t="s">
        <v>615</v>
      </c>
      <c r="E100" s="218" t="s">
        <v>6993</v>
      </c>
      <c r="F100" s="218" t="s">
        <v>6994</v>
      </c>
      <c r="G100" s="218">
        <v>5</v>
      </c>
      <c r="H100" s="218" t="s">
        <v>614</v>
      </c>
      <c r="I100" s="218" t="str">
        <f>("1501300106")</f>
        <v>1501300106</v>
      </c>
    </row>
    <row r="101" spans="1:10" x14ac:dyDescent="0.15">
      <c r="A101" s="406" t="str">
        <f t="shared" si="1"/>
        <v>ＦＣ　ＷＡＹＳ_8</v>
      </c>
      <c r="B101" s="218" t="s">
        <v>702</v>
      </c>
      <c r="C101" s="218" t="str">
        <f>("8")</f>
        <v>8</v>
      </c>
      <c r="D101" s="218" t="s">
        <v>611</v>
      </c>
      <c r="E101" s="218" t="s">
        <v>6995</v>
      </c>
      <c r="F101" s="218" t="s">
        <v>6996</v>
      </c>
      <c r="G101" s="218">
        <v>5</v>
      </c>
      <c r="H101" s="218" t="s">
        <v>614</v>
      </c>
      <c r="I101" s="218" t="str">
        <f>("1412180157")</f>
        <v>1412180157</v>
      </c>
    </row>
    <row r="102" spans="1:10" x14ac:dyDescent="0.15">
      <c r="A102" s="406" t="str">
        <f t="shared" si="1"/>
        <v>ＦＣ　ＷＡＹＳ_9</v>
      </c>
      <c r="B102" s="218" t="s">
        <v>702</v>
      </c>
      <c r="C102" s="218" t="str">
        <f>("9")</f>
        <v>9</v>
      </c>
      <c r="D102" s="218" t="s">
        <v>623</v>
      </c>
      <c r="E102" s="218" t="s">
        <v>6997</v>
      </c>
      <c r="F102" s="218" t="s">
        <v>6998</v>
      </c>
      <c r="G102" s="218">
        <v>5</v>
      </c>
      <c r="H102" s="218" t="s">
        <v>614</v>
      </c>
      <c r="I102" s="218" t="str">
        <f>("1502150110")</f>
        <v>1502150110</v>
      </c>
    </row>
    <row r="103" spans="1:10" x14ac:dyDescent="0.15">
      <c r="A103" s="406" t="str">
        <f t="shared" si="1"/>
        <v>ＦＣ　ＷＡＹＳ_10</v>
      </c>
      <c r="B103" s="218" t="s">
        <v>702</v>
      </c>
      <c r="C103" s="218" t="str">
        <f>("10")</f>
        <v>10</v>
      </c>
      <c r="D103" s="218" t="s">
        <v>615</v>
      </c>
      <c r="E103" s="218" t="s">
        <v>1716</v>
      </c>
      <c r="F103" s="218" t="s">
        <v>1717</v>
      </c>
      <c r="G103" s="218">
        <v>6</v>
      </c>
      <c r="H103" s="218" t="s">
        <v>614</v>
      </c>
      <c r="I103" s="218" t="str">
        <f>("1308210080")</f>
        <v>1308210080</v>
      </c>
      <c r="J103" s="218" t="s">
        <v>159</v>
      </c>
    </row>
    <row r="104" spans="1:10" x14ac:dyDescent="0.15">
      <c r="A104" s="406" t="str">
        <f t="shared" si="1"/>
        <v>ＦＣ　ＷＡＹＳ_11</v>
      </c>
      <c r="B104" s="218" t="s">
        <v>702</v>
      </c>
      <c r="C104" s="218" t="str">
        <f>("11")</f>
        <v>11</v>
      </c>
      <c r="D104" s="218" t="s">
        <v>623</v>
      </c>
      <c r="E104" s="218" t="s">
        <v>6999</v>
      </c>
      <c r="F104" s="218" t="s">
        <v>7000</v>
      </c>
      <c r="G104" s="218">
        <v>5</v>
      </c>
      <c r="H104" s="218" t="s">
        <v>614</v>
      </c>
      <c r="I104" s="218" t="str">
        <f>("1409220153")</f>
        <v>1409220153</v>
      </c>
    </row>
    <row r="105" spans="1:10" x14ac:dyDescent="0.15">
      <c r="A105" s="406" t="str">
        <f t="shared" si="1"/>
        <v>ＦＣ　ＷＡＹＳ_12</v>
      </c>
      <c r="B105" s="218" t="s">
        <v>702</v>
      </c>
      <c r="C105" s="218" t="str">
        <f>("12")</f>
        <v>12</v>
      </c>
      <c r="D105" s="218" t="s">
        <v>611</v>
      </c>
      <c r="E105" s="218" t="s">
        <v>7001</v>
      </c>
      <c r="F105" s="218" t="s">
        <v>7002</v>
      </c>
      <c r="G105" s="218">
        <v>4</v>
      </c>
      <c r="H105" s="218" t="s">
        <v>614</v>
      </c>
      <c r="I105" s="218" t="str">
        <f>("1508190101")</f>
        <v>1508190101</v>
      </c>
    </row>
    <row r="106" spans="1:10" x14ac:dyDescent="0.15">
      <c r="A106" s="406" t="str">
        <f t="shared" si="1"/>
        <v>ＦＣ　ＷＡＹＳ_13</v>
      </c>
      <c r="B106" s="218" t="s">
        <v>702</v>
      </c>
      <c r="C106" s="218" t="str">
        <f>("13")</f>
        <v>13</v>
      </c>
      <c r="D106" s="218" t="s">
        <v>623</v>
      </c>
      <c r="E106" s="218" t="s">
        <v>7003</v>
      </c>
      <c r="F106" s="218" t="s">
        <v>7004</v>
      </c>
      <c r="G106" s="218">
        <v>4</v>
      </c>
      <c r="H106" s="218" t="s">
        <v>614</v>
      </c>
      <c r="I106" s="218" t="str">
        <f>("1510010015")</f>
        <v>1510010015</v>
      </c>
    </row>
    <row r="107" spans="1:10" x14ac:dyDescent="0.15">
      <c r="A107" s="406" t="str">
        <f t="shared" si="1"/>
        <v>ＦＣ　ＷＡＹＳ_14</v>
      </c>
      <c r="B107" s="218" t="s">
        <v>702</v>
      </c>
      <c r="C107" s="218" t="str">
        <f>("14")</f>
        <v>14</v>
      </c>
      <c r="D107" s="218" t="s">
        <v>615</v>
      </c>
      <c r="E107" s="218" t="s">
        <v>813</v>
      </c>
      <c r="F107" s="218" t="s">
        <v>7005</v>
      </c>
      <c r="G107" s="218">
        <v>5</v>
      </c>
      <c r="H107" s="218" t="s">
        <v>614</v>
      </c>
      <c r="I107" s="218" t="str">
        <f>("1404160064")</f>
        <v>1404160064</v>
      </c>
    </row>
    <row r="108" spans="1:10" x14ac:dyDescent="0.15">
      <c r="A108" s="406" t="str">
        <f t="shared" si="1"/>
        <v>ＦＣ　ＷＡＹＳ_15</v>
      </c>
      <c r="B108" s="218" t="s">
        <v>702</v>
      </c>
      <c r="C108" s="218" t="str">
        <f>("15")</f>
        <v>15</v>
      </c>
      <c r="D108" s="218" t="s">
        <v>615</v>
      </c>
      <c r="E108" s="218" t="s">
        <v>7006</v>
      </c>
      <c r="F108" s="218" t="s">
        <v>7007</v>
      </c>
      <c r="G108" s="218">
        <v>4</v>
      </c>
      <c r="H108" s="218" t="s">
        <v>614</v>
      </c>
      <c r="I108" s="218" t="str">
        <f>("1510260017")</f>
        <v>1510260017</v>
      </c>
    </row>
    <row r="109" spans="1:10" x14ac:dyDescent="0.15">
      <c r="A109" s="406" t="str">
        <f t="shared" si="1"/>
        <v>ＦＣ　ＷＡＹＳ_16</v>
      </c>
      <c r="B109" s="218" t="s">
        <v>702</v>
      </c>
      <c r="C109" s="218" t="str">
        <f>("16")</f>
        <v>16</v>
      </c>
      <c r="D109" s="218" t="s">
        <v>624</v>
      </c>
      <c r="E109" s="218" t="s">
        <v>7008</v>
      </c>
      <c r="F109" s="218" t="s">
        <v>7009</v>
      </c>
      <c r="G109" s="218">
        <v>4</v>
      </c>
      <c r="H109" s="218" t="s">
        <v>614</v>
      </c>
      <c r="I109" s="218" t="str">
        <f>("1504050074")</f>
        <v>1504050074</v>
      </c>
    </row>
    <row r="110" spans="1:10" x14ac:dyDescent="0.15">
      <c r="A110" s="406" t="str">
        <f t="shared" si="1"/>
        <v>四日市南ＳＳＣ_1</v>
      </c>
      <c r="B110" s="218" t="s">
        <v>707</v>
      </c>
      <c r="C110" s="218" t="str">
        <f>("1")</f>
        <v>1</v>
      </c>
      <c r="D110" s="218" t="s">
        <v>624</v>
      </c>
      <c r="E110" s="218" t="s">
        <v>718</v>
      </c>
      <c r="F110" s="218" t="s">
        <v>719</v>
      </c>
      <c r="G110" s="218">
        <v>6</v>
      </c>
      <c r="H110" s="218" t="s">
        <v>614</v>
      </c>
      <c r="I110" s="218" t="str">
        <f>("1306180150")</f>
        <v>1306180150</v>
      </c>
    </row>
    <row r="111" spans="1:10" x14ac:dyDescent="0.15">
      <c r="A111" s="406" t="str">
        <f t="shared" si="1"/>
        <v>四日市南ＳＳＣ_2</v>
      </c>
      <c r="B111" s="218" t="s">
        <v>707</v>
      </c>
      <c r="C111" s="218" t="str">
        <f>("2")</f>
        <v>2</v>
      </c>
      <c r="D111" s="218" t="s">
        <v>611</v>
      </c>
      <c r="E111" s="218" t="s">
        <v>7010</v>
      </c>
      <c r="F111" s="218" t="s">
        <v>7011</v>
      </c>
      <c r="G111" s="218">
        <v>5</v>
      </c>
      <c r="H111" s="218" t="s">
        <v>614</v>
      </c>
      <c r="I111" s="218" t="str">
        <f>("1412140080")</f>
        <v>1412140080</v>
      </c>
    </row>
    <row r="112" spans="1:10" x14ac:dyDescent="0.15">
      <c r="A112" s="406" t="str">
        <f t="shared" si="1"/>
        <v>四日市南ＳＳＣ_3</v>
      </c>
      <c r="B112" s="218" t="s">
        <v>707</v>
      </c>
      <c r="C112" s="218" t="str">
        <f>("3")</f>
        <v>3</v>
      </c>
      <c r="D112" s="218" t="s">
        <v>615</v>
      </c>
      <c r="E112" s="218" t="s">
        <v>7012</v>
      </c>
      <c r="F112" s="218" t="s">
        <v>3687</v>
      </c>
      <c r="G112" s="218">
        <v>6</v>
      </c>
      <c r="H112" s="218" t="s">
        <v>614</v>
      </c>
      <c r="I112" s="218" t="str">
        <f>("1310080131")</f>
        <v>1310080131</v>
      </c>
    </row>
    <row r="113" spans="1:10" x14ac:dyDescent="0.15">
      <c r="A113" s="406" t="str">
        <f t="shared" si="1"/>
        <v>四日市南ＳＳＣ_4</v>
      </c>
      <c r="B113" s="218" t="s">
        <v>707</v>
      </c>
      <c r="C113" s="218" t="str">
        <f>("4")</f>
        <v>4</v>
      </c>
      <c r="D113" s="218" t="s">
        <v>615</v>
      </c>
      <c r="E113" s="218" t="s">
        <v>7013</v>
      </c>
      <c r="F113" s="218" t="s">
        <v>7014</v>
      </c>
      <c r="G113" s="218">
        <v>5</v>
      </c>
      <c r="H113" s="218" t="s">
        <v>614</v>
      </c>
      <c r="I113" s="218" t="str">
        <f>("1410240111")</f>
        <v>1410240111</v>
      </c>
    </row>
    <row r="114" spans="1:10" x14ac:dyDescent="0.15">
      <c r="A114" s="406" t="str">
        <f t="shared" si="1"/>
        <v>四日市南ＳＳＣ_7</v>
      </c>
      <c r="B114" s="218" t="s">
        <v>707</v>
      </c>
      <c r="C114" s="218" t="str">
        <f>("7")</f>
        <v>7</v>
      </c>
      <c r="D114" s="218" t="s">
        <v>623</v>
      </c>
      <c r="E114" s="218" t="s">
        <v>7015</v>
      </c>
      <c r="F114" s="218" t="s">
        <v>7016</v>
      </c>
      <c r="G114" s="218">
        <v>6</v>
      </c>
      <c r="H114" s="218" t="s">
        <v>614</v>
      </c>
      <c r="I114" s="218" t="str">
        <f>("1402010075")</f>
        <v>1402010075</v>
      </c>
    </row>
    <row r="115" spans="1:10" x14ac:dyDescent="0.15">
      <c r="A115" s="406" t="str">
        <f t="shared" si="1"/>
        <v>四日市南ＳＳＣ_8</v>
      </c>
      <c r="B115" s="218" t="s">
        <v>707</v>
      </c>
      <c r="C115" s="218" t="str">
        <f>("8")</f>
        <v>8</v>
      </c>
      <c r="D115" s="218" t="s">
        <v>615</v>
      </c>
      <c r="E115" s="218" t="s">
        <v>6818</v>
      </c>
      <c r="F115" s="218" t="s">
        <v>6819</v>
      </c>
      <c r="G115" s="218">
        <v>6</v>
      </c>
      <c r="H115" s="218" t="s">
        <v>614</v>
      </c>
      <c r="I115" s="218" t="str">
        <f>("1402130136")</f>
        <v>1402130136</v>
      </c>
    </row>
    <row r="116" spans="1:10" x14ac:dyDescent="0.15">
      <c r="A116" s="406" t="str">
        <f t="shared" si="1"/>
        <v>四日市南ＳＳＣ_9</v>
      </c>
      <c r="B116" s="218" t="s">
        <v>707</v>
      </c>
      <c r="C116" s="218" t="str">
        <f>("9")</f>
        <v>9</v>
      </c>
      <c r="D116" s="218" t="s">
        <v>611</v>
      </c>
      <c r="E116" s="218" t="s">
        <v>7017</v>
      </c>
      <c r="F116" s="218" t="s">
        <v>7018</v>
      </c>
      <c r="G116" s="218">
        <v>6</v>
      </c>
      <c r="H116" s="218" t="s">
        <v>614</v>
      </c>
      <c r="I116" s="218" t="str">
        <f>("1304130114")</f>
        <v>1304130114</v>
      </c>
    </row>
    <row r="117" spans="1:10" x14ac:dyDescent="0.15">
      <c r="A117" s="406" t="str">
        <f t="shared" si="1"/>
        <v>四日市南ＳＳＣ_10</v>
      </c>
      <c r="B117" s="218" t="s">
        <v>707</v>
      </c>
      <c r="C117" s="218" t="str">
        <f>("10")</f>
        <v>10</v>
      </c>
      <c r="D117" s="218" t="s">
        <v>615</v>
      </c>
      <c r="E117" s="218" t="s">
        <v>7019</v>
      </c>
      <c r="F117" s="218" t="s">
        <v>7020</v>
      </c>
      <c r="G117" s="218">
        <v>6</v>
      </c>
      <c r="H117" s="218" t="s">
        <v>614</v>
      </c>
      <c r="I117" s="218" t="str">
        <f>("1304260154")</f>
        <v>1304260154</v>
      </c>
      <c r="J117" s="218" t="s">
        <v>159</v>
      </c>
    </row>
    <row r="118" spans="1:10" x14ac:dyDescent="0.15">
      <c r="A118" s="406" t="str">
        <f t="shared" si="1"/>
        <v>四日市南ＳＳＣ_11</v>
      </c>
      <c r="B118" s="218" t="s">
        <v>707</v>
      </c>
      <c r="C118" s="218" t="str">
        <f>("11")</f>
        <v>11</v>
      </c>
      <c r="D118" s="218" t="s">
        <v>624</v>
      </c>
      <c r="E118" s="218" t="s">
        <v>7021</v>
      </c>
      <c r="F118" s="218" t="s">
        <v>7022</v>
      </c>
      <c r="G118" s="218">
        <v>5</v>
      </c>
      <c r="H118" s="218" t="s">
        <v>614</v>
      </c>
      <c r="I118" s="218" t="str">
        <f>("1501090122")</f>
        <v>1501090122</v>
      </c>
    </row>
    <row r="119" spans="1:10" x14ac:dyDescent="0.15">
      <c r="A119" s="406" t="str">
        <f t="shared" si="1"/>
        <v>四日市南ＳＳＣ_12</v>
      </c>
      <c r="B119" s="218" t="s">
        <v>707</v>
      </c>
      <c r="C119" s="218" t="str">
        <f>("12")</f>
        <v>12</v>
      </c>
      <c r="D119" s="218" t="s">
        <v>623</v>
      </c>
      <c r="E119" s="218" t="s">
        <v>7023</v>
      </c>
      <c r="F119" s="218" t="s">
        <v>7024</v>
      </c>
      <c r="G119" s="218">
        <v>5</v>
      </c>
      <c r="H119" s="218" t="s">
        <v>614</v>
      </c>
      <c r="I119" s="218" t="str">
        <f>("1411140109")</f>
        <v>1411140109</v>
      </c>
    </row>
    <row r="120" spans="1:10" x14ac:dyDescent="0.15">
      <c r="A120" s="406" t="str">
        <f t="shared" si="1"/>
        <v>四日市南ＳＳＣ_14</v>
      </c>
      <c r="B120" s="218" t="s">
        <v>707</v>
      </c>
      <c r="C120" s="218" t="str">
        <f>("14")</f>
        <v>14</v>
      </c>
      <c r="D120" s="218" t="s">
        <v>615</v>
      </c>
      <c r="E120" s="218" t="s">
        <v>7025</v>
      </c>
      <c r="F120" s="218" t="s">
        <v>7026</v>
      </c>
      <c r="G120" s="218">
        <v>5</v>
      </c>
      <c r="H120" s="218" t="s">
        <v>614</v>
      </c>
      <c r="I120" s="218" t="str">
        <f>("1412090131")</f>
        <v>1412090131</v>
      </c>
    </row>
    <row r="121" spans="1:10" x14ac:dyDescent="0.15">
      <c r="A121" s="406" t="str">
        <f t="shared" si="1"/>
        <v>四日市南ＳＳＣ_15</v>
      </c>
      <c r="B121" s="218" t="s">
        <v>707</v>
      </c>
      <c r="C121" s="218" t="str">
        <f>("15")</f>
        <v>15</v>
      </c>
      <c r="D121" s="218" t="s">
        <v>623</v>
      </c>
      <c r="E121" s="218" t="s">
        <v>7027</v>
      </c>
      <c r="F121" s="218" t="s">
        <v>7028</v>
      </c>
      <c r="G121" s="218">
        <v>6</v>
      </c>
      <c r="H121" s="218" t="s">
        <v>614</v>
      </c>
      <c r="I121" s="218" t="str">
        <f>("1402150080")</f>
        <v>1402150080</v>
      </c>
    </row>
    <row r="122" spans="1:10" x14ac:dyDescent="0.15">
      <c r="A122" s="406" t="str">
        <f t="shared" si="1"/>
        <v>四日市南ＳＳＣ_16</v>
      </c>
      <c r="B122" s="218" t="s">
        <v>707</v>
      </c>
      <c r="C122" s="218" t="str">
        <f>("16")</f>
        <v>16</v>
      </c>
      <c r="D122" s="218" t="s">
        <v>624</v>
      </c>
      <c r="E122" s="218" t="s">
        <v>7029</v>
      </c>
      <c r="F122" s="218" t="s">
        <v>7030</v>
      </c>
      <c r="G122" s="218">
        <v>5</v>
      </c>
      <c r="H122" s="218" t="s">
        <v>614</v>
      </c>
      <c r="I122" s="218" t="str">
        <f>("1411040165")</f>
        <v>1411040165</v>
      </c>
    </row>
    <row r="123" spans="1:10" x14ac:dyDescent="0.15">
      <c r="A123" s="406" t="str">
        <f t="shared" si="1"/>
        <v>四日市南ＳＳＣ_17</v>
      </c>
      <c r="B123" s="218" t="s">
        <v>707</v>
      </c>
      <c r="C123" s="218" t="str">
        <f>("17")</f>
        <v>17</v>
      </c>
      <c r="D123" s="218" t="s">
        <v>611</v>
      </c>
      <c r="E123" s="218" t="s">
        <v>7031</v>
      </c>
      <c r="F123" s="218" t="s">
        <v>7032</v>
      </c>
      <c r="G123" s="218">
        <v>5</v>
      </c>
      <c r="H123" s="218" t="s">
        <v>614</v>
      </c>
      <c r="I123" s="218" t="str">
        <f>("1501270106")</f>
        <v>1501270106</v>
      </c>
    </row>
    <row r="124" spans="1:10" x14ac:dyDescent="0.15">
      <c r="A124" s="406" t="str">
        <f t="shared" si="1"/>
        <v>四日市北ＪＦＣ_1</v>
      </c>
      <c r="B124" s="218" t="s">
        <v>720</v>
      </c>
      <c r="C124" s="218" t="str">
        <f>("1")</f>
        <v>1</v>
      </c>
      <c r="D124" s="218" t="s">
        <v>624</v>
      </c>
      <c r="E124" s="218" t="s">
        <v>7033</v>
      </c>
      <c r="F124" s="218" t="s">
        <v>7034</v>
      </c>
      <c r="G124" s="218">
        <v>5</v>
      </c>
      <c r="H124" s="218" t="s">
        <v>614</v>
      </c>
      <c r="I124" s="218" t="str">
        <f>("1411300082")</f>
        <v>1411300082</v>
      </c>
    </row>
    <row r="125" spans="1:10" x14ac:dyDescent="0.15">
      <c r="A125" s="406" t="str">
        <f t="shared" si="1"/>
        <v>四日市北ＪＦＣ_2</v>
      </c>
      <c r="B125" s="218" t="s">
        <v>720</v>
      </c>
      <c r="C125" s="218" t="str">
        <f>("2")</f>
        <v>2</v>
      </c>
      <c r="D125" s="218" t="s">
        <v>611</v>
      </c>
      <c r="E125" s="218" t="s">
        <v>7035</v>
      </c>
      <c r="F125" s="218" t="s">
        <v>7036</v>
      </c>
      <c r="G125" s="218">
        <v>5</v>
      </c>
      <c r="H125" s="218" t="s">
        <v>614</v>
      </c>
      <c r="I125" s="218" t="str">
        <f>("1405190214")</f>
        <v>1405190214</v>
      </c>
    </row>
    <row r="126" spans="1:10" x14ac:dyDescent="0.15">
      <c r="A126" s="406" t="str">
        <f t="shared" si="1"/>
        <v>四日市北ＪＦＣ_3</v>
      </c>
      <c r="B126" s="218" t="s">
        <v>720</v>
      </c>
      <c r="C126" s="218" t="str">
        <f>("3")</f>
        <v>3</v>
      </c>
      <c r="D126" s="218" t="s">
        <v>611</v>
      </c>
      <c r="E126" s="218" t="s">
        <v>7037</v>
      </c>
      <c r="F126" s="218" t="s">
        <v>7038</v>
      </c>
      <c r="G126" s="218">
        <v>5</v>
      </c>
      <c r="H126" s="218" t="s">
        <v>614</v>
      </c>
      <c r="I126" s="218" t="str">
        <f>("1501030075")</f>
        <v>1501030075</v>
      </c>
    </row>
    <row r="127" spans="1:10" x14ac:dyDescent="0.15">
      <c r="A127" s="406" t="str">
        <f t="shared" si="1"/>
        <v>四日市北ＪＦＣ_4</v>
      </c>
      <c r="B127" s="218" t="s">
        <v>720</v>
      </c>
      <c r="C127" s="218" t="str">
        <f>("4")</f>
        <v>4</v>
      </c>
      <c r="D127" s="218" t="s">
        <v>615</v>
      </c>
      <c r="E127" s="218" t="s">
        <v>7039</v>
      </c>
      <c r="F127" s="218" t="s">
        <v>7040</v>
      </c>
      <c r="G127" s="218">
        <v>5</v>
      </c>
      <c r="H127" s="218" t="s">
        <v>614</v>
      </c>
      <c r="I127" s="218" t="str">
        <f>("1412250137")</f>
        <v>1412250137</v>
      </c>
    </row>
    <row r="128" spans="1:10" x14ac:dyDescent="0.15">
      <c r="A128" s="406" t="str">
        <f t="shared" si="1"/>
        <v>四日市北ＪＦＣ_5</v>
      </c>
      <c r="B128" s="218" t="s">
        <v>720</v>
      </c>
      <c r="C128" s="218" t="str">
        <f>("5")</f>
        <v>5</v>
      </c>
      <c r="D128" s="218" t="s">
        <v>611</v>
      </c>
      <c r="E128" s="218" t="s">
        <v>7041</v>
      </c>
      <c r="F128" s="218" t="s">
        <v>7042</v>
      </c>
      <c r="G128" s="218">
        <v>5</v>
      </c>
      <c r="H128" s="218" t="s">
        <v>614</v>
      </c>
      <c r="I128" s="218" t="str">
        <f>("1502240201")</f>
        <v>1502240201</v>
      </c>
    </row>
    <row r="129" spans="1:10" x14ac:dyDescent="0.15">
      <c r="A129" s="406" t="str">
        <f t="shared" ref="A129:A192" si="2">CONCATENATE(B129,"_",C129)</f>
        <v>四日市北ＪＦＣ_6</v>
      </c>
      <c r="B129" s="218" t="s">
        <v>720</v>
      </c>
      <c r="C129" s="218" t="str">
        <f>("6")</f>
        <v>6</v>
      </c>
      <c r="D129" s="218" t="s">
        <v>615</v>
      </c>
      <c r="E129" s="218" t="s">
        <v>7043</v>
      </c>
      <c r="F129" s="218" t="s">
        <v>7044</v>
      </c>
      <c r="G129" s="218">
        <v>5</v>
      </c>
      <c r="H129" s="218" t="s">
        <v>614</v>
      </c>
      <c r="I129" s="218" t="str">
        <f>("1407100154")</f>
        <v>1407100154</v>
      </c>
    </row>
    <row r="130" spans="1:10" x14ac:dyDescent="0.15">
      <c r="A130" s="406" t="str">
        <f t="shared" si="2"/>
        <v>四日市北ＪＦＣ_7</v>
      </c>
      <c r="B130" s="218" t="s">
        <v>720</v>
      </c>
      <c r="C130" s="218" t="str">
        <f>("7")</f>
        <v>7</v>
      </c>
      <c r="D130" s="218" t="s">
        <v>615</v>
      </c>
      <c r="E130" s="218" t="s">
        <v>723</v>
      </c>
      <c r="F130" s="218" t="s">
        <v>724</v>
      </c>
      <c r="G130" s="218">
        <v>6</v>
      </c>
      <c r="H130" s="218" t="s">
        <v>616</v>
      </c>
      <c r="I130" s="218" t="str">
        <f>("1307020138")</f>
        <v>1307020138</v>
      </c>
    </row>
    <row r="131" spans="1:10" x14ac:dyDescent="0.15">
      <c r="A131" s="406" t="str">
        <f t="shared" si="2"/>
        <v>四日市北ＪＦＣ_8</v>
      </c>
      <c r="B131" s="218" t="s">
        <v>720</v>
      </c>
      <c r="C131" s="218" t="str">
        <f>("8")</f>
        <v>8</v>
      </c>
      <c r="D131" s="218" t="s">
        <v>611</v>
      </c>
      <c r="E131" s="218" t="s">
        <v>7045</v>
      </c>
      <c r="F131" s="218" t="s">
        <v>7046</v>
      </c>
      <c r="G131" s="218">
        <v>6</v>
      </c>
      <c r="H131" s="218" t="s">
        <v>614</v>
      </c>
      <c r="I131" s="218" t="str">
        <f>("1307280185")</f>
        <v>1307280185</v>
      </c>
    </row>
    <row r="132" spans="1:10" x14ac:dyDescent="0.15">
      <c r="A132" s="406" t="str">
        <f t="shared" si="2"/>
        <v>四日市北ＪＦＣ_9</v>
      </c>
      <c r="B132" s="218" t="s">
        <v>720</v>
      </c>
      <c r="C132" s="218" t="str">
        <f>("9")</f>
        <v>9</v>
      </c>
      <c r="D132" s="218" t="s">
        <v>615</v>
      </c>
      <c r="E132" s="218" t="s">
        <v>7047</v>
      </c>
      <c r="F132" s="218" t="s">
        <v>7048</v>
      </c>
      <c r="G132" s="218">
        <v>5</v>
      </c>
      <c r="H132" s="218" t="s">
        <v>614</v>
      </c>
      <c r="I132" s="218" t="str">
        <f>("1404250124")</f>
        <v>1404250124</v>
      </c>
    </row>
    <row r="133" spans="1:10" x14ac:dyDescent="0.15">
      <c r="A133" s="406" t="str">
        <f t="shared" si="2"/>
        <v>四日市北ＪＦＣ_10</v>
      </c>
      <c r="B133" s="218" t="s">
        <v>720</v>
      </c>
      <c r="C133" s="218" t="str">
        <f>("10")</f>
        <v>10</v>
      </c>
      <c r="D133" s="218" t="s">
        <v>615</v>
      </c>
      <c r="E133" s="218" t="s">
        <v>721</v>
      </c>
      <c r="F133" s="218" t="s">
        <v>722</v>
      </c>
      <c r="G133" s="218">
        <v>6</v>
      </c>
      <c r="H133" s="218" t="s">
        <v>614</v>
      </c>
      <c r="I133" s="218" t="str">
        <f>("1306270119")</f>
        <v>1306270119</v>
      </c>
      <c r="J133" s="218" t="s">
        <v>159</v>
      </c>
    </row>
    <row r="134" spans="1:10" x14ac:dyDescent="0.15">
      <c r="A134" s="406" t="str">
        <f t="shared" si="2"/>
        <v>四日市北ＪＦＣ_11</v>
      </c>
      <c r="B134" s="218" t="s">
        <v>720</v>
      </c>
      <c r="C134" s="218" t="str">
        <f>("11")</f>
        <v>11</v>
      </c>
      <c r="D134" s="218" t="s">
        <v>615</v>
      </c>
      <c r="E134" s="218" t="s">
        <v>725</v>
      </c>
      <c r="F134" s="218" t="s">
        <v>726</v>
      </c>
      <c r="G134" s="218">
        <v>6</v>
      </c>
      <c r="H134" s="218" t="s">
        <v>614</v>
      </c>
      <c r="I134" s="218" t="str">
        <f>("1306170113")</f>
        <v>1306170113</v>
      </c>
    </row>
    <row r="135" spans="1:10" x14ac:dyDescent="0.15">
      <c r="A135" s="406" t="str">
        <f t="shared" si="2"/>
        <v>四日市北ＪＦＣ_13</v>
      </c>
      <c r="B135" s="218" t="s">
        <v>720</v>
      </c>
      <c r="C135" s="218" t="str">
        <f>("13")</f>
        <v>13</v>
      </c>
      <c r="D135" s="218" t="s">
        <v>623</v>
      </c>
      <c r="E135" s="218" t="s">
        <v>7049</v>
      </c>
      <c r="F135" s="218" t="s">
        <v>7050</v>
      </c>
      <c r="G135" s="218">
        <v>5</v>
      </c>
      <c r="H135" s="218" t="s">
        <v>614</v>
      </c>
      <c r="I135" s="218" t="str">
        <f>("1412050207")</f>
        <v>1412050207</v>
      </c>
    </row>
    <row r="136" spans="1:10" x14ac:dyDescent="0.15">
      <c r="A136" s="406" t="str">
        <f t="shared" si="2"/>
        <v>四日市北ＪＦＣ_14</v>
      </c>
      <c r="B136" s="218" t="s">
        <v>720</v>
      </c>
      <c r="C136" s="218" t="str">
        <f>("14")</f>
        <v>14</v>
      </c>
      <c r="D136" s="218" t="s">
        <v>623</v>
      </c>
      <c r="E136" s="218" t="s">
        <v>7051</v>
      </c>
      <c r="F136" s="218" t="s">
        <v>7052</v>
      </c>
      <c r="G136" s="218">
        <v>5</v>
      </c>
      <c r="H136" s="218" t="s">
        <v>614</v>
      </c>
      <c r="I136" s="218" t="str">
        <f>("1404040220")</f>
        <v>1404040220</v>
      </c>
    </row>
    <row r="137" spans="1:10" x14ac:dyDescent="0.15">
      <c r="A137" s="406" t="str">
        <f t="shared" si="2"/>
        <v>四日市北ＪＦＣ_16</v>
      </c>
      <c r="B137" s="218" t="s">
        <v>720</v>
      </c>
      <c r="C137" s="218" t="str">
        <f>("16")</f>
        <v>16</v>
      </c>
      <c r="D137" s="218" t="s">
        <v>624</v>
      </c>
      <c r="E137" s="218" t="s">
        <v>7053</v>
      </c>
      <c r="F137" s="218" t="s">
        <v>7054</v>
      </c>
      <c r="G137" s="218">
        <v>5</v>
      </c>
      <c r="H137" s="218" t="s">
        <v>614</v>
      </c>
      <c r="I137" s="218" t="str">
        <f>("1412160123")</f>
        <v>1412160123</v>
      </c>
    </row>
    <row r="138" spans="1:10" x14ac:dyDescent="0.15">
      <c r="A138" s="406" t="str">
        <f t="shared" si="2"/>
        <v>東　Ｆ　Ｃ_1</v>
      </c>
      <c r="B138" s="218" t="s">
        <v>7055</v>
      </c>
      <c r="C138" s="218" t="str">
        <f>("1")</f>
        <v>1</v>
      </c>
      <c r="D138" s="218" t="s">
        <v>624</v>
      </c>
      <c r="E138" s="218" t="s">
        <v>7056</v>
      </c>
      <c r="F138" s="218" t="s">
        <v>7057</v>
      </c>
      <c r="G138" s="218">
        <v>5</v>
      </c>
      <c r="H138" s="218" t="s">
        <v>614</v>
      </c>
      <c r="I138" s="218" t="str">
        <f>("1409290187")</f>
        <v>1409290187</v>
      </c>
    </row>
    <row r="139" spans="1:10" x14ac:dyDescent="0.15">
      <c r="A139" s="406" t="str">
        <f t="shared" si="2"/>
        <v>東　Ｆ　Ｃ_2</v>
      </c>
      <c r="B139" s="218" t="s">
        <v>7055</v>
      </c>
      <c r="C139" s="218" t="str">
        <f>("2")</f>
        <v>2</v>
      </c>
      <c r="D139" s="218" t="s">
        <v>615</v>
      </c>
      <c r="E139" s="218" t="s">
        <v>7058</v>
      </c>
      <c r="F139" s="218" t="s">
        <v>7059</v>
      </c>
      <c r="G139" s="218">
        <v>5</v>
      </c>
      <c r="H139" s="218" t="s">
        <v>614</v>
      </c>
      <c r="I139" s="218" t="str">
        <f>("1503130017")</f>
        <v>1503130017</v>
      </c>
    </row>
    <row r="140" spans="1:10" x14ac:dyDescent="0.15">
      <c r="A140" s="406" t="str">
        <f t="shared" si="2"/>
        <v>東　Ｆ　Ｃ_3</v>
      </c>
      <c r="B140" s="218" t="s">
        <v>7055</v>
      </c>
      <c r="C140" s="218" t="str">
        <f>("3")</f>
        <v>3</v>
      </c>
      <c r="D140" s="218" t="s">
        <v>611</v>
      </c>
      <c r="E140" s="218" t="s">
        <v>739</v>
      </c>
      <c r="F140" s="218" t="s">
        <v>740</v>
      </c>
      <c r="G140" s="218">
        <v>6</v>
      </c>
      <c r="H140" s="218" t="s">
        <v>614</v>
      </c>
      <c r="I140" s="218" t="str">
        <f>("1310280019")</f>
        <v>1310280019</v>
      </c>
    </row>
    <row r="141" spans="1:10" x14ac:dyDescent="0.15">
      <c r="A141" s="406" t="str">
        <f t="shared" si="2"/>
        <v>東　Ｆ　Ｃ_4</v>
      </c>
      <c r="B141" s="218" t="s">
        <v>7055</v>
      </c>
      <c r="C141" s="218" t="str">
        <f>("4")</f>
        <v>4</v>
      </c>
      <c r="D141" s="218" t="s">
        <v>611</v>
      </c>
      <c r="E141" s="218" t="s">
        <v>7060</v>
      </c>
      <c r="F141" s="218" t="s">
        <v>7061</v>
      </c>
      <c r="G141" s="218">
        <v>6</v>
      </c>
      <c r="H141" s="218" t="s">
        <v>614</v>
      </c>
      <c r="I141" s="218" t="str">
        <f>("1309190165")</f>
        <v>1309190165</v>
      </c>
    </row>
    <row r="142" spans="1:10" x14ac:dyDescent="0.15">
      <c r="A142" s="406" t="str">
        <f t="shared" si="2"/>
        <v>東　Ｆ　Ｃ_5</v>
      </c>
      <c r="B142" s="218" t="s">
        <v>7055</v>
      </c>
      <c r="C142" s="218" t="str">
        <f>("5")</f>
        <v>5</v>
      </c>
      <c r="D142" s="218" t="s">
        <v>615</v>
      </c>
      <c r="E142" s="218" t="s">
        <v>7062</v>
      </c>
      <c r="F142" s="218" t="s">
        <v>7063</v>
      </c>
      <c r="G142" s="218">
        <v>6</v>
      </c>
      <c r="H142" s="218" t="s">
        <v>614</v>
      </c>
      <c r="I142" s="218" t="str">
        <f>("1305160119")</f>
        <v>1305160119</v>
      </c>
    </row>
    <row r="143" spans="1:10" x14ac:dyDescent="0.15">
      <c r="A143" s="406" t="str">
        <f t="shared" si="2"/>
        <v>東　Ｆ　Ｃ_6</v>
      </c>
      <c r="B143" s="218" t="s">
        <v>7055</v>
      </c>
      <c r="C143" s="218" t="str">
        <f>("6")</f>
        <v>6</v>
      </c>
      <c r="D143" s="218" t="s">
        <v>615</v>
      </c>
      <c r="E143" s="218" t="s">
        <v>7064</v>
      </c>
      <c r="F143" s="218" t="s">
        <v>7065</v>
      </c>
      <c r="G143" s="218">
        <v>5</v>
      </c>
      <c r="H143" s="218" t="s">
        <v>614</v>
      </c>
      <c r="I143" s="218" t="str">
        <f>("1501210055")</f>
        <v>1501210055</v>
      </c>
    </row>
    <row r="144" spans="1:10" x14ac:dyDescent="0.15">
      <c r="A144" s="406" t="str">
        <f t="shared" si="2"/>
        <v>東　Ｆ　Ｃ_7</v>
      </c>
      <c r="B144" s="218" t="s">
        <v>7055</v>
      </c>
      <c r="C144" s="218" t="str">
        <f>("7")</f>
        <v>7</v>
      </c>
      <c r="D144" s="218" t="s">
        <v>615</v>
      </c>
      <c r="E144" s="218" t="s">
        <v>737</v>
      </c>
      <c r="F144" s="218" t="s">
        <v>738</v>
      </c>
      <c r="G144" s="218">
        <v>6</v>
      </c>
      <c r="H144" s="218" t="s">
        <v>614</v>
      </c>
      <c r="I144" s="218" t="str">
        <f>("1307100144")</f>
        <v>1307100144</v>
      </c>
    </row>
    <row r="145" spans="1:10" x14ac:dyDescent="0.15">
      <c r="A145" s="406" t="str">
        <f t="shared" si="2"/>
        <v>東　Ｆ　Ｃ_8</v>
      </c>
      <c r="B145" s="218" t="s">
        <v>7055</v>
      </c>
      <c r="C145" s="218" t="str">
        <f>("8")</f>
        <v>8</v>
      </c>
      <c r="D145" s="218" t="s">
        <v>615</v>
      </c>
      <c r="E145" s="218" t="s">
        <v>7066</v>
      </c>
      <c r="F145" s="218" t="s">
        <v>7067</v>
      </c>
      <c r="G145" s="218">
        <v>5</v>
      </c>
      <c r="H145" s="218" t="s">
        <v>614</v>
      </c>
      <c r="I145" s="218" t="str">
        <f>("1412020017")</f>
        <v>1412020017</v>
      </c>
    </row>
    <row r="146" spans="1:10" x14ac:dyDescent="0.15">
      <c r="A146" s="406" t="str">
        <f t="shared" si="2"/>
        <v>東　Ｆ　Ｃ_9</v>
      </c>
      <c r="B146" s="218" t="s">
        <v>7055</v>
      </c>
      <c r="C146" s="218" t="str">
        <f>("9")</f>
        <v>9</v>
      </c>
      <c r="D146" s="218" t="s">
        <v>623</v>
      </c>
      <c r="E146" s="218" t="s">
        <v>746</v>
      </c>
      <c r="F146" s="218" t="s">
        <v>747</v>
      </c>
      <c r="G146" s="218">
        <v>6</v>
      </c>
      <c r="H146" s="218" t="s">
        <v>614</v>
      </c>
      <c r="I146" s="218" t="str">
        <f>("1308080068")</f>
        <v>1308080068</v>
      </c>
    </row>
    <row r="147" spans="1:10" x14ac:dyDescent="0.15">
      <c r="A147" s="406" t="str">
        <f t="shared" si="2"/>
        <v>東　Ｆ　Ｃ_10</v>
      </c>
      <c r="B147" s="218" t="s">
        <v>7055</v>
      </c>
      <c r="C147" s="218" t="str">
        <f>("10")</f>
        <v>10</v>
      </c>
      <c r="D147" s="218" t="s">
        <v>615</v>
      </c>
      <c r="E147" s="218" t="s">
        <v>735</v>
      </c>
      <c r="F147" s="218" t="s">
        <v>736</v>
      </c>
      <c r="G147" s="218">
        <v>6</v>
      </c>
      <c r="H147" s="218" t="s">
        <v>614</v>
      </c>
      <c r="I147" s="218" t="str">
        <f>("1401110050")</f>
        <v>1401110050</v>
      </c>
      <c r="J147" s="218" t="s">
        <v>159</v>
      </c>
    </row>
    <row r="148" spans="1:10" x14ac:dyDescent="0.15">
      <c r="A148" s="406" t="str">
        <f t="shared" si="2"/>
        <v>東　Ｆ　Ｃ_11</v>
      </c>
      <c r="B148" s="218" t="s">
        <v>7055</v>
      </c>
      <c r="C148" s="218" t="str">
        <f>("11")</f>
        <v>11</v>
      </c>
      <c r="D148" s="218" t="s">
        <v>615</v>
      </c>
      <c r="E148" s="218" t="s">
        <v>7068</v>
      </c>
      <c r="F148" s="218" t="s">
        <v>7069</v>
      </c>
      <c r="G148" s="218">
        <v>6</v>
      </c>
      <c r="H148" s="218" t="s">
        <v>616</v>
      </c>
      <c r="I148" s="218" t="str">
        <f>("1312270209")</f>
        <v>1312270209</v>
      </c>
    </row>
    <row r="149" spans="1:10" x14ac:dyDescent="0.15">
      <c r="A149" s="406" t="str">
        <f t="shared" si="2"/>
        <v>東　Ｆ　Ｃ_12</v>
      </c>
      <c r="B149" s="218" t="s">
        <v>7055</v>
      </c>
      <c r="C149" s="218" t="str">
        <f>("12")</f>
        <v>12</v>
      </c>
      <c r="D149" s="218" t="s">
        <v>624</v>
      </c>
      <c r="E149" s="218" t="s">
        <v>7070</v>
      </c>
      <c r="F149" s="218" t="s">
        <v>7071</v>
      </c>
      <c r="G149" s="218">
        <v>5</v>
      </c>
      <c r="H149" s="218" t="s">
        <v>614</v>
      </c>
      <c r="I149" s="218" t="str">
        <f>("1410180020")</f>
        <v>1410180020</v>
      </c>
    </row>
    <row r="150" spans="1:10" x14ac:dyDescent="0.15">
      <c r="A150" s="406" t="str">
        <f t="shared" si="2"/>
        <v>東　Ｆ　Ｃ_13</v>
      </c>
      <c r="B150" s="218" t="s">
        <v>7055</v>
      </c>
      <c r="C150" s="218" t="str">
        <f>("13")</f>
        <v>13</v>
      </c>
      <c r="D150" s="218" t="s">
        <v>615</v>
      </c>
      <c r="E150" s="218" t="s">
        <v>7072</v>
      </c>
      <c r="F150" s="218" t="s">
        <v>7073</v>
      </c>
      <c r="G150" s="218">
        <v>5</v>
      </c>
      <c r="H150" s="218" t="s">
        <v>614</v>
      </c>
      <c r="I150" s="218" t="str">
        <f>("1411180046")</f>
        <v>1411180046</v>
      </c>
    </row>
    <row r="151" spans="1:10" x14ac:dyDescent="0.15">
      <c r="A151" s="406" t="str">
        <f t="shared" si="2"/>
        <v>東　Ｆ　Ｃ_14</v>
      </c>
      <c r="B151" s="218" t="s">
        <v>7055</v>
      </c>
      <c r="C151" s="218" t="str">
        <f>("14")</f>
        <v>14</v>
      </c>
      <c r="D151" s="218" t="s">
        <v>615</v>
      </c>
      <c r="E151" s="218" t="s">
        <v>7074</v>
      </c>
      <c r="F151" s="218" t="s">
        <v>7075</v>
      </c>
      <c r="G151" s="218">
        <v>4</v>
      </c>
      <c r="H151" s="218" t="s">
        <v>614</v>
      </c>
      <c r="I151" s="218" t="str">
        <f>("1506020019")</f>
        <v>1506020019</v>
      </c>
    </row>
    <row r="152" spans="1:10" x14ac:dyDescent="0.15">
      <c r="A152" s="406" t="str">
        <f t="shared" si="2"/>
        <v>東　Ｆ　Ｃ_15</v>
      </c>
      <c r="B152" s="218" t="s">
        <v>7055</v>
      </c>
      <c r="C152" s="218" t="str">
        <f>("15")</f>
        <v>15</v>
      </c>
      <c r="D152" s="218" t="s">
        <v>615</v>
      </c>
      <c r="E152" s="218" t="s">
        <v>7076</v>
      </c>
      <c r="F152" s="218" t="s">
        <v>7077</v>
      </c>
      <c r="G152" s="218">
        <v>4</v>
      </c>
      <c r="H152" s="218" t="s">
        <v>614</v>
      </c>
      <c r="I152" s="218" t="str">
        <f>("1504230023")</f>
        <v>1504230023</v>
      </c>
    </row>
    <row r="153" spans="1:10" x14ac:dyDescent="0.15">
      <c r="A153" s="406" t="str">
        <f t="shared" si="2"/>
        <v>東　Ｆ　Ｃ_16</v>
      </c>
      <c r="B153" s="218" t="s">
        <v>7055</v>
      </c>
      <c r="C153" s="218" t="str">
        <f>("16")</f>
        <v>16</v>
      </c>
      <c r="D153" s="218" t="s">
        <v>623</v>
      </c>
      <c r="E153" s="218" t="s">
        <v>7078</v>
      </c>
      <c r="F153" s="218" t="s">
        <v>7079</v>
      </c>
      <c r="G153" s="218">
        <v>4</v>
      </c>
      <c r="H153" s="218" t="s">
        <v>614</v>
      </c>
      <c r="I153" s="218" t="str">
        <f>("1507140016")</f>
        <v>1507140016</v>
      </c>
    </row>
    <row r="154" spans="1:10" x14ac:dyDescent="0.15">
      <c r="A154" s="406" t="str">
        <f t="shared" si="2"/>
        <v>八坂少年サッカークラブ_1</v>
      </c>
      <c r="B154" s="218" t="s">
        <v>750</v>
      </c>
      <c r="C154" s="218" t="str">
        <f>("1")</f>
        <v>1</v>
      </c>
      <c r="D154" s="218" t="s">
        <v>624</v>
      </c>
      <c r="E154" s="218" t="s">
        <v>7080</v>
      </c>
      <c r="F154" s="218" t="s">
        <v>7081</v>
      </c>
      <c r="G154" s="218">
        <v>6</v>
      </c>
      <c r="H154" s="218" t="s">
        <v>614</v>
      </c>
      <c r="I154" s="218" t="str">
        <f>("1312260209")</f>
        <v>1312260209</v>
      </c>
    </row>
    <row r="155" spans="1:10" x14ac:dyDescent="0.15">
      <c r="A155" s="406" t="str">
        <f t="shared" si="2"/>
        <v>八坂少年サッカークラブ_3</v>
      </c>
      <c r="B155" s="218" t="s">
        <v>750</v>
      </c>
      <c r="C155" s="218" t="str">
        <f>("3")</f>
        <v>3</v>
      </c>
      <c r="D155" s="218" t="s">
        <v>623</v>
      </c>
      <c r="E155" s="218" t="s">
        <v>7082</v>
      </c>
      <c r="F155" s="218" t="s">
        <v>7083</v>
      </c>
      <c r="G155" s="218">
        <v>3</v>
      </c>
      <c r="H155" s="218" t="s">
        <v>616</v>
      </c>
      <c r="I155" s="218" t="str">
        <f>("1701040069")</f>
        <v>1701040069</v>
      </c>
    </row>
    <row r="156" spans="1:10" x14ac:dyDescent="0.15">
      <c r="A156" s="406" t="str">
        <f t="shared" si="2"/>
        <v>八坂少年サッカークラブ_5</v>
      </c>
      <c r="B156" s="218" t="s">
        <v>750</v>
      </c>
      <c r="C156" s="218" t="str">
        <f>("5")</f>
        <v>5</v>
      </c>
      <c r="D156" s="218" t="s">
        <v>615</v>
      </c>
      <c r="E156" s="218" t="s">
        <v>7084</v>
      </c>
      <c r="F156" s="218" t="s">
        <v>7085</v>
      </c>
      <c r="G156" s="218">
        <v>6</v>
      </c>
      <c r="H156" s="218" t="s">
        <v>614</v>
      </c>
      <c r="I156" s="218" t="str">
        <f>("1304040272")</f>
        <v>1304040272</v>
      </c>
    </row>
    <row r="157" spans="1:10" x14ac:dyDescent="0.15">
      <c r="A157" s="406" t="str">
        <f t="shared" si="2"/>
        <v>八坂少年サッカークラブ_6</v>
      </c>
      <c r="B157" s="218" t="s">
        <v>750</v>
      </c>
      <c r="C157" s="218" t="str">
        <f>("6")</f>
        <v>6</v>
      </c>
      <c r="D157" s="218" t="s">
        <v>615</v>
      </c>
      <c r="E157" s="218" t="s">
        <v>755</v>
      </c>
      <c r="F157" s="218" t="s">
        <v>756</v>
      </c>
      <c r="G157" s="218">
        <v>5</v>
      </c>
      <c r="H157" s="218" t="s">
        <v>614</v>
      </c>
      <c r="I157" s="218" t="str">
        <f>("1407190022")</f>
        <v>1407190022</v>
      </c>
    </row>
    <row r="158" spans="1:10" x14ac:dyDescent="0.15">
      <c r="A158" s="406" t="str">
        <f t="shared" si="2"/>
        <v>八坂少年サッカークラブ_7</v>
      </c>
      <c r="B158" s="218" t="s">
        <v>750</v>
      </c>
      <c r="C158" s="218" t="str">
        <f>("7")</f>
        <v>7</v>
      </c>
      <c r="D158" s="218" t="s">
        <v>611</v>
      </c>
      <c r="E158" s="218" t="s">
        <v>757</v>
      </c>
      <c r="F158" s="218" t="s">
        <v>758</v>
      </c>
      <c r="G158" s="218">
        <v>5</v>
      </c>
      <c r="H158" s="218" t="s">
        <v>614</v>
      </c>
      <c r="I158" s="218" t="str">
        <f>("1410280020")</f>
        <v>1410280020</v>
      </c>
    </row>
    <row r="159" spans="1:10" x14ac:dyDescent="0.15">
      <c r="A159" s="406" t="str">
        <f t="shared" si="2"/>
        <v>八坂少年サッカークラブ_8</v>
      </c>
      <c r="B159" s="218" t="s">
        <v>750</v>
      </c>
      <c r="C159" s="218" t="str">
        <f>("8")</f>
        <v>8</v>
      </c>
      <c r="D159" s="218" t="s">
        <v>623</v>
      </c>
      <c r="E159" s="218" t="s">
        <v>7086</v>
      </c>
      <c r="F159" s="218" t="s">
        <v>7087</v>
      </c>
      <c r="G159" s="218">
        <v>6</v>
      </c>
      <c r="H159" s="218" t="s">
        <v>614</v>
      </c>
      <c r="I159" s="218" t="str">
        <f>("1310230222")</f>
        <v>1310230222</v>
      </c>
    </row>
    <row r="160" spans="1:10" x14ac:dyDescent="0.15">
      <c r="A160" s="406" t="str">
        <f t="shared" si="2"/>
        <v>八坂少年サッカークラブ_9</v>
      </c>
      <c r="B160" s="218" t="s">
        <v>750</v>
      </c>
      <c r="C160" s="218" t="str">
        <f>("9")</f>
        <v>9</v>
      </c>
      <c r="D160" s="218" t="s">
        <v>611</v>
      </c>
      <c r="E160" s="218" t="s">
        <v>761</v>
      </c>
      <c r="F160" s="218" t="s">
        <v>762</v>
      </c>
      <c r="G160" s="218">
        <v>6</v>
      </c>
      <c r="H160" s="218" t="s">
        <v>614</v>
      </c>
      <c r="I160" s="218" t="str">
        <f>("1312130060")</f>
        <v>1312130060</v>
      </c>
      <c r="J160" s="218" t="s">
        <v>159</v>
      </c>
    </row>
    <row r="161" spans="1:10" x14ac:dyDescent="0.15">
      <c r="A161" s="406" t="str">
        <f t="shared" si="2"/>
        <v>八坂少年サッカークラブ_10</v>
      </c>
      <c r="B161" s="218" t="s">
        <v>750</v>
      </c>
      <c r="C161" s="218" t="str">
        <f>("10")</f>
        <v>10</v>
      </c>
      <c r="D161" s="218" t="s">
        <v>615</v>
      </c>
      <c r="E161" s="218" t="s">
        <v>763</v>
      </c>
      <c r="F161" s="218" t="s">
        <v>764</v>
      </c>
      <c r="G161" s="218">
        <v>6</v>
      </c>
      <c r="H161" s="218" t="s">
        <v>614</v>
      </c>
      <c r="I161" s="218" t="str">
        <f>("1309250073")</f>
        <v>1309250073</v>
      </c>
    </row>
    <row r="162" spans="1:10" x14ac:dyDescent="0.15">
      <c r="A162" s="406" t="str">
        <f t="shared" si="2"/>
        <v>八坂少年サッカークラブ_11</v>
      </c>
      <c r="B162" s="218" t="s">
        <v>750</v>
      </c>
      <c r="C162" s="218" t="str">
        <f>("11")</f>
        <v>11</v>
      </c>
      <c r="D162" s="218" t="s">
        <v>615</v>
      </c>
      <c r="E162" s="218" t="s">
        <v>7088</v>
      </c>
      <c r="F162" s="218" t="s">
        <v>4134</v>
      </c>
      <c r="G162" s="218">
        <v>5</v>
      </c>
      <c r="H162" s="218" t="s">
        <v>614</v>
      </c>
      <c r="I162" s="218" t="str">
        <f>("1405270139")</f>
        <v>1405270139</v>
      </c>
    </row>
    <row r="163" spans="1:10" x14ac:dyDescent="0.15">
      <c r="A163" s="406" t="str">
        <f t="shared" si="2"/>
        <v>八坂少年サッカークラブ_12</v>
      </c>
      <c r="B163" s="218" t="s">
        <v>750</v>
      </c>
      <c r="C163" s="218" t="str">
        <f>("12")</f>
        <v>12</v>
      </c>
      <c r="D163" s="218" t="s">
        <v>623</v>
      </c>
      <c r="E163" s="218" t="s">
        <v>7089</v>
      </c>
      <c r="F163" s="218" t="s">
        <v>7090</v>
      </c>
      <c r="G163" s="218">
        <v>4</v>
      </c>
      <c r="H163" s="218" t="s">
        <v>614</v>
      </c>
      <c r="I163" s="218" t="str">
        <f>("1509210042")</f>
        <v>1509210042</v>
      </c>
    </row>
    <row r="164" spans="1:10" x14ac:dyDescent="0.15">
      <c r="A164" s="406" t="str">
        <f t="shared" si="2"/>
        <v>八坂少年サッカークラブ_13</v>
      </c>
      <c r="B164" s="218" t="s">
        <v>750</v>
      </c>
      <c r="C164" s="218" t="str">
        <f>("13")</f>
        <v>13</v>
      </c>
      <c r="D164" s="218" t="s">
        <v>611</v>
      </c>
      <c r="E164" s="218" t="s">
        <v>759</v>
      </c>
      <c r="F164" s="218" t="s">
        <v>760</v>
      </c>
      <c r="G164" s="218">
        <v>5</v>
      </c>
      <c r="H164" s="218" t="s">
        <v>614</v>
      </c>
      <c r="I164" s="218" t="str">
        <f>("1406110041")</f>
        <v>1406110041</v>
      </c>
    </row>
    <row r="165" spans="1:10" x14ac:dyDescent="0.15">
      <c r="A165" s="406" t="str">
        <f t="shared" si="2"/>
        <v>国東ジュニアサッカークラブ_1</v>
      </c>
      <c r="B165" s="218" t="s">
        <v>765</v>
      </c>
      <c r="C165" s="218" t="str">
        <f>("1")</f>
        <v>1</v>
      </c>
      <c r="D165" s="218" t="s">
        <v>624</v>
      </c>
      <c r="E165" s="218" t="s">
        <v>7091</v>
      </c>
      <c r="F165" s="218" t="s">
        <v>7092</v>
      </c>
      <c r="G165" s="218">
        <v>5</v>
      </c>
      <c r="H165" s="218" t="s">
        <v>614</v>
      </c>
      <c r="I165" s="218" t="str">
        <f>("1503170187")</f>
        <v>1503170187</v>
      </c>
    </row>
    <row r="166" spans="1:10" x14ac:dyDescent="0.15">
      <c r="A166" s="406" t="str">
        <f t="shared" si="2"/>
        <v>国東ジュニアサッカークラブ_2</v>
      </c>
      <c r="B166" s="218" t="s">
        <v>765</v>
      </c>
      <c r="C166" s="218" t="str">
        <f>("2")</f>
        <v>2</v>
      </c>
      <c r="D166" s="218" t="s">
        <v>623</v>
      </c>
      <c r="E166" s="218" t="s">
        <v>7093</v>
      </c>
      <c r="F166" s="218" t="s">
        <v>7094</v>
      </c>
      <c r="G166" s="218">
        <v>4</v>
      </c>
      <c r="H166" s="218" t="s">
        <v>614</v>
      </c>
      <c r="I166" s="218" t="str">
        <f>("1506260182")</f>
        <v>1506260182</v>
      </c>
    </row>
    <row r="167" spans="1:10" x14ac:dyDescent="0.15">
      <c r="A167" s="406" t="str">
        <f t="shared" si="2"/>
        <v>国東ジュニアサッカークラブ_3</v>
      </c>
      <c r="B167" s="218" t="s">
        <v>765</v>
      </c>
      <c r="C167" s="218" t="str">
        <f>("3")</f>
        <v>3</v>
      </c>
      <c r="D167" s="218" t="s">
        <v>623</v>
      </c>
      <c r="E167" s="218" t="s">
        <v>7095</v>
      </c>
      <c r="F167" s="218" t="s">
        <v>7096</v>
      </c>
      <c r="G167" s="218">
        <v>5</v>
      </c>
      <c r="H167" s="218" t="s">
        <v>614</v>
      </c>
      <c r="I167" s="218" t="str">
        <f>("1503260176")</f>
        <v>1503260176</v>
      </c>
    </row>
    <row r="168" spans="1:10" x14ac:dyDescent="0.15">
      <c r="A168" s="406" t="str">
        <f t="shared" si="2"/>
        <v>国東ジュニアサッカークラブ_4</v>
      </c>
      <c r="B168" s="218" t="s">
        <v>765</v>
      </c>
      <c r="C168" s="218" t="str">
        <f>("4")</f>
        <v>4</v>
      </c>
      <c r="D168" s="218" t="s">
        <v>611</v>
      </c>
      <c r="E168" s="218" t="s">
        <v>768</v>
      </c>
      <c r="F168" s="218" t="s">
        <v>769</v>
      </c>
      <c r="G168" s="218">
        <v>6</v>
      </c>
      <c r="H168" s="218" t="s">
        <v>616</v>
      </c>
      <c r="I168" s="218" t="str">
        <f>("1307220159")</f>
        <v>1307220159</v>
      </c>
    </row>
    <row r="169" spans="1:10" x14ac:dyDescent="0.15">
      <c r="A169" s="406" t="str">
        <f t="shared" si="2"/>
        <v>国東ジュニアサッカークラブ_5</v>
      </c>
      <c r="B169" s="218" t="s">
        <v>765</v>
      </c>
      <c r="C169" s="218" t="str">
        <f>("5")</f>
        <v>5</v>
      </c>
      <c r="D169" s="218" t="s">
        <v>615</v>
      </c>
      <c r="E169" s="218" t="s">
        <v>783</v>
      </c>
      <c r="F169" s="218" t="s">
        <v>784</v>
      </c>
      <c r="G169" s="218">
        <v>5</v>
      </c>
      <c r="H169" s="218" t="s">
        <v>616</v>
      </c>
      <c r="I169" s="218" t="str">
        <f>("1404100127")</f>
        <v>1404100127</v>
      </c>
    </row>
    <row r="170" spans="1:10" x14ac:dyDescent="0.15">
      <c r="A170" s="406" t="str">
        <f t="shared" si="2"/>
        <v>国東ジュニアサッカークラブ_6</v>
      </c>
      <c r="B170" s="218" t="s">
        <v>765</v>
      </c>
      <c r="C170" s="218" t="str">
        <f>("6")</f>
        <v>6</v>
      </c>
      <c r="D170" s="218" t="s">
        <v>615</v>
      </c>
      <c r="E170" s="218" t="s">
        <v>770</v>
      </c>
      <c r="F170" s="218" t="s">
        <v>771</v>
      </c>
      <c r="G170" s="218">
        <v>6</v>
      </c>
      <c r="H170" s="218" t="s">
        <v>616</v>
      </c>
      <c r="I170" s="218" t="str">
        <f>("1312190127")</f>
        <v>1312190127</v>
      </c>
    </row>
    <row r="171" spans="1:10" x14ac:dyDescent="0.15">
      <c r="A171" s="406" t="str">
        <f t="shared" si="2"/>
        <v>国東ジュニアサッカークラブ_7</v>
      </c>
      <c r="B171" s="218" t="s">
        <v>765</v>
      </c>
      <c r="C171" s="218" t="str">
        <f>("7")</f>
        <v>7</v>
      </c>
      <c r="D171" s="218" t="s">
        <v>615</v>
      </c>
      <c r="E171" s="218" t="s">
        <v>7097</v>
      </c>
      <c r="F171" s="218" t="s">
        <v>7098</v>
      </c>
      <c r="G171" s="218">
        <v>6</v>
      </c>
      <c r="H171" s="218" t="s">
        <v>614</v>
      </c>
      <c r="I171" s="218" t="str">
        <f>("1403270130")</f>
        <v>1403270130</v>
      </c>
      <c r="J171" s="218" t="s">
        <v>159</v>
      </c>
    </row>
    <row r="172" spans="1:10" x14ac:dyDescent="0.15">
      <c r="A172" s="406" t="str">
        <f t="shared" si="2"/>
        <v>国東ジュニアサッカークラブ_8</v>
      </c>
      <c r="B172" s="218" t="s">
        <v>765</v>
      </c>
      <c r="C172" s="218" t="str">
        <f>("8")</f>
        <v>8</v>
      </c>
      <c r="D172" s="218" t="s">
        <v>611</v>
      </c>
      <c r="E172" s="218" t="s">
        <v>7099</v>
      </c>
      <c r="F172" s="218" t="s">
        <v>7100</v>
      </c>
      <c r="G172" s="218">
        <v>4</v>
      </c>
      <c r="H172" s="218" t="s">
        <v>614</v>
      </c>
      <c r="I172" s="218" t="str">
        <f>("1505130045")</f>
        <v>1505130045</v>
      </c>
    </row>
    <row r="173" spans="1:10" x14ac:dyDescent="0.15">
      <c r="A173" s="406" t="str">
        <f t="shared" si="2"/>
        <v>国東ジュニアサッカークラブ_9</v>
      </c>
      <c r="B173" s="218" t="s">
        <v>765</v>
      </c>
      <c r="C173" s="218" t="str">
        <f>("9")</f>
        <v>9</v>
      </c>
      <c r="D173" s="218" t="s">
        <v>623</v>
      </c>
      <c r="E173" s="218" t="s">
        <v>785</v>
      </c>
      <c r="F173" s="218" t="s">
        <v>786</v>
      </c>
      <c r="G173" s="218">
        <v>5</v>
      </c>
      <c r="H173" s="218" t="s">
        <v>614</v>
      </c>
      <c r="I173" s="218" t="str">
        <f>("1502170062")</f>
        <v>1502170062</v>
      </c>
    </row>
    <row r="174" spans="1:10" x14ac:dyDescent="0.15">
      <c r="A174" s="406" t="str">
        <f t="shared" si="2"/>
        <v>国東ジュニアサッカークラブ_10</v>
      </c>
      <c r="B174" s="218" t="s">
        <v>765</v>
      </c>
      <c r="C174" s="218" t="str">
        <f>("10")</f>
        <v>10</v>
      </c>
      <c r="D174" s="218" t="s">
        <v>615</v>
      </c>
      <c r="E174" s="218" t="s">
        <v>7101</v>
      </c>
      <c r="F174" s="218" t="s">
        <v>7102</v>
      </c>
      <c r="G174" s="218">
        <v>5</v>
      </c>
      <c r="H174" s="218" t="s">
        <v>614</v>
      </c>
      <c r="I174" s="218" t="str">
        <f>("1411230131")</f>
        <v>1411230131</v>
      </c>
    </row>
    <row r="175" spans="1:10" x14ac:dyDescent="0.15">
      <c r="A175" s="406" t="str">
        <f t="shared" si="2"/>
        <v>国東ジュニアサッカークラブ_11</v>
      </c>
      <c r="B175" s="218" t="s">
        <v>765</v>
      </c>
      <c r="C175" s="218" t="str">
        <f>("11")</f>
        <v>11</v>
      </c>
      <c r="D175" s="218" t="s">
        <v>611</v>
      </c>
      <c r="E175" s="218" t="s">
        <v>7103</v>
      </c>
      <c r="F175" s="218" t="s">
        <v>7104</v>
      </c>
      <c r="G175" s="218">
        <v>4</v>
      </c>
      <c r="H175" s="218" t="s">
        <v>614</v>
      </c>
      <c r="I175" s="218" t="str">
        <f>("1505130044")</f>
        <v>1505130044</v>
      </c>
    </row>
    <row r="176" spans="1:10" x14ac:dyDescent="0.15">
      <c r="A176" s="406" t="str">
        <f t="shared" si="2"/>
        <v>国東ジュニアサッカークラブ_16</v>
      </c>
      <c r="B176" s="218" t="s">
        <v>765</v>
      </c>
      <c r="C176" s="218" t="str">
        <f>("16")</f>
        <v>16</v>
      </c>
      <c r="D176" s="218" t="s">
        <v>623</v>
      </c>
      <c r="E176" s="218" t="s">
        <v>772</v>
      </c>
      <c r="F176" s="218" t="s">
        <v>773</v>
      </c>
      <c r="G176" s="218">
        <v>6</v>
      </c>
      <c r="H176" s="218" t="s">
        <v>614</v>
      </c>
      <c r="I176" s="218" t="str">
        <f>("1402100113")</f>
        <v>1402100113</v>
      </c>
    </row>
    <row r="177" spans="1:10" x14ac:dyDescent="0.15">
      <c r="A177" s="406" t="str">
        <f t="shared" si="2"/>
        <v>はやぶさフットボールクラブ_1</v>
      </c>
      <c r="B177" s="218" t="s">
        <v>787</v>
      </c>
      <c r="C177" s="218" t="str">
        <f>("1")</f>
        <v>1</v>
      </c>
      <c r="D177" s="218" t="s">
        <v>624</v>
      </c>
      <c r="E177" s="218" t="s">
        <v>796</v>
      </c>
      <c r="F177" s="218" t="s">
        <v>797</v>
      </c>
      <c r="G177" s="218">
        <v>6</v>
      </c>
      <c r="H177" s="218" t="s">
        <v>614</v>
      </c>
      <c r="I177" s="218" t="str">
        <f>("1306120149")</f>
        <v>1306120149</v>
      </c>
    </row>
    <row r="178" spans="1:10" x14ac:dyDescent="0.15">
      <c r="A178" s="406" t="str">
        <f t="shared" si="2"/>
        <v>はやぶさフットボールクラブ_2</v>
      </c>
      <c r="B178" s="218" t="s">
        <v>787</v>
      </c>
      <c r="C178" s="218" t="str">
        <f>("2")</f>
        <v>2</v>
      </c>
      <c r="D178" s="218" t="s">
        <v>623</v>
      </c>
      <c r="E178" s="218" t="s">
        <v>7105</v>
      </c>
      <c r="F178" s="218" t="s">
        <v>7106</v>
      </c>
      <c r="G178" s="218">
        <v>4</v>
      </c>
      <c r="H178" s="218" t="s">
        <v>614</v>
      </c>
      <c r="I178" s="218" t="str">
        <f>("1511260084")</f>
        <v>1511260084</v>
      </c>
    </row>
    <row r="179" spans="1:10" x14ac:dyDescent="0.15">
      <c r="A179" s="406" t="str">
        <f t="shared" si="2"/>
        <v>はやぶさフットボールクラブ_4</v>
      </c>
      <c r="B179" s="218" t="s">
        <v>787</v>
      </c>
      <c r="C179" s="218" t="str">
        <f>("4")</f>
        <v>4</v>
      </c>
      <c r="D179" s="218" t="s">
        <v>615</v>
      </c>
      <c r="E179" s="218" t="s">
        <v>7107</v>
      </c>
      <c r="F179" s="218" t="s">
        <v>7108</v>
      </c>
      <c r="G179" s="218">
        <v>4</v>
      </c>
      <c r="H179" s="218" t="s">
        <v>614</v>
      </c>
      <c r="I179" s="218" t="str">
        <f>("1510290188")</f>
        <v>1510290188</v>
      </c>
    </row>
    <row r="180" spans="1:10" x14ac:dyDescent="0.15">
      <c r="A180" s="406" t="str">
        <f t="shared" si="2"/>
        <v>はやぶさフットボールクラブ_5</v>
      </c>
      <c r="B180" s="218" t="s">
        <v>787</v>
      </c>
      <c r="C180" s="218" t="str">
        <f>("5")</f>
        <v>5</v>
      </c>
      <c r="D180" s="218" t="s">
        <v>611</v>
      </c>
      <c r="E180" s="218" t="s">
        <v>792</v>
      </c>
      <c r="F180" s="218" t="s">
        <v>793</v>
      </c>
      <c r="G180" s="218">
        <v>6</v>
      </c>
      <c r="H180" s="218" t="s">
        <v>614</v>
      </c>
      <c r="I180" s="218" t="str">
        <f>("1401250064")</f>
        <v>1401250064</v>
      </c>
    </row>
    <row r="181" spans="1:10" x14ac:dyDescent="0.15">
      <c r="A181" s="406" t="str">
        <f t="shared" si="2"/>
        <v>はやぶさフットボールクラブ_6</v>
      </c>
      <c r="B181" s="218" t="s">
        <v>787</v>
      </c>
      <c r="C181" s="218" t="str">
        <f>("6")</f>
        <v>6</v>
      </c>
      <c r="D181" s="218" t="s">
        <v>615</v>
      </c>
      <c r="E181" s="218" t="s">
        <v>7109</v>
      </c>
      <c r="F181" s="218" t="s">
        <v>7110</v>
      </c>
      <c r="G181" s="218">
        <v>5</v>
      </c>
      <c r="H181" s="218" t="s">
        <v>614</v>
      </c>
      <c r="I181" s="218" t="str">
        <f>("1411290017")</f>
        <v>1411290017</v>
      </c>
    </row>
    <row r="182" spans="1:10" x14ac:dyDescent="0.15">
      <c r="A182" s="406" t="str">
        <f t="shared" si="2"/>
        <v>はやぶさフットボールクラブ_7</v>
      </c>
      <c r="B182" s="218" t="s">
        <v>787</v>
      </c>
      <c r="C182" s="218" t="str">
        <f>("7")</f>
        <v>7</v>
      </c>
      <c r="D182" s="218" t="s">
        <v>611</v>
      </c>
      <c r="E182" s="218" t="s">
        <v>790</v>
      </c>
      <c r="F182" s="218" t="s">
        <v>791</v>
      </c>
      <c r="G182" s="218">
        <v>6</v>
      </c>
      <c r="H182" s="218" t="s">
        <v>614</v>
      </c>
      <c r="I182" s="218" t="str">
        <f>("1308060129")</f>
        <v>1308060129</v>
      </c>
    </row>
    <row r="183" spans="1:10" x14ac:dyDescent="0.15">
      <c r="A183" s="406" t="str">
        <f t="shared" si="2"/>
        <v>はやぶさフットボールクラブ_8</v>
      </c>
      <c r="B183" s="218" t="s">
        <v>787</v>
      </c>
      <c r="C183" s="218" t="str">
        <f>("8")</f>
        <v>8</v>
      </c>
      <c r="D183" s="218" t="s">
        <v>615</v>
      </c>
      <c r="E183" s="218" t="s">
        <v>7111</v>
      </c>
      <c r="F183" s="218" t="s">
        <v>7112</v>
      </c>
      <c r="G183" s="218">
        <v>5</v>
      </c>
      <c r="H183" s="218" t="s">
        <v>614</v>
      </c>
      <c r="I183" s="218" t="str">
        <f>("1412250037")</f>
        <v>1412250037</v>
      </c>
    </row>
    <row r="184" spans="1:10" x14ac:dyDescent="0.15">
      <c r="A184" s="406" t="str">
        <f t="shared" si="2"/>
        <v>はやぶさフットボールクラブ_9</v>
      </c>
      <c r="B184" s="218" t="s">
        <v>787</v>
      </c>
      <c r="C184" s="218" t="str">
        <f>("9")</f>
        <v>9</v>
      </c>
      <c r="D184" s="218" t="s">
        <v>623</v>
      </c>
      <c r="E184" s="218" t="s">
        <v>7113</v>
      </c>
      <c r="F184" s="218" t="s">
        <v>7114</v>
      </c>
      <c r="G184" s="218">
        <v>5</v>
      </c>
      <c r="H184" s="218" t="s">
        <v>614</v>
      </c>
      <c r="I184" s="218" t="str">
        <f>("1410310029")</f>
        <v>1410310029</v>
      </c>
    </row>
    <row r="185" spans="1:10" x14ac:dyDescent="0.15">
      <c r="A185" s="406" t="str">
        <f t="shared" si="2"/>
        <v>はやぶさフットボールクラブ_10</v>
      </c>
      <c r="B185" s="218" t="s">
        <v>787</v>
      </c>
      <c r="C185" s="218" t="str">
        <f>("10")</f>
        <v>10</v>
      </c>
      <c r="D185" s="218" t="s">
        <v>615</v>
      </c>
      <c r="E185" s="218" t="s">
        <v>788</v>
      </c>
      <c r="F185" s="218" t="s">
        <v>789</v>
      </c>
      <c r="G185" s="218">
        <v>6</v>
      </c>
      <c r="H185" s="218" t="s">
        <v>614</v>
      </c>
      <c r="I185" s="218" t="str">
        <f>("1305130096")</f>
        <v>1305130096</v>
      </c>
      <c r="J185" s="218" t="s">
        <v>159</v>
      </c>
    </row>
    <row r="186" spans="1:10" x14ac:dyDescent="0.15">
      <c r="A186" s="406" t="str">
        <f t="shared" si="2"/>
        <v>はやぶさフットボールクラブ_11</v>
      </c>
      <c r="B186" s="218" t="s">
        <v>787</v>
      </c>
      <c r="C186" s="218" t="str">
        <f>("11")</f>
        <v>11</v>
      </c>
      <c r="D186" s="218" t="s">
        <v>611</v>
      </c>
      <c r="E186" s="218" t="s">
        <v>794</v>
      </c>
      <c r="F186" s="218" t="s">
        <v>795</v>
      </c>
      <c r="G186" s="218">
        <v>6</v>
      </c>
      <c r="H186" s="218" t="s">
        <v>614</v>
      </c>
      <c r="I186" s="218" t="str">
        <f>("1308250133")</f>
        <v>1308250133</v>
      </c>
    </row>
    <row r="187" spans="1:10" x14ac:dyDescent="0.15">
      <c r="A187" s="406" t="str">
        <f t="shared" si="2"/>
        <v>はやぶさフットボールクラブ_12</v>
      </c>
      <c r="B187" s="218" t="s">
        <v>787</v>
      </c>
      <c r="C187" s="218" t="str">
        <f>("12")</f>
        <v>12</v>
      </c>
      <c r="D187" s="218" t="s">
        <v>624</v>
      </c>
      <c r="E187" s="218" t="s">
        <v>7115</v>
      </c>
      <c r="F187" s="218" t="s">
        <v>7116</v>
      </c>
      <c r="G187" s="218">
        <v>4</v>
      </c>
      <c r="H187" s="218" t="s">
        <v>614</v>
      </c>
      <c r="I187" s="218" t="str">
        <f>("1506190087")</f>
        <v>1506190087</v>
      </c>
    </row>
    <row r="188" spans="1:10" x14ac:dyDescent="0.15">
      <c r="A188" s="406" t="str">
        <f t="shared" si="2"/>
        <v>はやぶさフットボールクラブ_13</v>
      </c>
      <c r="B188" s="218" t="s">
        <v>787</v>
      </c>
      <c r="C188" s="218" t="str">
        <f>("13")</f>
        <v>13</v>
      </c>
      <c r="D188" s="218" t="s">
        <v>623</v>
      </c>
      <c r="E188" s="218" t="s">
        <v>7117</v>
      </c>
      <c r="F188" s="218" t="s">
        <v>7118</v>
      </c>
      <c r="G188" s="218">
        <v>5</v>
      </c>
      <c r="H188" s="218" t="s">
        <v>614</v>
      </c>
      <c r="I188" s="218" t="str">
        <f>("1410280205")</f>
        <v>1410280205</v>
      </c>
    </row>
    <row r="189" spans="1:10" x14ac:dyDescent="0.15">
      <c r="A189" s="406" t="str">
        <f t="shared" si="2"/>
        <v>鶴居ＳＳＳ_1</v>
      </c>
      <c r="B189" s="218" t="s">
        <v>798</v>
      </c>
      <c r="C189" s="218" t="str">
        <f>("1")</f>
        <v>1</v>
      </c>
      <c r="D189" s="218" t="s">
        <v>624</v>
      </c>
      <c r="E189" s="218" t="s">
        <v>7119</v>
      </c>
      <c r="F189" s="218" t="s">
        <v>7120</v>
      </c>
      <c r="G189" s="218">
        <v>6</v>
      </c>
      <c r="H189" s="218" t="s">
        <v>614</v>
      </c>
      <c r="I189" s="218" t="str">
        <f>("1308050226")</f>
        <v>1308050226</v>
      </c>
    </row>
    <row r="190" spans="1:10" x14ac:dyDescent="0.15">
      <c r="A190" s="406" t="str">
        <f t="shared" si="2"/>
        <v>鶴居ＳＳＳ_2</v>
      </c>
      <c r="B190" s="218" t="s">
        <v>798</v>
      </c>
      <c r="C190" s="218" t="str">
        <f>("2")</f>
        <v>2</v>
      </c>
      <c r="D190" s="218" t="s">
        <v>611</v>
      </c>
      <c r="E190" s="218" t="s">
        <v>7121</v>
      </c>
      <c r="F190" s="218" t="s">
        <v>7094</v>
      </c>
      <c r="G190" s="218">
        <v>5</v>
      </c>
      <c r="H190" s="218" t="s">
        <v>614</v>
      </c>
      <c r="I190" s="218" t="str">
        <f>("1404280183")</f>
        <v>1404280183</v>
      </c>
    </row>
    <row r="191" spans="1:10" x14ac:dyDescent="0.15">
      <c r="A191" s="406" t="str">
        <f t="shared" si="2"/>
        <v>鶴居ＳＳＳ_3</v>
      </c>
      <c r="B191" s="218" t="s">
        <v>798</v>
      </c>
      <c r="C191" s="218" t="str">
        <f>("3")</f>
        <v>3</v>
      </c>
      <c r="D191" s="218" t="s">
        <v>615</v>
      </c>
      <c r="E191" s="218" t="s">
        <v>7122</v>
      </c>
      <c r="F191" s="218" t="s">
        <v>625</v>
      </c>
      <c r="G191" s="218">
        <v>5</v>
      </c>
      <c r="H191" s="218" t="s">
        <v>614</v>
      </c>
      <c r="I191" s="218" t="str">
        <f>("1406300095")</f>
        <v>1406300095</v>
      </c>
    </row>
    <row r="192" spans="1:10" x14ac:dyDescent="0.15">
      <c r="A192" s="406" t="str">
        <f t="shared" si="2"/>
        <v>鶴居ＳＳＳ_4</v>
      </c>
      <c r="B192" s="218" t="s">
        <v>798</v>
      </c>
      <c r="C192" s="218" t="str">
        <f>("4")</f>
        <v>4</v>
      </c>
      <c r="D192" s="218" t="s">
        <v>611</v>
      </c>
      <c r="E192" s="218" t="s">
        <v>7123</v>
      </c>
      <c r="F192" s="218" t="s">
        <v>7124</v>
      </c>
      <c r="G192" s="218">
        <v>6</v>
      </c>
      <c r="H192" s="218" t="s">
        <v>614</v>
      </c>
      <c r="I192" s="218" t="str">
        <f>("1304150217")</f>
        <v>1304150217</v>
      </c>
    </row>
    <row r="193" spans="1:10" x14ac:dyDescent="0.15">
      <c r="A193" s="406" t="str">
        <f t="shared" ref="A193:A256" si="3">CONCATENATE(B193,"_",C193)</f>
        <v>鶴居ＳＳＳ_5</v>
      </c>
      <c r="B193" s="218" t="s">
        <v>798</v>
      </c>
      <c r="C193" s="218" t="str">
        <f>("5")</f>
        <v>5</v>
      </c>
      <c r="D193" s="218" t="s">
        <v>611</v>
      </c>
      <c r="E193" s="218" t="s">
        <v>7125</v>
      </c>
      <c r="F193" s="218" t="s">
        <v>7126</v>
      </c>
      <c r="G193" s="218">
        <v>5</v>
      </c>
      <c r="H193" s="218" t="s">
        <v>614</v>
      </c>
      <c r="I193" s="218" t="str">
        <f>("1408080190")</f>
        <v>1408080190</v>
      </c>
    </row>
    <row r="194" spans="1:10" x14ac:dyDescent="0.15">
      <c r="A194" s="406" t="str">
        <f t="shared" si="3"/>
        <v>鶴居ＳＳＳ_6</v>
      </c>
      <c r="B194" s="218" t="s">
        <v>798</v>
      </c>
      <c r="C194" s="218" t="str">
        <f>("6")</f>
        <v>6</v>
      </c>
      <c r="D194" s="218" t="s">
        <v>615</v>
      </c>
      <c r="E194" s="218" t="s">
        <v>7127</v>
      </c>
      <c r="F194" s="218" t="s">
        <v>7128</v>
      </c>
      <c r="G194" s="218">
        <v>5</v>
      </c>
      <c r="H194" s="218" t="s">
        <v>614</v>
      </c>
      <c r="I194" s="218" t="str">
        <f>("1501140095")</f>
        <v>1501140095</v>
      </c>
    </row>
    <row r="195" spans="1:10" x14ac:dyDescent="0.15">
      <c r="A195" s="406" t="str">
        <f t="shared" si="3"/>
        <v>鶴居ＳＳＳ_7</v>
      </c>
      <c r="B195" s="218" t="s">
        <v>798</v>
      </c>
      <c r="C195" s="218" t="str">
        <f>("7")</f>
        <v>7</v>
      </c>
      <c r="D195" s="218" t="s">
        <v>611</v>
      </c>
      <c r="E195" s="218" t="s">
        <v>7129</v>
      </c>
      <c r="F195" s="218" t="s">
        <v>7130</v>
      </c>
      <c r="G195" s="218">
        <v>6</v>
      </c>
      <c r="H195" s="218" t="s">
        <v>614</v>
      </c>
      <c r="I195" s="218" t="str">
        <f>("1402200110")</f>
        <v>1402200110</v>
      </c>
    </row>
    <row r="196" spans="1:10" x14ac:dyDescent="0.15">
      <c r="A196" s="406" t="str">
        <f t="shared" si="3"/>
        <v>鶴居ＳＳＳ_8</v>
      </c>
      <c r="B196" s="218" t="s">
        <v>798</v>
      </c>
      <c r="C196" s="218" t="str">
        <f>("8")</f>
        <v>8</v>
      </c>
      <c r="D196" s="218" t="s">
        <v>615</v>
      </c>
      <c r="E196" s="218" t="s">
        <v>7131</v>
      </c>
      <c r="F196" s="218" t="s">
        <v>7132</v>
      </c>
      <c r="G196" s="218">
        <v>5</v>
      </c>
      <c r="H196" s="218" t="s">
        <v>614</v>
      </c>
      <c r="I196" s="218" t="str">
        <f>("1404150128")</f>
        <v>1404150128</v>
      </c>
    </row>
    <row r="197" spans="1:10" x14ac:dyDescent="0.15">
      <c r="A197" s="406" t="str">
        <f t="shared" si="3"/>
        <v>鶴居ＳＳＳ_9</v>
      </c>
      <c r="B197" s="218" t="s">
        <v>798</v>
      </c>
      <c r="C197" s="218" t="str">
        <f>("9")</f>
        <v>9</v>
      </c>
      <c r="D197" s="218" t="s">
        <v>611</v>
      </c>
      <c r="E197" s="218" t="s">
        <v>7133</v>
      </c>
      <c r="F197" s="218" t="s">
        <v>7134</v>
      </c>
      <c r="G197" s="218">
        <v>5</v>
      </c>
      <c r="H197" s="218" t="s">
        <v>614</v>
      </c>
      <c r="I197" s="218" t="str">
        <f>("1406050174")</f>
        <v>1406050174</v>
      </c>
    </row>
    <row r="198" spans="1:10" x14ac:dyDescent="0.15">
      <c r="A198" s="406" t="str">
        <f t="shared" si="3"/>
        <v>鶴居ＳＳＳ_10</v>
      </c>
      <c r="B198" s="218" t="s">
        <v>798</v>
      </c>
      <c r="C198" s="218" t="str">
        <f>("10")</f>
        <v>10</v>
      </c>
      <c r="D198" s="218" t="s">
        <v>615</v>
      </c>
      <c r="E198" s="218" t="s">
        <v>7135</v>
      </c>
      <c r="F198" s="218" t="s">
        <v>7136</v>
      </c>
      <c r="G198" s="218">
        <v>6</v>
      </c>
      <c r="H198" s="218" t="s">
        <v>614</v>
      </c>
      <c r="I198" s="218" t="str">
        <f>("1312230114")</f>
        <v>1312230114</v>
      </c>
      <c r="J198" s="218" t="s">
        <v>159</v>
      </c>
    </row>
    <row r="199" spans="1:10" x14ac:dyDescent="0.15">
      <c r="A199" s="406" t="str">
        <f t="shared" si="3"/>
        <v>鶴居ＳＳＳ_11</v>
      </c>
      <c r="B199" s="218" t="s">
        <v>798</v>
      </c>
      <c r="C199" s="218" t="str">
        <f>("11")</f>
        <v>11</v>
      </c>
      <c r="D199" s="218" t="s">
        <v>623</v>
      </c>
      <c r="E199" s="218" t="s">
        <v>7137</v>
      </c>
      <c r="F199" s="218" t="s">
        <v>7138</v>
      </c>
      <c r="G199" s="218">
        <v>5</v>
      </c>
      <c r="H199" s="218" t="s">
        <v>614</v>
      </c>
      <c r="I199" s="218" t="str">
        <f>("1501100086")</f>
        <v>1501100086</v>
      </c>
    </row>
    <row r="200" spans="1:10" x14ac:dyDescent="0.15">
      <c r="A200" s="406" t="str">
        <f t="shared" si="3"/>
        <v>鶴居ＳＳＳ_12</v>
      </c>
      <c r="B200" s="218" t="s">
        <v>798</v>
      </c>
      <c r="C200" s="218" t="str">
        <f>("12")</f>
        <v>12</v>
      </c>
      <c r="D200" s="218" t="s">
        <v>624</v>
      </c>
      <c r="E200" s="218" t="s">
        <v>7139</v>
      </c>
      <c r="F200" s="218" t="s">
        <v>7140</v>
      </c>
      <c r="G200" s="218">
        <v>5</v>
      </c>
      <c r="H200" s="218" t="s">
        <v>614</v>
      </c>
      <c r="I200" s="218" t="str">
        <f>("1409300175")</f>
        <v>1409300175</v>
      </c>
    </row>
    <row r="201" spans="1:10" x14ac:dyDescent="0.15">
      <c r="A201" s="406" t="str">
        <f t="shared" si="3"/>
        <v>鶴居ＳＳＳ_13</v>
      </c>
      <c r="B201" s="218" t="s">
        <v>798</v>
      </c>
      <c r="C201" s="218" t="str">
        <f>("13")</f>
        <v>13</v>
      </c>
      <c r="D201" s="218" t="s">
        <v>615</v>
      </c>
      <c r="E201" s="218" t="s">
        <v>7141</v>
      </c>
      <c r="F201" s="218" t="s">
        <v>7142</v>
      </c>
      <c r="G201" s="218">
        <v>5</v>
      </c>
      <c r="H201" s="218" t="s">
        <v>614</v>
      </c>
      <c r="I201" s="218" t="str">
        <f>("1409150131")</f>
        <v>1409150131</v>
      </c>
    </row>
    <row r="202" spans="1:10" x14ac:dyDescent="0.15">
      <c r="A202" s="406" t="str">
        <f t="shared" si="3"/>
        <v>鶴居ＳＳＳ_14</v>
      </c>
      <c r="B202" s="218" t="s">
        <v>798</v>
      </c>
      <c r="C202" s="218" t="str">
        <f>("14")</f>
        <v>14</v>
      </c>
      <c r="D202" s="218" t="s">
        <v>615</v>
      </c>
      <c r="E202" s="218" t="s">
        <v>7143</v>
      </c>
      <c r="F202" s="218" t="s">
        <v>7144</v>
      </c>
      <c r="G202" s="218">
        <v>5</v>
      </c>
      <c r="H202" s="218" t="s">
        <v>614</v>
      </c>
      <c r="I202" s="218" t="str">
        <f>("1404260123")</f>
        <v>1404260123</v>
      </c>
    </row>
    <row r="203" spans="1:10" x14ac:dyDescent="0.15">
      <c r="A203" s="406" t="str">
        <f t="shared" si="3"/>
        <v>鶴居ＳＳＳ_15</v>
      </c>
      <c r="B203" s="218" t="s">
        <v>798</v>
      </c>
      <c r="C203" s="218" t="str">
        <f>("15")</f>
        <v>15</v>
      </c>
      <c r="D203" s="218" t="s">
        <v>611</v>
      </c>
      <c r="E203" s="218" t="s">
        <v>7145</v>
      </c>
      <c r="F203" s="218" t="s">
        <v>7146</v>
      </c>
      <c r="G203" s="218">
        <v>6</v>
      </c>
      <c r="H203" s="218" t="s">
        <v>614</v>
      </c>
      <c r="I203" s="218" t="str">
        <f>("1307300199")</f>
        <v>1307300199</v>
      </c>
    </row>
    <row r="204" spans="1:10" x14ac:dyDescent="0.15">
      <c r="A204" s="406" t="str">
        <f t="shared" si="3"/>
        <v>ＦＣ大野_2</v>
      </c>
      <c r="B204" s="218" t="s">
        <v>814</v>
      </c>
      <c r="C204" s="218" t="str">
        <f>("2")</f>
        <v>2</v>
      </c>
      <c r="D204" s="218" t="s">
        <v>623</v>
      </c>
      <c r="E204" s="218" t="s">
        <v>7147</v>
      </c>
      <c r="F204" s="218" t="s">
        <v>7148</v>
      </c>
      <c r="G204" s="218">
        <v>5</v>
      </c>
      <c r="H204" s="218" t="s">
        <v>614</v>
      </c>
      <c r="I204" s="218" t="str">
        <f>("1501310029")</f>
        <v>1501310029</v>
      </c>
    </row>
    <row r="205" spans="1:10" x14ac:dyDescent="0.15">
      <c r="A205" s="406" t="str">
        <f t="shared" si="3"/>
        <v>ＦＣ大野_4</v>
      </c>
      <c r="B205" s="218" t="s">
        <v>814</v>
      </c>
      <c r="C205" s="218" t="str">
        <f>("4")</f>
        <v>4</v>
      </c>
      <c r="D205" s="218" t="s">
        <v>611</v>
      </c>
      <c r="E205" s="218" t="s">
        <v>815</v>
      </c>
      <c r="F205" s="218" t="s">
        <v>816</v>
      </c>
      <c r="G205" s="218">
        <v>4</v>
      </c>
      <c r="H205" s="218" t="s">
        <v>614</v>
      </c>
      <c r="I205" s="218" t="str">
        <f>("1509060011")</f>
        <v>1509060011</v>
      </c>
    </row>
    <row r="206" spans="1:10" x14ac:dyDescent="0.15">
      <c r="A206" s="406" t="str">
        <f t="shared" si="3"/>
        <v>ＦＣ大野_5</v>
      </c>
      <c r="B206" s="218" t="s">
        <v>814</v>
      </c>
      <c r="C206" s="218" t="str">
        <f>("5")</f>
        <v>5</v>
      </c>
      <c r="D206" s="218" t="s">
        <v>611</v>
      </c>
      <c r="E206" s="218" t="s">
        <v>7149</v>
      </c>
      <c r="F206" s="218" t="s">
        <v>7150</v>
      </c>
      <c r="G206" s="218">
        <v>4</v>
      </c>
      <c r="H206" s="218" t="s">
        <v>614</v>
      </c>
      <c r="I206" s="218" t="str">
        <f>("1509010090")</f>
        <v>1509010090</v>
      </c>
    </row>
    <row r="207" spans="1:10" x14ac:dyDescent="0.15">
      <c r="A207" s="406" t="str">
        <f t="shared" si="3"/>
        <v>ＦＣ大野_6</v>
      </c>
      <c r="B207" s="218" t="s">
        <v>814</v>
      </c>
      <c r="C207" s="218" t="str">
        <f>("6")</f>
        <v>6</v>
      </c>
      <c r="D207" s="218" t="s">
        <v>615</v>
      </c>
      <c r="E207" s="218" t="s">
        <v>7151</v>
      </c>
      <c r="F207" s="218" t="s">
        <v>7152</v>
      </c>
      <c r="G207" s="218">
        <v>5</v>
      </c>
      <c r="H207" s="218" t="s">
        <v>614</v>
      </c>
      <c r="I207" s="218" t="str">
        <f>("1406060235")</f>
        <v>1406060235</v>
      </c>
    </row>
    <row r="208" spans="1:10" x14ac:dyDescent="0.15">
      <c r="A208" s="406" t="str">
        <f t="shared" si="3"/>
        <v>ＦＣ大野_7</v>
      </c>
      <c r="B208" s="218" t="s">
        <v>814</v>
      </c>
      <c r="C208" s="218" t="str">
        <f>("7")</f>
        <v>7</v>
      </c>
      <c r="D208" s="218" t="s">
        <v>623</v>
      </c>
      <c r="E208" s="218" t="s">
        <v>7153</v>
      </c>
      <c r="F208" s="218" t="s">
        <v>7154</v>
      </c>
      <c r="G208" s="218">
        <v>5</v>
      </c>
      <c r="H208" s="218" t="s">
        <v>616</v>
      </c>
      <c r="I208" s="218" t="str">
        <f>("1407070249")</f>
        <v>1407070249</v>
      </c>
    </row>
    <row r="209" spans="1:10" x14ac:dyDescent="0.15">
      <c r="A209" s="406" t="str">
        <f t="shared" si="3"/>
        <v>ＦＣ大野_8</v>
      </c>
      <c r="B209" s="218" t="s">
        <v>814</v>
      </c>
      <c r="C209" s="218" t="str">
        <f>("8")</f>
        <v>8</v>
      </c>
      <c r="D209" s="218" t="s">
        <v>611</v>
      </c>
      <c r="E209" s="218" t="s">
        <v>818</v>
      </c>
      <c r="F209" s="218" t="s">
        <v>819</v>
      </c>
      <c r="G209" s="218">
        <v>4</v>
      </c>
      <c r="H209" s="218" t="s">
        <v>616</v>
      </c>
      <c r="I209" s="218" t="str">
        <f>("1601230015")</f>
        <v>1601230015</v>
      </c>
    </row>
    <row r="210" spans="1:10" x14ac:dyDescent="0.15">
      <c r="A210" s="406" t="str">
        <f t="shared" si="3"/>
        <v>ＦＣ大野_9</v>
      </c>
      <c r="B210" s="218" t="s">
        <v>814</v>
      </c>
      <c r="C210" s="218" t="str">
        <f>("9")</f>
        <v>9</v>
      </c>
      <c r="D210" s="218" t="s">
        <v>615</v>
      </c>
      <c r="E210" s="218" t="s">
        <v>7155</v>
      </c>
      <c r="F210" s="218" t="s">
        <v>7156</v>
      </c>
      <c r="G210" s="218">
        <v>3</v>
      </c>
      <c r="H210" s="218" t="s">
        <v>614</v>
      </c>
      <c r="I210" s="218" t="str">
        <f>("1604020012")</f>
        <v>1604020012</v>
      </c>
    </row>
    <row r="211" spans="1:10" x14ac:dyDescent="0.15">
      <c r="A211" s="406" t="str">
        <f t="shared" si="3"/>
        <v>ＦＣ大野_11</v>
      </c>
      <c r="B211" s="218" t="s">
        <v>814</v>
      </c>
      <c r="C211" s="218" t="str">
        <f>("11")</f>
        <v>11</v>
      </c>
      <c r="D211" s="218" t="s">
        <v>623</v>
      </c>
      <c r="E211" s="218" t="s">
        <v>822</v>
      </c>
      <c r="F211" s="218" t="s">
        <v>823</v>
      </c>
      <c r="G211" s="218">
        <v>5</v>
      </c>
      <c r="H211" s="218" t="s">
        <v>614</v>
      </c>
      <c r="I211" s="218" t="str">
        <f>("1407090009")</f>
        <v>1407090009</v>
      </c>
    </row>
    <row r="212" spans="1:10" x14ac:dyDescent="0.15">
      <c r="A212" s="406" t="str">
        <f t="shared" si="3"/>
        <v>ＦＣ大野_12</v>
      </c>
      <c r="B212" s="218" t="s">
        <v>814</v>
      </c>
      <c r="C212" s="218" t="str">
        <f>("12")</f>
        <v>12</v>
      </c>
      <c r="D212" s="218" t="s">
        <v>623</v>
      </c>
      <c r="E212" s="218" t="s">
        <v>820</v>
      </c>
      <c r="F212" s="218" t="s">
        <v>821</v>
      </c>
      <c r="G212" s="218">
        <v>6</v>
      </c>
      <c r="H212" s="218" t="s">
        <v>614</v>
      </c>
      <c r="I212" s="218" t="str">
        <f>("1308130115")</f>
        <v>1308130115</v>
      </c>
      <c r="J212" s="218" t="s">
        <v>159</v>
      </c>
    </row>
    <row r="213" spans="1:10" x14ac:dyDescent="0.15">
      <c r="A213" s="406" t="str">
        <f t="shared" si="3"/>
        <v>ＦＣ大野_13</v>
      </c>
      <c r="B213" s="218" t="s">
        <v>814</v>
      </c>
      <c r="C213" s="218" t="str">
        <f>("13")</f>
        <v>13</v>
      </c>
      <c r="D213" s="218" t="s">
        <v>611</v>
      </c>
      <c r="E213" s="218" t="s">
        <v>7157</v>
      </c>
      <c r="F213" s="218" t="s">
        <v>7158</v>
      </c>
      <c r="G213" s="218">
        <v>5</v>
      </c>
      <c r="H213" s="218" t="s">
        <v>614</v>
      </c>
      <c r="I213" s="218" t="str">
        <f>("1407240117")</f>
        <v>1407240117</v>
      </c>
    </row>
    <row r="214" spans="1:10" x14ac:dyDescent="0.15">
      <c r="A214" s="406" t="str">
        <f t="shared" si="3"/>
        <v>ＦＣ大野_15</v>
      </c>
      <c r="B214" s="218" t="s">
        <v>814</v>
      </c>
      <c r="C214" s="218" t="str">
        <f>("15")</f>
        <v>15</v>
      </c>
      <c r="D214" s="218" t="s">
        <v>623</v>
      </c>
      <c r="E214" s="218" t="s">
        <v>826</v>
      </c>
      <c r="F214" s="218" t="s">
        <v>827</v>
      </c>
      <c r="G214" s="218">
        <v>5</v>
      </c>
      <c r="H214" s="218" t="s">
        <v>614</v>
      </c>
      <c r="I214" s="218" t="str">
        <f>("1404090072")</f>
        <v>1404090072</v>
      </c>
    </row>
    <row r="215" spans="1:10" x14ac:dyDescent="0.15">
      <c r="A215" s="406" t="str">
        <f t="shared" si="3"/>
        <v>ＦＣ大野_16</v>
      </c>
      <c r="B215" s="218" t="s">
        <v>814</v>
      </c>
      <c r="C215" s="218" t="str">
        <f>("16")</f>
        <v>16</v>
      </c>
      <c r="D215" s="218" t="s">
        <v>624</v>
      </c>
      <c r="E215" s="218" t="s">
        <v>7159</v>
      </c>
      <c r="F215" s="218" t="s">
        <v>7160</v>
      </c>
      <c r="G215" s="218">
        <v>4</v>
      </c>
      <c r="H215" s="218" t="s">
        <v>614</v>
      </c>
      <c r="I215" s="218" t="str">
        <f>("1604180042")</f>
        <v>1604180042</v>
      </c>
    </row>
    <row r="216" spans="1:10" x14ac:dyDescent="0.15">
      <c r="A216" s="406" t="str">
        <f t="shared" si="3"/>
        <v>ＦＣ大野_17</v>
      </c>
      <c r="B216" s="218" t="s">
        <v>814</v>
      </c>
      <c r="C216" s="218" t="str">
        <f>("17")</f>
        <v>17</v>
      </c>
      <c r="D216" s="218" t="s">
        <v>623</v>
      </c>
      <c r="E216" s="218" t="s">
        <v>7161</v>
      </c>
      <c r="F216" s="218" t="s">
        <v>7162</v>
      </c>
      <c r="G216" s="218">
        <v>4</v>
      </c>
      <c r="H216" s="218" t="s">
        <v>614</v>
      </c>
      <c r="I216" s="218" t="str">
        <f>("1509010091")</f>
        <v>1509010091</v>
      </c>
    </row>
    <row r="217" spans="1:10" x14ac:dyDescent="0.15">
      <c r="A217" s="406" t="str">
        <f t="shared" si="3"/>
        <v>ＦＣ大野_18</v>
      </c>
      <c r="B217" s="218" t="s">
        <v>814</v>
      </c>
      <c r="C217" s="218" t="str">
        <f>("18")</f>
        <v>18</v>
      </c>
      <c r="D217" s="218" t="s">
        <v>615</v>
      </c>
      <c r="E217" s="218" t="s">
        <v>7163</v>
      </c>
      <c r="F217" s="218" t="s">
        <v>7164</v>
      </c>
      <c r="G217" s="218">
        <v>4</v>
      </c>
      <c r="H217" s="218" t="s">
        <v>614</v>
      </c>
      <c r="I217" s="218" t="str">
        <f>("1603130026")</f>
        <v>1603130026</v>
      </c>
    </row>
    <row r="218" spans="1:10" x14ac:dyDescent="0.15">
      <c r="A218" s="406" t="str">
        <f t="shared" si="3"/>
        <v>ＦＣ大野_23</v>
      </c>
      <c r="B218" s="218" t="s">
        <v>814</v>
      </c>
      <c r="C218" s="218" t="str">
        <f>("23")</f>
        <v>23</v>
      </c>
      <c r="D218" s="218" t="s">
        <v>615</v>
      </c>
      <c r="E218" s="218" t="s">
        <v>7165</v>
      </c>
      <c r="F218" s="218" t="s">
        <v>7166</v>
      </c>
      <c r="G218" s="218">
        <v>4</v>
      </c>
      <c r="H218" s="218" t="s">
        <v>614</v>
      </c>
      <c r="I218" s="218" t="str">
        <f>("1505230088")</f>
        <v>1505230088</v>
      </c>
    </row>
    <row r="219" spans="1:10" x14ac:dyDescent="0.15">
      <c r="A219" s="406" t="str">
        <f t="shared" si="3"/>
        <v>鶴見ジュニアサッカークラブ_1</v>
      </c>
      <c r="B219" s="218" t="s">
        <v>829</v>
      </c>
      <c r="C219" s="218" t="str">
        <f>("1")</f>
        <v>1</v>
      </c>
      <c r="D219" s="218" t="s">
        <v>624</v>
      </c>
      <c r="E219" s="218" t="s">
        <v>7167</v>
      </c>
      <c r="F219" s="218" t="s">
        <v>7168</v>
      </c>
      <c r="G219" s="218">
        <v>6</v>
      </c>
      <c r="H219" s="218" t="s">
        <v>614</v>
      </c>
      <c r="I219" s="218" t="str">
        <f>("1311180144")</f>
        <v>1311180144</v>
      </c>
    </row>
    <row r="220" spans="1:10" x14ac:dyDescent="0.15">
      <c r="A220" s="406" t="str">
        <f t="shared" si="3"/>
        <v>鶴見ジュニアサッカークラブ_2</v>
      </c>
      <c r="B220" s="218" t="s">
        <v>829</v>
      </c>
      <c r="C220" s="218" t="str">
        <f>("2")</f>
        <v>2</v>
      </c>
      <c r="D220" s="218" t="s">
        <v>615</v>
      </c>
      <c r="E220" s="218" t="s">
        <v>7169</v>
      </c>
      <c r="F220" s="218" t="s">
        <v>7170</v>
      </c>
      <c r="G220" s="218">
        <v>4</v>
      </c>
      <c r="H220" s="218" t="s">
        <v>614</v>
      </c>
      <c r="I220" s="218" t="str">
        <f>("1506020184")</f>
        <v>1506020184</v>
      </c>
    </row>
    <row r="221" spans="1:10" x14ac:dyDescent="0.15">
      <c r="A221" s="406" t="str">
        <f t="shared" si="3"/>
        <v>鶴見ジュニアサッカークラブ_3</v>
      </c>
      <c r="B221" s="218" t="s">
        <v>829</v>
      </c>
      <c r="C221" s="218" t="str">
        <f>("3")</f>
        <v>3</v>
      </c>
      <c r="D221" s="218" t="s">
        <v>615</v>
      </c>
      <c r="E221" s="218" t="s">
        <v>7171</v>
      </c>
      <c r="F221" s="218" t="s">
        <v>7172</v>
      </c>
      <c r="G221" s="218">
        <v>4</v>
      </c>
      <c r="H221" s="218" t="s">
        <v>616</v>
      </c>
      <c r="I221" s="218" t="str">
        <f>("1504180068")</f>
        <v>1504180068</v>
      </c>
    </row>
    <row r="222" spans="1:10" x14ac:dyDescent="0.15">
      <c r="A222" s="406" t="str">
        <f t="shared" si="3"/>
        <v>鶴見ジュニアサッカークラブ_4</v>
      </c>
      <c r="B222" s="218" t="s">
        <v>829</v>
      </c>
      <c r="C222" s="218" t="str">
        <f>("4")</f>
        <v>4</v>
      </c>
      <c r="D222" s="218" t="s">
        <v>615</v>
      </c>
      <c r="E222" s="218" t="s">
        <v>7173</v>
      </c>
      <c r="F222" s="218" t="s">
        <v>7174</v>
      </c>
      <c r="G222" s="218">
        <v>6</v>
      </c>
      <c r="H222" s="218" t="s">
        <v>614</v>
      </c>
      <c r="I222" s="218" t="str">
        <f>("1310230153")</f>
        <v>1310230153</v>
      </c>
    </row>
    <row r="223" spans="1:10" x14ac:dyDescent="0.15">
      <c r="A223" s="406" t="str">
        <f t="shared" si="3"/>
        <v>鶴見ジュニアサッカークラブ_5</v>
      </c>
      <c r="B223" s="218" t="s">
        <v>829</v>
      </c>
      <c r="C223" s="218" t="str">
        <f>("5")</f>
        <v>5</v>
      </c>
      <c r="D223" s="218" t="s">
        <v>615</v>
      </c>
      <c r="E223" s="218" t="s">
        <v>7175</v>
      </c>
      <c r="F223" s="218" t="s">
        <v>7176</v>
      </c>
      <c r="G223" s="218">
        <v>6</v>
      </c>
      <c r="H223" s="218" t="s">
        <v>614</v>
      </c>
      <c r="I223" s="218" t="str">
        <f>("1311170094")</f>
        <v>1311170094</v>
      </c>
    </row>
    <row r="224" spans="1:10" x14ac:dyDescent="0.15">
      <c r="A224" s="406" t="str">
        <f t="shared" si="3"/>
        <v>鶴見ジュニアサッカークラブ_6</v>
      </c>
      <c r="B224" s="218" t="s">
        <v>829</v>
      </c>
      <c r="C224" s="218" t="str">
        <f>("6")</f>
        <v>6</v>
      </c>
      <c r="D224" s="218" t="s">
        <v>623</v>
      </c>
      <c r="E224" s="218" t="s">
        <v>7177</v>
      </c>
      <c r="F224" s="218" t="s">
        <v>7178</v>
      </c>
      <c r="G224" s="218">
        <v>4</v>
      </c>
      <c r="H224" s="218" t="s">
        <v>614</v>
      </c>
      <c r="I224" s="218" t="str">
        <f>("1601290133")</f>
        <v>1601290133</v>
      </c>
    </row>
    <row r="225" spans="1:10" x14ac:dyDescent="0.15">
      <c r="A225" s="406" t="str">
        <f t="shared" si="3"/>
        <v>鶴見ジュニアサッカークラブ_7</v>
      </c>
      <c r="B225" s="218" t="s">
        <v>829</v>
      </c>
      <c r="C225" s="218" t="str">
        <f>("7")</f>
        <v>7</v>
      </c>
      <c r="D225" s="218" t="s">
        <v>615</v>
      </c>
      <c r="E225" s="218" t="s">
        <v>7179</v>
      </c>
      <c r="F225" s="218" t="s">
        <v>7180</v>
      </c>
      <c r="G225" s="218">
        <v>6</v>
      </c>
      <c r="H225" s="218" t="s">
        <v>614</v>
      </c>
      <c r="I225" s="218" t="str">
        <f>("1307160161")</f>
        <v>1307160161</v>
      </c>
    </row>
    <row r="226" spans="1:10" x14ac:dyDescent="0.15">
      <c r="A226" s="406" t="str">
        <f t="shared" si="3"/>
        <v>鶴見ジュニアサッカークラブ_8</v>
      </c>
      <c r="B226" s="218" t="s">
        <v>829</v>
      </c>
      <c r="C226" s="218" t="str">
        <f>("8")</f>
        <v>8</v>
      </c>
      <c r="D226" s="218" t="s">
        <v>615</v>
      </c>
      <c r="E226" s="218" t="s">
        <v>7181</v>
      </c>
      <c r="F226" s="218" t="s">
        <v>7182</v>
      </c>
      <c r="G226" s="218">
        <v>5</v>
      </c>
      <c r="H226" s="218" t="s">
        <v>614</v>
      </c>
      <c r="I226" s="218" t="str">
        <f>("1412190161")</f>
        <v>1412190161</v>
      </c>
    </row>
    <row r="227" spans="1:10" x14ac:dyDescent="0.15">
      <c r="A227" s="406" t="str">
        <f t="shared" si="3"/>
        <v>鶴見ジュニアサッカークラブ_9</v>
      </c>
      <c r="B227" s="218" t="s">
        <v>829</v>
      </c>
      <c r="C227" s="218" t="str">
        <f>("9")</f>
        <v>9</v>
      </c>
      <c r="D227" s="218" t="s">
        <v>615</v>
      </c>
      <c r="E227" s="218" t="s">
        <v>7183</v>
      </c>
      <c r="F227" s="218" t="s">
        <v>7184</v>
      </c>
      <c r="G227" s="218">
        <v>5</v>
      </c>
      <c r="H227" s="218" t="s">
        <v>614</v>
      </c>
      <c r="I227" s="218" t="str">
        <f>("1411120157")</f>
        <v>1411120157</v>
      </c>
    </row>
    <row r="228" spans="1:10" x14ac:dyDescent="0.15">
      <c r="A228" s="406" t="str">
        <f t="shared" si="3"/>
        <v>鶴見ジュニアサッカークラブ_10</v>
      </c>
      <c r="B228" s="218" t="s">
        <v>829</v>
      </c>
      <c r="C228" s="218" t="str">
        <f>("10")</f>
        <v>10</v>
      </c>
      <c r="D228" s="218" t="s">
        <v>615</v>
      </c>
      <c r="E228" s="218" t="s">
        <v>7185</v>
      </c>
      <c r="F228" s="218" t="s">
        <v>7186</v>
      </c>
      <c r="G228" s="218">
        <v>6</v>
      </c>
      <c r="H228" s="218" t="s">
        <v>614</v>
      </c>
      <c r="I228" s="218" t="str">
        <f>("1401130090")</f>
        <v>1401130090</v>
      </c>
      <c r="J228" s="218" t="s">
        <v>159</v>
      </c>
    </row>
    <row r="229" spans="1:10" x14ac:dyDescent="0.15">
      <c r="A229" s="406" t="str">
        <f t="shared" si="3"/>
        <v>鶴見ジュニアサッカークラブ_11</v>
      </c>
      <c r="B229" s="218" t="s">
        <v>829</v>
      </c>
      <c r="C229" s="218" t="str">
        <f>("11")</f>
        <v>11</v>
      </c>
      <c r="D229" s="218" t="s">
        <v>615</v>
      </c>
      <c r="E229" s="218" t="s">
        <v>7187</v>
      </c>
      <c r="F229" s="218" t="s">
        <v>7188</v>
      </c>
      <c r="G229" s="218">
        <v>6</v>
      </c>
      <c r="H229" s="218" t="s">
        <v>614</v>
      </c>
      <c r="I229" s="218" t="str">
        <f>("1304080155")</f>
        <v>1304080155</v>
      </c>
    </row>
    <row r="230" spans="1:10" x14ac:dyDescent="0.15">
      <c r="A230" s="406" t="str">
        <f t="shared" si="3"/>
        <v>鶴見ジュニアサッカークラブ_13</v>
      </c>
      <c r="B230" s="218" t="s">
        <v>829</v>
      </c>
      <c r="C230" s="218" t="str">
        <f>("13")</f>
        <v>13</v>
      </c>
      <c r="D230" s="218" t="s">
        <v>615</v>
      </c>
      <c r="E230" s="218" t="s">
        <v>7189</v>
      </c>
      <c r="F230" s="218" t="s">
        <v>7190</v>
      </c>
      <c r="G230" s="218">
        <v>4</v>
      </c>
      <c r="H230" s="218" t="s">
        <v>614</v>
      </c>
      <c r="I230" s="218" t="str">
        <f>("1603210077")</f>
        <v>1603210077</v>
      </c>
    </row>
    <row r="231" spans="1:10" x14ac:dyDescent="0.15">
      <c r="A231" s="406" t="str">
        <f t="shared" si="3"/>
        <v>鶴見ジュニアサッカークラブ_14</v>
      </c>
      <c r="B231" s="218" t="s">
        <v>829</v>
      </c>
      <c r="C231" s="218" t="str">
        <f>("14")</f>
        <v>14</v>
      </c>
      <c r="D231" s="218" t="s">
        <v>615</v>
      </c>
      <c r="E231" s="218" t="s">
        <v>1364</v>
      </c>
      <c r="F231" s="218" t="s">
        <v>1365</v>
      </c>
      <c r="G231" s="218">
        <v>4</v>
      </c>
      <c r="H231" s="218" t="s">
        <v>614</v>
      </c>
      <c r="I231" s="218" t="str">
        <f>("1505020151")</f>
        <v>1505020151</v>
      </c>
    </row>
    <row r="232" spans="1:10" x14ac:dyDescent="0.15">
      <c r="A232" s="406" t="str">
        <f t="shared" si="3"/>
        <v>鶴見ジュニアサッカークラブ_15</v>
      </c>
      <c r="B232" s="218" t="s">
        <v>829</v>
      </c>
      <c r="C232" s="218" t="str">
        <f>("15")</f>
        <v>15</v>
      </c>
      <c r="D232" s="218" t="s">
        <v>615</v>
      </c>
      <c r="E232" s="218" t="s">
        <v>7191</v>
      </c>
      <c r="F232" s="218" t="s">
        <v>7192</v>
      </c>
      <c r="G232" s="218">
        <v>4</v>
      </c>
      <c r="H232" s="218" t="s">
        <v>614</v>
      </c>
      <c r="I232" s="218" t="str">
        <f>("1504200173")</f>
        <v>1504200173</v>
      </c>
    </row>
    <row r="233" spans="1:10" x14ac:dyDescent="0.15">
      <c r="A233" s="406" t="str">
        <f t="shared" si="3"/>
        <v>鶴見ジュニアサッカークラブ_18</v>
      </c>
      <c r="B233" s="218" t="s">
        <v>829</v>
      </c>
      <c r="C233" s="218" t="str">
        <f>("18")</f>
        <v>18</v>
      </c>
      <c r="D233" s="218" t="s">
        <v>615</v>
      </c>
      <c r="E233" s="218" t="s">
        <v>7193</v>
      </c>
      <c r="F233" s="218" t="s">
        <v>7194</v>
      </c>
      <c r="G233" s="218">
        <v>4</v>
      </c>
      <c r="H233" s="218" t="s">
        <v>614</v>
      </c>
      <c r="I233" s="218" t="str">
        <f>("1504120113")</f>
        <v>1504120113</v>
      </c>
    </row>
    <row r="234" spans="1:10" x14ac:dyDescent="0.15">
      <c r="A234" s="406" t="str">
        <f t="shared" si="3"/>
        <v>鶴見ジュニアサッカークラブ_21</v>
      </c>
      <c r="B234" s="218" t="s">
        <v>829</v>
      </c>
      <c r="C234" s="218" t="str">
        <f>("21")</f>
        <v>21</v>
      </c>
      <c r="D234" s="218" t="s">
        <v>624</v>
      </c>
      <c r="E234" s="218" t="s">
        <v>7195</v>
      </c>
      <c r="F234" s="218" t="s">
        <v>7196</v>
      </c>
      <c r="G234" s="218">
        <v>4</v>
      </c>
      <c r="H234" s="218" t="s">
        <v>614</v>
      </c>
      <c r="I234" s="218" t="str">
        <f>("1512160133")</f>
        <v>1512160133</v>
      </c>
    </row>
    <row r="235" spans="1:10" x14ac:dyDescent="0.15">
      <c r="A235" s="406" t="str">
        <f t="shared" si="3"/>
        <v>緑丘サッカースポーツ少年団_1</v>
      </c>
      <c r="B235" s="218" t="s">
        <v>831</v>
      </c>
      <c r="C235" s="218" t="str">
        <f>("1")</f>
        <v>1</v>
      </c>
      <c r="D235" s="218" t="s">
        <v>624</v>
      </c>
      <c r="E235" s="218" t="s">
        <v>7197</v>
      </c>
      <c r="F235" s="218" t="s">
        <v>7198</v>
      </c>
      <c r="G235" s="218">
        <v>5</v>
      </c>
      <c r="H235" s="218" t="s">
        <v>614</v>
      </c>
      <c r="I235" s="218" t="str">
        <f>("1502110075")</f>
        <v>1502110075</v>
      </c>
    </row>
    <row r="236" spans="1:10" x14ac:dyDescent="0.15">
      <c r="A236" s="406" t="str">
        <f t="shared" si="3"/>
        <v>緑丘サッカースポーツ少年団_2</v>
      </c>
      <c r="B236" s="218" t="s">
        <v>831</v>
      </c>
      <c r="C236" s="218" t="str">
        <f>("2")</f>
        <v>2</v>
      </c>
      <c r="D236" s="218" t="s">
        <v>611</v>
      </c>
      <c r="E236" s="218" t="s">
        <v>7199</v>
      </c>
      <c r="F236" s="218" t="s">
        <v>7200</v>
      </c>
      <c r="G236" s="218">
        <v>4</v>
      </c>
      <c r="H236" s="218" t="s">
        <v>616</v>
      </c>
      <c r="I236" s="218" t="str">
        <f>("1507060142")</f>
        <v>1507060142</v>
      </c>
    </row>
    <row r="237" spans="1:10" x14ac:dyDescent="0.15">
      <c r="A237" s="406" t="str">
        <f t="shared" si="3"/>
        <v>緑丘サッカースポーツ少年団_3</v>
      </c>
      <c r="B237" s="218" t="s">
        <v>831</v>
      </c>
      <c r="C237" s="218" t="str">
        <f>("3")</f>
        <v>3</v>
      </c>
      <c r="D237" s="218" t="s">
        <v>615</v>
      </c>
      <c r="E237" s="218" t="s">
        <v>7201</v>
      </c>
      <c r="F237" s="218" t="s">
        <v>7202</v>
      </c>
      <c r="G237" s="218">
        <v>3</v>
      </c>
      <c r="H237" s="218" t="s">
        <v>614</v>
      </c>
      <c r="I237" s="218" t="str">
        <f>("1606170105")</f>
        <v>1606170105</v>
      </c>
    </row>
    <row r="238" spans="1:10" x14ac:dyDescent="0.15">
      <c r="A238" s="406" t="str">
        <f t="shared" si="3"/>
        <v>緑丘サッカースポーツ少年団_4</v>
      </c>
      <c r="B238" s="218" t="s">
        <v>831</v>
      </c>
      <c r="C238" s="218" t="str">
        <f>("4")</f>
        <v>4</v>
      </c>
      <c r="D238" s="218" t="s">
        <v>623</v>
      </c>
      <c r="E238" s="218" t="s">
        <v>7203</v>
      </c>
      <c r="F238" s="218" t="s">
        <v>7204</v>
      </c>
      <c r="G238" s="218">
        <v>3</v>
      </c>
      <c r="H238" s="218" t="s">
        <v>614</v>
      </c>
      <c r="I238" s="218" t="str">
        <f>("1610040088")</f>
        <v>1610040088</v>
      </c>
    </row>
    <row r="239" spans="1:10" x14ac:dyDescent="0.15">
      <c r="A239" s="406" t="str">
        <f t="shared" si="3"/>
        <v>緑丘サッカースポーツ少年団_5</v>
      </c>
      <c r="B239" s="218" t="s">
        <v>831</v>
      </c>
      <c r="C239" s="218" t="str">
        <f>("5")</f>
        <v>5</v>
      </c>
      <c r="D239" s="218" t="s">
        <v>615</v>
      </c>
      <c r="E239" s="218" t="s">
        <v>7205</v>
      </c>
      <c r="F239" s="218" t="s">
        <v>7206</v>
      </c>
      <c r="G239" s="218">
        <v>3</v>
      </c>
      <c r="H239" s="218" t="s">
        <v>614</v>
      </c>
      <c r="I239" s="218" t="str">
        <f>("1608200071")</f>
        <v>1608200071</v>
      </c>
    </row>
    <row r="240" spans="1:10" x14ac:dyDescent="0.15">
      <c r="A240" s="406" t="str">
        <f t="shared" si="3"/>
        <v>緑丘サッカースポーツ少年団_6</v>
      </c>
      <c r="B240" s="218" t="s">
        <v>831</v>
      </c>
      <c r="C240" s="218" t="str">
        <f>("6")</f>
        <v>6</v>
      </c>
      <c r="D240" s="218" t="s">
        <v>615</v>
      </c>
      <c r="E240" s="218" t="s">
        <v>7207</v>
      </c>
      <c r="F240" s="218" t="s">
        <v>7208</v>
      </c>
      <c r="G240" s="218">
        <v>5</v>
      </c>
      <c r="H240" s="218" t="s">
        <v>614</v>
      </c>
      <c r="I240" s="218" t="str">
        <f>("1503120097")</f>
        <v>1503120097</v>
      </c>
    </row>
    <row r="241" spans="1:10" x14ac:dyDescent="0.15">
      <c r="A241" s="406" t="str">
        <f t="shared" si="3"/>
        <v>緑丘サッカースポーツ少年団_7</v>
      </c>
      <c r="B241" s="218" t="s">
        <v>831</v>
      </c>
      <c r="C241" s="218" t="str">
        <f>("7")</f>
        <v>7</v>
      </c>
      <c r="D241" s="218" t="s">
        <v>615</v>
      </c>
      <c r="E241" s="218" t="s">
        <v>7209</v>
      </c>
      <c r="F241" s="218" t="s">
        <v>7210</v>
      </c>
      <c r="G241" s="218">
        <v>5</v>
      </c>
      <c r="H241" s="218" t="s">
        <v>614</v>
      </c>
      <c r="I241" s="218" t="str">
        <f>("1405080142")</f>
        <v>1405080142</v>
      </c>
    </row>
    <row r="242" spans="1:10" x14ac:dyDescent="0.15">
      <c r="A242" s="406" t="str">
        <f t="shared" si="3"/>
        <v>緑丘サッカースポーツ少年団_8</v>
      </c>
      <c r="B242" s="218" t="s">
        <v>831</v>
      </c>
      <c r="C242" s="218" t="str">
        <f>("8")</f>
        <v>8</v>
      </c>
      <c r="D242" s="218" t="s">
        <v>615</v>
      </c>
      <c r="E242" s="218" t="s">
        <v>833</v>
      </c>
      <c r="F242" s="218" t="s">
        <v>834</v>
      </c>
      <c r="G242" s="218">
        <v>6</v>
      </c>
      <c r="H242" s="218" t="s">
        <v>614</v>
      </c>
      <c r="I242" s="218" t="str">
        <f>("1308080115")</f>
        <v>1308080115</v>
      </c>
    </row>
    <row r="243" spans="1:10" x14ac:dyDescent="0.15">
      <c r="A243" s="406" t="str">
        <f t="shared" si="3"/>
        <v>緑丘サッカースポーツ少年団_9</v>
      </c>
      <c r="B243" s="218" t="s">
        <v>831</v>
      </c>
      <c r="C243" s="218" t="str">
        <f>("9")</f>
        <v>9</v>
      </c>
      <c r="D243" s="218" t="s">
        <v>611</v>
      </c>
      <c r="E243" s="218" t="s">
        <v>837</v>
      </c>
      <c r="F243" s="218" t="s">
        <v>838</v>
      </c>
      <c r="G243" s="218">
        <v>6</v>
      </c>
      <c r="H243" s="218" t="s">
        <v>614</v>
      </c>
      <c r="I243" s="218" t="str">
        <f>("1305180112")</f>
        <v>1305180112</v>
      </c>
    </row>
    <row r="244" spans="1:10" x14ac:dyDescent="0.15">
      <c r="A244" s="406" t="str">
        <f t="shared" si="3"/>
        <v>緑丘サッカースポーツ少年団_10</v>
      </c>
      <c r="B244" s="218" t="s">
        <v>831</v>
      </c>
      <c r="C244" s="218" t="str">
        <f>("10")</f>
        <v>10</v>
      </c>
      <c r="D244" s="218" t="s">
        <v>615</v>
      </c>
      <c r="E244" s="218" t="s">
        <v>835</v>
      </c>
      <c r="F244" s="218" t="s">
        <v>836</v>
      </c>
      <c r="G244" s="218">
        <v>6</v>
      </c>
      <c r="H244" s="218" t="s">
        <v>614</v>
      </c>
      <c r="I244" s="218" t="str">
        <f>("1305220124")</f>
        <v>1305220124</v>
      </c>
      <c r="J244" s="218" t="s">
        <v>159</v>
      </c>
    </row>
    <row r="245" spans="1:10" x14ac:dyDescent="0.15">
      <c r="A245" s="406" t="str">
        <f t="shared" si="3"/>
        <v>緑丘サッカースポーツ少年団_11</v>
      </c>
      <c r="B245" s="218" t="s">
        <v>831</v>
      </c>
      <c r="C245" s="218" t="str">
        <f>("11")</f>
        <v>11</v>
      </c>
      <c r="D245" s="218" t="s">
        <v>615</v>
      </c>
      <c r="E245" s="218" t="s">
        <v>7211</v>
      </c>
      <c r="F245" s="218" t="s">
        <v>7212</v>
      </c>
      <c r="G245" s="218">
        <v>4</v>
      </c>
      <c r="H245" s="218" t="s">
        <v>614</v>
      </c>
      <c r="I245" s="218" t="str">
        <f>("1509040110")</f>
        <v>1509040110</v>
      </c>
    </row>
    <row r="246" spans="1:10" x14ac:dyDescent="0.15">
      <c r="A246" s="406" t="str">
        <f t="shared" si="3"/>
        <v>緑丘サッカースポーツ少年団_12</v>
      </c>
      <c r="B246" s="218" t="s">
        <v>831</v>
      </c>
      <c r="C246" s="218" t="str">
        <f>("12")</f>
        <v>12</v>
      </c>
      <c r="D246" s="218" t="s">
        <v>615</v>
      </c>
      <c r="E246" s="218" t="s">
        <v>7213</v>
      </c>
      <c r="F246" s="218" t="s">
        <v>7214</v>
      </c>
      <c r="G246" s="218">
        <v>3</v>
      </c>
      <c r="H246" s="218" t="s">
        <v>614</v>
      </c>
      <c r="I246" s="218" t="str">
        <f>("1610170084")</f>
        <v>1610170084</v>
      </c>
    </row>
    <row r="247" spans="1:10" x14ac:dyDescent="0.15">
      <c r="A247" s="406" t="str">
        <f t="shared" si="3"/>
        <v>緑丘サッカースポーツ少年団_13</v>
      </c>
      <c r="B247" s="218" t="s">
        <v>831</v>
      </c>
      <c r="C247" s="218" t="str">
        <f>("13")</f>
        <v>13</v>
      </c>
      <c r="D247" s="218" t="s">
        <v>611</v>
      </c>
      <c r="E247" s="218" t="s">
        <v>7215</v>
      </c>
      <c r="F247" s="218" t="s">
        <v>7216</v>
      </c>
      <c r="G247" s="218">
        <v>3</v>
      </c>
      <c r="H247" s="218" t="s">
        <v>614</v>
      </c>
      <c r="I247" s="218" t="str">
        <f>("1608260104")</f>
        <v>1608260104</v>
      </c>
    </row>
    <row r="248" spans="1:10" x14ac:dyDescent="0.15">
      <c r="A248" s="406" t="str">
        <f t="shared" si="3"/>
        <v>緑丘サッカースポーツ少年団_14</v>
      </c>
      <c r="B248" s="218" t="s">
        <v>831</v>
      </c>
      <c r="C248" s="218" t="str">
        <f>("14")</f>
        <v>14</v>
      </c>
      <c r="D248" s="218" t="s">
        <v>615</v>
      </c>
      <c r="E248" s="218" t="s">
        <v>7217</v>
      </c>
      <c r="F248" s="218" t="s">
        <v>7218</v>
      </c>
      <c r="G248" s="218">
        <v>3</v>
      </c>
      <c r="H248" s="218" t="s">
        <v>614</v>
      </c>
      <c r="I248" s="218" t="str">
        <f>("1701050091")</f>
        <v>1701050091</v>
      </c>
    </row>
    <row r="249" spans="1:10" x14ac:dyDescent="0.15">
      <c r="A249" s="406" t="str">
        <f t="shared" si="3"/>
        <v>緑丘サッカースポーツ少年団_15</v>
      </c>
      <c r="B249" s="218" t="s">
        <v>831</v>
      </c>
      <c r="C249" s="218" t="str">
        <f>("15")</f>
        <v>15</v>
      </c>
      <c r="D249" s="218" t="s">
        <v>623</v>
      </c>
      <c r="E249" s="218" t="s">
        <v>7219</v>
      </c>
      <c r="F249" s="218" t="s">
        <v>7220</v>
      </c>
      <c r="G249" s="218">
        <v>3</v>
      </c>
      <c r="H249" s="218" t="s">
        <v>614</v>
      </c>
      <c r="I249" s="218" t="str">
        <f>("1701160074")</f>
        <v>1701160074</v>
      </c>
    </row>
    <row r="250" spans="1:10" x14ac:dyDescent="0.15">
      <c r="A250" s="406" t="str">
        <f t="shared" si="3"/>
        <v>緑丘サッカースポーツ少年団_16</v>
      </c>
      <c r="B250" s="218" t="s">
        <v>831</v>
      </c>
      <c r="C250" s="218" t="str">
        <f>("16")</f>
        <v>16</v>
      </c>
      <c r="D250" s="218" t="s">
        <v>624</v>
      </c>
      <c r="E250" s="218" t="s">
        <v>7221</v>
      </c>
      <c r="F250" s="218" t="s">
        <v>7222</v>
      </c>
      <c r="G250" s="218">
        <v>4</v>
      </c>
      <c r="H250" s="218" t="s">
        <v>614</v>
      </c>
      <c r="I250" s="218" t="str">
        <f>("1507100138")</f>
        <v>1507100138</v>
      </c>
    </row>
    <row r="251" spans="1:10" x14ac:dyDescent="0.15">
      <c r="A251" s="406" t="str">
        <f t="shared" si="3"/>
        <v>Ｓｈｙｎｔ　ＦＣ_1</v>
      </c>
      <c r="B251" s="218" t="s">
        <v>839</v>
      </c>
      <c r="C251" s="218" t="str">
        <f>("1")</f>
        <v>1</v>
      </c>
      <c r="D251" s="218" t="s">
        <v>624</v>
      </c>
      <c r="E251" s="218" t="s">
        <v>7223</v>
      </c>
      <c r="F251" s="218" t="s">
        <v>7224</v>
      </c>
      <c r="G251" s="218">
        <v>6</v>
      </c>
      <c r="H251" s="218" t="s">
        <v>614</v>
      </c>
      <c r="I251" s="218" t="str">
        <f>("1307310164")</f>
        <v>1307310164</v>
      </c>
    </row>
    <row r="252" spans="1:10" x14ac:dyDescent="0.15">
      <c r="A252" s="406" t="str">
        <f t="shared" si="3"/>
        <v>Ｓｈｙｎｔ　ＦＣ_2</v>
      </c>
      <c r="B252" s="218" t="s">
        <v>839</v>
      </c>
      <c r="C252" s="218" t="str">
        <f>("2")</f>
        <v>2</v>
      </c>
      <c r="D252" s="218" t="s">
        <v>623</v>
      </c>
      <c r="E252" s="218" t="s">
        <v>7225</v>
      </c>
      <c r="F252" s="218" t="s">
        <v>7226</v>
      </c>
      <c r="G252" s="218">
        <v>5</v>
      </c>
      <c r="H252" s="218" t="s">
        <v>614</v>
      </c>
      <c r="I252" s="218" t="str">
        <f>("1408160126")</f>
        <v>1408160126</v>
      </c>
    </row>
    <row r="253" spans="1:10" x14ac:dyDescent="0.15">
      <c r="A253" s="406" t="str">
        <f t="shared" si="3"/>
        <v>Ｓｈｙｎｔ　ＦＣ_3</v>
      </c>
      <c r="B253" s="218" t="s">
        <v>839</v>
      </c>
      <c r="C253" s="218" t="str">
        <f>("3")</f>
        <v>3</v>
      </c>
      <c r="D253" s="218" t="s">
        <v>611</v>
      </c>
      <c r="E253" s="218" t="s">
        <v>7227</v>
      </c>
      <c r="F253" s="218" t="s">
        <v>7228</v>
      </c>
      <c r="G253" s="218">
        <v>5</v>
      </c>
      <c r="H253" s="218" t="s">
        <v>614</v>
      </c>
      <c r="I253" s="218" t="str">
        <f>("1409270133")</f>
        <v>1409270133</v>
      </c>
    </row>
    <row r="254" spans="1:10" x14ac:dyDescent="0.15">
      <c r="A254" s="406" t="str">
        <f t="shared" si="3"/>
        <v>Ｓｈｙｎｔ　ＦＣ_4</v>
      </c>
      <c r="B254" s="218" t="s">
        <v>839</v>
      </c>
      <c r="C254" s="218" t="str">
        <f>("4")</f>
        <v>4</v>
      </c>
      <c r="D254" s="218" t="s">
        <v>623</v>
      </c>
      <c r="E254" s="218" t="s">
        <v>7229</v>
      </c>
      <c r="F254" s="218" t="s">
        <v>7230</v>
      </c>
      <c r="G254" s="218">
        <v>5</v>
      </c>
      <c r="H254" s="218" t="s">
        <v>614</v>
      </c>
      <c r="I254" s="218" t="str">
        <f>("1501310117")</f>
        <v>1501310117</v>
      </c>
    </row>
    <row r="255" spans="1:10" x14ac:dyDescent="0.15">
      <c r="A255" s="406" t="str">
        <f t="shared" si="3"/>
        <v>Ｓｈｙｎｔ　ＦＣ_5</v>
      </c>
      <c r="B255" s="218" t="s">
        <v>839</v>
      </c>
      <c r="C255" s="218" t="str">
        <f>("5")</f>
        <v>5</v>
      </c>
      <c r="D255" s="218" t="s">
        <v>615</v>
      </c>
      <c r="E255" s="218" t="s">
        <v>7231</v>
      </c>
      <c r="F255" s="218" t="s">
        <v>7232</v>
      </c>
      <c r="G255" s="218">
        <v>5</v>
      </c>
      <c r="H255" s="218" t="s">
        <v>616</v>
      </c>
      <c r="I255" s="218" t="str">
        <f>("1410040153")</f>
        <v>1410040153</v>
      </c>
    </row>
    <row r="256" spans="1:10" x14ac:dyDescent="0.15">
      <c r="A256" s="406" t="str">
        <f t="shared" si="3"/>
        <v>Ｓｈｙｎｔ　ＦＣ_6</v>
      </c>
      <c r="B256" s="218" t="s">
        <v>839</v>
      </c>
      <c r="C256" s="218" t="str">
        <f>("6")</f>
        <v>6</v>
      </c>
      <c r="D256" s="218" t="s">
        <v>611</v>
      </c>
      <c r="E256" s="218" t="s">
        <v>7233</v>
      </c>
      <c r="F256" s="218" t="s">
        <v>7234</v>
      </c>
      <c r="G256" s="218">
        <v>6</v>
      </c>
      <c r="H256" s="218" t="s">
        <v>616</v>
      </c>
      <c r="I256" s="218" t="str">
        <f>("1401270196")</f>
        <v>1401270196</v>
      </c>
    </row>
    <row r="257" spans="1:10" x14ac:dyDescent="0.15">
      <c r="A257" s="406" t="str">
        <f t="shared" ref="A257:A320" si="4">CONCATENATE(B257,"_",C257)</f>
        <v>Ｓｈｙｎｔ　ＦＣ_8</v>
      </c>
      <c r="B257" s="218" t="s">
        <v>839</v>
      </c>
      <c r="C257" s="218" t="str">
        <f>("8")</f>
        <v>8</v>
      </c>
      <c r="D257" s="218" t="s">
        <v>611</v>
      </c>
      <c r="E257" s="218" t="s">
        <v>7235</v>
      </c>
      <c r="F257" s="218" t="s">
        <v>7236</v>
      </c>
      <c r="G257" s="218">
        <v>6</v>
      </c>
      <c r="H257" s="218" t="s">
        <v>614</v>
      </c>
      <c r="I257" s="218" t="str">
        <f>("1307260289")</f>
        <v>1307260289</v>
      </c>
    </row>
    <row r="258" spans="1:10" x14ac:dyDescent="0.15">
      <c r="A258" s="406" t="str">
        <f t="shared" si="4"/>
        <v>Ｓｈｙｎｔ　ＦＣ_9</v>
      </c>
      <c r="B258" s="218" t="s">
        <v>839</v>
      </c>
      <c r="C258" s="218" t="str">
        <f>("9")</f>
        <v>9</v>
      </c>
      <c r="D258" s="218" t="s">
        <v>611</v>
      </c>
      <c r="E258" s="218" t="s">
        <v>7237</v>
      </c>
      <c r="F258" s="218" t="s">
        <v>7238</v>
      </c>
      <c r="G258" s="218">
        <v>6</v>
      </c>
      <c r="H258" s="218" t="s">
        <v>614</v>
      </c>
      <c r="I258" s="218" t="str">
        <f>("1306010125")</f>
        <v>1306010125</v>
      </c>
    </row>
    <row r="259" spans="1:10" x14ac:dyDescent="0.15">
      <c r="A259" s="406" t="str">
        <f t="shared" si="4"/>
        <v>Ｓｈｙｎｔ　ＦＣ_10</v>
      </c>
      <c r="B259" s="218" t="s">
        <v>839</v>
      </c>
      <c r="C259" s="218" t="str">
        <f>("10")</f>
        <v>10</v>
      </c>
      <c r="D259" s="218" t="s">
        <v>615</v>
      </c>
      <c r="E259" s="218" t="s">
        <v>7239</v>
      </c>
      <c r="F259" s="218" t="s">
        <v>7240</v>
      </c>
      <c r="G259" s="218">
        <v>6</v>
      </c>
      <c r="H259" s="218" t="s">
        <v>614</v>
      </c>
      <c r="I259" s="218" t="str">
        <f>("1311110144")</f>
        <v>1311110144</v>
      </c>
      <c r="J259" s="218" t="s">
        <v>159</v>
      </c>
    </row>
    <row r="260" spans="1:10" x14ac:dyDescent="0.15">
      <c r="A260" s="406" t="str">
        <f t="shared" si="4"/>
        <v>Ｓｈｙｎｔ　ＦＣ_11</v>
      </c>
      <c r="B260" s="218" t="s">
        <v>839</v>
      </c>
      <c r="C260" s="218" t="str">
        <f>("11")</f>
        <v>11</v>
      </c>
      <c r="D260" s="218" t="s">
        <v>615</v>
      </c>
      <c r="E260" s="218" t="s">
        <v>7241</v>
      </c>
      <c r="F260" s="218" t="s">
        <v>7242</v>
      </c>
      <c r="G260" s="218">
        <v>4</v>
      </c>
      <c r="H260" s="218" t="s">
        <v>614</v>
      </c>
      <c r="I260" s="218" t="str">
        <f>("1506020112")</f>
        <v>1506020112</v>
      </c>
    </row>
    <row r="261" spans="1:10" x14ac:dyDescent="0.15">
      <c r="A261" s="406" t="str">
        <f t="shared" si="4"/>
        <v>Ｓｈｙｎｔ　ＦＣ_12</v>
      </c>
      <c r="B261" s="218" t="s">
        <v>839</v>
      </c>
      <c r="C261" s="218" t="str">
        <f>("12")</f>
        <v>12</v>
      </c>
      <c r="D261" s="218" t="s">
        <v>624</v>
      </c>
      <c r="E261" s="218" t="s">
        <v>7243</v>
      </c>
      <c r="F261" s="218" t="s">
        <v>7244</v>
      </c>
      <c r="G261" s="218">
        <v>5</v>
      </c>
      <c r="H261" s="218" t="s">
        <v>614</v>
      </c>
      <c r="I261" s="218" t="str">
        <f>("1410210163")</f>
        <v>1410210163</v>
      </c>
    </row>
    <row r="262" spans="1:10" x14ac:dyDescent="0.15">
      <c r="A262" s="406" t="str">
        <f t="shared" si="4"/>
        <v>Ｓｈｙｎｔ　ＦＣ_13</v>
      </c>
      <c r="B262" s="218" t="s">
        <v>839</v>
      </c>
      <c r="C262" s="218" t="str">
        <f>("13")</f>
        <v>13</v>
      </c>
      <c r="D262" s="218" t="s">
        <v>611</v>
      </c>
      <c r="E262" s="218" t="s">
        <v>7245</v>
      </c>
      <c r="F262" s="218" t="s">
        <v>7246</v>
      </c>
      <c r="G262" s="218">
        <v>5</v>
      </c>
      <c r="H262" s="218" t="s">
        <v>614</v>
      </c>
      <c r="I262" s="218" t="str">
        <f>("1406140173")</f>
        <v>1406140173</v>
      </c>
    </row>
    <row r="263" spans="1:10" x14ac:dyDescent="0.15">
      <c r="A263" s="406" t="str">
        <f t="shared" si="4"/>
        <v>Ｓｈｙｎｔ　ＦＣ_14</v>
      </c>
      <c r="B263" s="218" t="s">
        <v>839</v>
      </c>
      <c r="C263" s="218" t="str">
        <f>("14")</f>
        <v>14</v>
      </c>
      <c r="D263" s="218" t="s">
        <v>615</v>
      </c>
      <c r="E263" s="218" t="s">
        <v>7247</v>
      </c>
      <c r="F263" s="218" t="s">
        <v>7248</v>
      </c>
      <c r="G263" s="218">
        <v>5</v>
      </c>
      <c r="H263" s="218" t="s">
        <v>614</v>
      </c>
      <c r="I263" s="218" t="str">
        <f>("1503220130")</f>
        <v>1503220130</v>
      </c>
    </row>
    <row r="264" spans="1:10" x14ac:dyDescent="0.15">
      <c r="A264" s="406" t="str">
        <f t="shared" si="4"/>
        <v>Ｓｈｙｎｔ　ＦＣ_15</v>
      </c>
      <c r="B264" s="218" t="s">
        <v>839</v>
      </c>
      <c r="C264" s="218" t="str">
        <f>("15")</f>
        <v>15</v>
      </c>
      <c r="D264" s="218" t="s">
        <v>623</v>
      </c>
      <c r="E264" s="218" t="s">
        <v>7249</v>
      </c>
      <c r="F264" s="218" t="s">
        <v>7250</v>
      </c>
      <c r="G264" s="218">
        <v>5</v>
      </c>
      <c r="H264" s="218" t="s">
        <v>614</v>
      </c>
      <c r="I264" s="218" t="str">
        <f>("1409070109")</f>
        <v>1409070109</v>
      </c>
    </row>
    <row r="265" spans="1:10" x14ac:dyDescent="0.15">
      <c r="A265" s="406" t="str">
        <f t="shared" si="4"/>
        <v>Ｓｈｙｎｔ　ＦＣ_16</v>
      </c>
      <c r="B265" s="218" t="s">
        <v>839</v>
      </c>
      <c r="C265" s="218" t="str">
        <f>("16")</f>
        <v>16</v>
      </c>
      <c r="D265" s="218" t="s">
        <v>623</v>
      </c>
      <c r="E265" s="218" t="s">
        <v>7251</v>
      </c>
      <c r="F265" s="218" t="s">
        <v>7252</v>
      </c>
      <c r="G265" s="218">
        <v>5</v>
      </c>
      <c r="H265" s="218" t="s">
        <v>614</v>
      </c>
      <c r="I265" s="218" t="str">
        <f>("1411040261")</f>
        <v>1411040261</v>
      </c>
    </row>
    <row r="266" spans="1:10" x14ac:dyDescent="0.15">
      <c r="A266" s="406" t="str">
        <f t="shared" si="4"/>
        <v>和田少年サッカークラブ_1</v>
      </c>
      <c r="B266" s="218" t="s">
        <v>848</v>
      </c>
      <c r="C266" s="218" t="str">
        <f>("1")</f>
        <v>1</v>
      </c>
      <c r="D266" s="218" t="s">
        <v>624</v>
      </c>
      <c r="E266" s="218" t="s">
        <v>7253</v>
      </c>
      <c r="F266" s="218" t="s">
        <v>7254</v>
      </c>
      <c r="G266" s="218">
        <v>5</v>
      </c>
      <c r="H266" s="218" t="s">
        <v>614</v>
      </c>
      <c r="I266" s="218" t="str">
        <f>("1408290033")</f>
        <v>1408290033</v>
      </c>
    </row>
    <row r="267" spans="1:10" x14ac:dyDescent="0.15">
      <c r="A267" s="406" t="str">
        <f t="shared" si="4"/>
        <v>和田少年サッカークラブ_2</v>
      </c>
      <c r="B267" s="218" t="s">
        <v>848</v>
      </c>
      <c r="C267" s="218" t="str">
        <f>("2")</f>
        <v>2</v>
      </c>
      <c r="D267" s="218" t="s">
        <v>611</v>
      </c>
      <c r="E267" s="218" t="s">
        <v>7255</v>
      </c>
      <c r="F267" s="218" t="s">
        <v>7256</v>
      </c>
      <c r="G267" s="218">
        <v>5</v>
      </c>
      <c r="H267" s="218" t="s">
        <v>614</v>
      </c>
      <c r="I267" s="218" t="str">
        <f>("1412160207")</f>
        <v>1412160207</v>
      </c>
    </row>
    <row r="268" spans="1:10" x14ac:dyDescent="0.15">
      <c r="A268" s="406" t="str">
        <f t="shared" si="4"/>
        <v>和田少年サッカークラブ_3</v>
      </c>
      <c r="B268" s="218" t="s">
        <v>848</v>
      </c>
      <c r="C268" s="218" t="str">
        <f>("3")</f>
        <v>3</v>
      </c>
      <c r="D268" s="218" t="s">
        <v>615</v>
      </c>
      <c r="E268" s="218" t="s">
        <v>7257</v>
      </c>
      <c r="F268" s="218" t="s">
        <v>7258</v>
      </c>
      <c r="G268" s="218">
        <v>5</v>
      </c>
      <c r="H268" s="218" t="s">
        <v>614</v>
      </c>
      <c r="I268" s="218" t="str">
        <f>("1406140008")</f>
        <v>1406140008</v>
      </c>
    </row>
    <row r="269" spans="1:10" x14ac:dyDescent="0.15">
      <c r="A269" s="406" t="str">
        <f t="shared" si="4"/>
        <v>和田少年サッカークラブ_4</v>
      </c>
      <c r="B269" s="218" t="s">
        <v>848</v>
      </c>
      <c r="C269" s="218" t="str">
        <f>("4")</f>
        <v>4</v>
      </c>
      <c r="D269" s="218" t="s">
        <v>611</v>
      </c>
      <c r="E269" s="218" t="s">
        <v>7259</v>
      </c>
      <c r="F269" s="218" t="s">
        <v>7260</v>
      </c>
      <c r="G269" s="218">
        <v>6</v>
      </c>
      <c r="H269" s="218" t="s">
        <v>614</v>
      </c>
      <c r="I269" s="218" t="str">
        <f>("1308060286")</f>
        <v>1308060286</v>
      </c>
    </row>
    <row r="270" spans="1:10" x14ac:dyDescent="0.15">
      <c r="A270" s="406" t="str">
        <f t="shared" si="4"/>
        <v>和田少年サッカークラブ_5</v>
      </c>
      <c r="B270" s="218" t="s">
        <v>848</v>
      </c>
      <c r="C270" s="218" t="str">
        <f>("5")</f>
        <v>5</v>
      </c>
      <c r="D270" s="218" t="s">
        <v>623</v>
      </c>
      <c r="E270" s="218" t="s">
        <v>7261</v>
      </c>
      <c r="F270" s="218" t="s">
        <v>7262</v>
      </c>
      <c r="G270" s="218">
        <v>6</v>
      </c>
      <c r="H270" s="218" t="s">
        <v>614</v>
      </c>
      <c r="I270" s="218" t="str">
        <f>("1310200087")</f>
        <v>1310200087</v>
      </c>
    </row>
    <row r="271" spans="1:10" x14ac:dyDescent="0.15">
      <c r="A271" s="406" t="str">
        <f t="shared" si="4"/>
        <v>和田少年サッカークラブ_6</v>
      </c>
      <c r="B271" s="218" t="s">
        <v>848</v>
      </c>
      <c r="C271" s="218" t="str">
        <f>("6")</f>
        <v>6</v>
      </c>
      <c r="D271" s="218" t="s">
        <v>611</v>
      </c>
      <c r="E271" s="218" t="s">
        <v>859</v>
      </c>
      <c r="F271" s="218" t="s">
        <v>860</v>
      </c>
      <c r="G271" s="218">
        <v>6</v>
      </c>
      <c r="H271" s="218" t="s">
        <v>616</v>
      </c>
      <c r="I271" s="218" t="str">
        <f>("1304240023")</f>
        <v>1304240023</v>
      </c>
    </row>
    <row r="272" spans="1:10" x14ac:dyDescent="0.15">
      <c r="A272" s="406" t="str">
        <f t="shared" si="4"/>
        <v>和田少年サッカークラブ_7</v>
      </c>
      <c r="B272" s="218" t="s">
        <v>848</v>
      </c>
      <c r="C272" s="218" t="str">
        <f>("7")</f>
        <v>7</v>
      </c>
      <c r="D272" s="218" t="s">
        <v>615</v>
      </c>
      <c r="E272" s="218" t="s">
        <v>857</v>
      </c>
      <c r="F272" s="218" t="s">
        <v>858</v>
      </c>
      <c r="G272" s="218">
        <v>6</v>
      </c>
      <c r="H272" s="218" t="s">
        <v>614</v>
      </c>
      <c r="I272" s="218" t="str">
        <f>("1305190008")</f>
        <v>1305190008</v>
      </c>
    </row>
    <row r="273" spans="1:10" x14ac:dyDescent="0.15">
      <c r="A273" s="406" t="str">
        <f t="shared" si="4"/>
        <v>和田少年サッカークラブ_8</v>
      </c>
      <c r="B273" s="218" t="s">
        <v>848</v>
      </c>
      <c r="C273" s="218" t="str">
        <f>("8")</f>
        <v>8</v>
      </c>
      <c r="D273" s="218" t="s">
        <v>611</v>
      </c>
      <c r="E273" s="218" t="s">
        <v>7263</v>
      </c>
      <c r="F273" s="218" t="s">
        <v>7264</v>
      </c>
      <c r="G273" s="218">
        <v>5</v>
      </c>
      <c r="H273" s="218" t="s">
        <v>614</v>
      </c>
      <c r="I273" s="218" t="str">
        <f>("1408230089")</f>
        <v>1408230089</v>
      </c>
    </row>
    <row r="274" spans="1:10" x14ac:dyDescent="0.15">
      <c r="A274" s="406" t="str">
        <f t="shared" si="4"/>
        <v>和田少年サッカークラブ_9</v>
      </c>
      <c r="B274" s="218" t="s">
        <v>848</v>
      </c>
      <c r="C274" s="218" t="str">
        <f>("9")</f>
        <v>9</v>
      </c>
      <c r="D274" s="218" t="s">
        <v>615</v>
      </c>
      <c r="E274" s="218" t="s">
        <v>7265</v>
      </c>
      <c r="F274" s="218" t="s">
        <v>7266</v>
      </c>
      <c r="G274" s="218">
        <v>4</v>
      </c>
      <c r="H274" s="218" t="s">
        <v>614</v>
      </c>
      <c r="I274" s="218" t="str">
        <f>("1504080008")</f>
        <v>1504080008</v>
      </c>
    </row>
    <row r="275" spans="1:10" x14ac:dyDescent="0.15">
      <c r="A275" s="406" t="str">
        <f t="shared" si="4"/>
        <v>和田少年サッカークラブ_10</v>
      </c>
      <c r="B275" s="218" t="s">
        <v>848</v>
      </c>
      <c r="C275" s="218" t="str">
        <f>("10")</f>
        <v>10</v>
      </c>
      <c r="D275" s="218" t="s">
        <v>615</v>
      </c>
      <c r="E275" s="218" t="s">
        <v>855</v>
      </c>
      <c r="F275" s="218" t="s">
        <v>856</v>
      </c>
      <c r="G275" s="218">
        <v>6</v>
      </c>
      <c r="H275" s="218" t="s">
        <v>616</v>
      </c>
      <c r="I275" s="218" t="str">
        <f>("1308230005")</f>
        <v>1308230005</v>
      </c>
      <c r="J275" s="218" t="s">
        <v>159</v>
      </c>
    </row>
    <row r="276" spans="1:10" x14ac:dyDescent="0.15">
      <c r="A276" s="406" t="str">
        <f t="shared" si="4"/>
        <v>和田少年サッカークラブ_11</v>
      </c>
      <c r="B276" s="218" t="s">
        <v>848</v>
      </c>
      <c r="C276" s="218" t="str">
        <f>("11")</f>
        <v>11</v>
      </c>
      <c r="D276" s="218" t="s">
        <v>615</v>
      </c>
      <c r="E276" s="218" t="s">
        <v>7267</v>
      </c>
      <c r="F276" s="218" t="s">
        <v>7268</v>
      </c>
      <c r="G276" s="218">
        <v>5</v>
      </c>
      <c r="H276" s="218" t="s">
        <v>614</v>
      </c>
      <c r="I276" s="218" t="str">
        <f>("1408040025")</f>
        <v>1408040025</v>
      </c>
    </row>
    <row r="277" spans="1:10" x14ac:dyDescent="0.15">
      <c r="A277" s="406" t="str">
        <f t="shared" si="4"/>
        <v>和田少年サッカークラブ_12</v>
      </c>
      <c r="B277" s="218" t="s">
        <v>848</v>
      </c>
      <c r="C277" s="218" t="str">
        <f>("12")</f>
        <v>12</v>
      </c>
      <c r="D277" s="218" t="s">
        <v>624</v>
      </c>
      <c r="E277" s="218" t="s">
        <v>1718</v>
      </c>
      <c r="F277" s="218" t="s">
        <v>1719</v>
      </c>
      <c r="G277" s="218">
        <v>3</v>
      </c>
      <c r="H277" s="218" t="s">
        <v>614</v>
      </c>
      <c r="I277" s="218" t="str">
        <f>("1606070003")</f>
        <v>1606070003</v>
      </c>
    </row>
    <row r="278" spans="1:10" x14ac:dyDescent="0.15">
      <c r="A278" s="406" t="str">
        <f t="shared" si="4"/>
        <v>和田少年サッカークラブ_14</v>
      </c>
      <c r="B278" s="218" t="s">
        <v>848</v>
      </c>
      <c r="C278" s="218" t="str">
        <f>("14")</f>
        <v>14</v>
      </c>
      <c r="D278" s="218" t="s">
        <v>623</v>
      </c>
      <c r="E278" s="218" t="s">
        <v>7269</v>
      </c>
      <c r="F278" s="218" t="s">
        <v>7270</v>
      </c>
      <c r="G278" s="218">
        <v>4</v>
      </c>
      <c r="H278" s="218" t="s">
        <v>614</v>
      </c>
      <c r="I278" s="218" t="str">
        <f>("1602140075")</f>
        <v>1602140075</v>
      </c>
    </row>
    <row r="279" spans="1:10" x14ac:dyDescent="0.15">
      <c r="A279" s="406" t="str">
        <f t="shared" si="4"/>
        <v>下毛ＦＣ_1</v>
      </c>
      <c r="B279" s="218" t="s">
        <v>861</v>
      </c>
      <c r="C279" s="218" t="str">
        <f>("1")</f>
        <v>1</v>
      </c>
      <c r="D279" s="218" t="s">
        <v>611</v>
      </c>
      <c r="E279" s="218" t="s">
        <v>866</v>
      </c>
      <c r="F279" s="218" t="s">
        <v>867</v>
      </c>
      <c r="G279" s="218">
        <v>6</v>
      </c>
      <c r="H279" s="218" t="s">
        <v>614</v>
      </c>
      <c r="I279" s="218" t="str">
        <f>("1312200084")</f>
        <v>1312200084</v>
      </c>
    </row>
    <row r="280" spans="1:10" x14ac:dyDescent="0.15">
      <c r="A280" s="406" t="str">
        <f t="shared" si="4"/>
        <v>下毛ＦＣ_2</v>
      </c>
      <c r="B280" s="218" t="s">
        <v>861</v>
      </c>
      <c r="C280" s="218" t="str">
        <f>("2")</f>
        <v>2</v>
      </c>
      <c r="D280" s="218" t="s">
        <v>615</v>
      </c>
      <c r="E280" s="218" t="s">
        <v>7271</v>
      </c>
      <c r="F280" s="218" t="s">
        <v>7272</v>
      </c>
      <c r="G280" s="218">
        <v>5</v>
      </c>
      <c r="H280" s="218" t="s">
        <v>614</v>
      </c>
      <c r="I280" s="218" t="str">
        <f>("1503250173")</f>
        <v>1503250173</v>
      </c>
    </row>
    <row r="281" spans="1:10" x14ac:dyDescent="0.15">
      <c r="A281" s="406" t="str">
        <f t="shared" si="4"/>
        <v>下毛ＦＣ_3</v>
      </c>
      <c r="B281" s="218" t="s">
        <v>861</v>
      </c>
      <c r="C281" s="218" t="str">
        <f>("3")</f>
        <v>3</v>
      </c>
      <c r="D281" s="218" t="s">
        <v>611</v>
      </c>
      <c r="E281" s="218" t="s">
        <v>7273</v>
      </c>
      <c r="F281" s="218" t="s">
        <v>7274</v>
      </c>
      <c r="G281" s="218">
        <v>4</v>
      </c>
      <c r="H281" s="218" t="s">
        <v>614</v>
      </c>
      <c r="I281" s="218" t="str">
        <f>("1601020018")</f>
        <v>1601020018</v>
      </c>
    </row>
    <row r="282" spans="1:10" x14ac:dyDescent="0.15">
      <c r="A282" s="406" t="str">
        <f t="shared" si="4"/>
        <v>下毛ＦＣ_4</v>
      </c>
      <c r="B282" s="218" t="s">
        <v>861</v>
      </c>
      <c r="C282" s="218" t="str">
        <f>("4")</f>
        <v>4</v>
      </c>
      <c r="D282" s="218" t="s">
        <v>611</v>
      </c>
      <c r="E282" s="218" t="s">
        <v>864</v>
      </c>
      <c r="F282" s="218" t="s">
        <v>865</v>
      </c>
      <c r="G282" s="218">
        <v>6</v>
      </c>
      <c r="H282" s="218" t="s">
        <v>616</v>
      </c>
      <c r="I282" s="218" t="str">
        <f>("1402240054")</f>
        <v>1402240054</v>
      </c>
    </row>
    <row r="283" spans="1:10" x14ac:dyDescent="0.15">
      <c r="A283" s="406" t="str">
        <f t="shared" si="4"/>
        <v>下毛ＦＣ_5</v>
      </c>
      <c r="B283" s="218" t="s">
        <v>861</v>
      </c>
      <c r="C283" s="218" t="str">
        <f>("5")</f>
        <v>5</v>
      </c>
      <c r="D283" s="218" t="s">
        <v>615</v>
      </c>
      <c r="E283" s="218" t="s">
        <v>7275</v>
      </c>
      <c r="F283" s="218" t="s">
        <v>7276</v>
      </c>
      <c r="G283" s="218">
        <v>4</v>
      </c>
      <c r="H283" s="218" t="s">
        <v>614</v>
      </c>
      <c r="I283" s="218" t="str">
        <f>("1505250090")</f>
        <v>1505250090</v>
      </c>
    </row>
    <row r="284" spans="1:10" x14ac:dyDescent="0.15">
      <c r="A284" s="406" t="str">
        <f t="shared" si="4"/>
        <v>下毛ＦＣ_6</v>
      </c>
      <c r="B284" s="218" t="s">
        <v>861</v>
      </c>
      <c r="C284" s="218" t="str">
        <f>("6")</f>
        <v>6</v>
      </c>
      <c r="D284" s="218" t="s">
        <v>615</v>
      </c>
      <c r="E284" s="218" t="s">
        <v>7277</v>
      </c>
      <c r="F284" s="218" t="s">
        <v>7278</v>
      </c>
      <c r="G284" s="218">
        <v>5</v>
      </c>
      <c r="H284" s="218" t="s">
        <v>614</v>
      </c>
      <c r="I284" s="218" t="str">
        <f>("1503300050")</f>
        <v>1503300050</v>
      </c>
    </row>
    <row r="285" spans="1:10" x14ac:dyDescent="0.15">
      <c r="A285" s="406" t="str">
        <f t="shared" si="4"/>
        <v>下毛ＦＣ_7</v>
      </c>
      <c r="B285" s="218" t="s">
        <v>861</v>
      </c>
      <c r="C285" s="218" t="str">
        <f>("7")</f>
        <v>7</v>
      </c>
      <c r="D285" s="218" t="s">
        <v>615</v>
      </c>
      <c r="E285" s="218" t="s">
        <v>872</v>
      </c>
      <c r="F285" s="218" t="s">
        <v>873</v>
      </c>
      <c r="G285" s="218">
        <v>5</v>
      </c>
      <c r="H285" s="218" t="s">
        <v>614</v>
      </c>
      <c r="I285" s="218" t="str">
        <f>("1409130059")</f>
        <v>1409130059</v>
      </c>
    </row>
    <row r="286" spans="1:10" x14ac:dyDescent="0.15">
      <c r="A286" s="406" t="str">
        <f t="shared" si="4"/>
        <v>下毛ＦＣ_8</v>
      </c>
      <c r="B286" s="218" t="s">
        <v>861</v>
      </c>
      <c r="C286" s="218" t="str">
        <f>("8")</f>
        <v>8</v>
      </c>
      <c r="D286" s="218" t="s">
        <v>615</v>
      </c>
      <c r="E286" s="218" t="s">
        <v>870</v>
      </c>
      <c r="F286" s="218" t="s">
        <v>871</v>
      </c>
      <c r="G286" s="218">
        <v>6</v>
      </c>
      <c r="H286" s="218" t="s">
        <v>614</v>
      </c>
      <c r="I286" s="218" t="str">
        <f>("1401130057")</f>
        <v>1401130057</v>
      </c>
    </row>
    <row r="287" spans="1:10" x14ac:dyDescent="0.15">
      <c r="A287" s="406" t="str">
        <f t="shared" si="4"/>
        <v>下毛ＦＣ_9</v>
      </c>
      <c r="B287" s="218" t="s">
        <v>861</v>
      </c>
      <c r="C287" s="218" t="str">
        <f>("9")</f>
        <v>9</v>
      </c>
      <c r="D287" s="218" t="s">
        <v>623</v>
      </c>
      <c r="E287" s="218" t="s">
        <v>7279</v>
      </c>
      <c r="F287" s="218" t="s">
        <v>7280</v>
      </c>
      <c r="G287" s="218">
        <v>4</v>
      </c>
      <c r="H287" s="218" t="s">
        <v>614</v>
      </c>
      <c r="I287" s="218" t="str">
        <f>("1512110016")</f>
        <v>1512110016</v>
      </c>
    </row>
    <row r="288" spans="1:10" x14ac:dyDescent="0.15">
      <c r="A288" s="406" t="str">
        <f t="shared" si="4"/>
        <v>下毛ＦＣ_10</v>
      </c>
      <c r="B288" s="218" t="s">
        <v>861</v>
      </c>
      <c r="C288" s="218" t="str">
        <f>("10")</f>
        <v>10</v>
      </c>
      <c r="D288" s="218" t="s">
        <v>615</v>
      </c>
      <c r="E288" s="218" t="s">
        <v>868</v>
      </c>
      <c r="F288" s="218" t="s">
        <v>869</v>
      </c>
      <c r="G288" s="218">
        <v>6</v>
      </c>
      <c r="H288" s="218" t="s">
        <v>614</v>
      </c>
      <c r="I288" s="218" t="str">
        <f>("1309150064")</f>
        <v>1309150064</v>
      </c>
      <c r="J288" s="218" t="s">
        <v>159</v>
      </c>
    </row>
    <row r="289" spans="1:10" x14ac:dyDescent="0.15">
      <c r="A289" s="406" t="str">
        <f t="shared" si="4"/>
        <v>下毛ＦＣ_11</v>
      </c>
      <c r="B289" s="218" t="s">
        <v>861</v>
      </c>
      <c r="C289" s="218" t="str">
        <f>("11")</f>
        <v>11</v>
      </c>
      <c r="D289" s="218" t="s">
        <v>615</v>
      </c>
      <c r="E289" s="218" t="s">
        <v>7281</v>
      </c>
      <c r="F289" s="218" t="s">
        <v>7282</v>
      </c>
      <c r="G289" s="218">
        <v>4</v>
      </c>
      <c r="H289" s="218" t="s">
        <v>614</v>
      </c>
      <c r="I289" s="218" t="str">
        <f>("1510210077")</f>
        <v>1510210077</v>
      </c>
    </row>
    <row r="290" spans="1:10" x14ac:dyDescent="0.15">
      <c r="A290" s="406" t="str">
        <f t="shared" si="4"/>
        <v>下毛ＦＣ_12</v>
      </c>
      <c r="B290" s="218" t="s">
        <v>861</v>
      </c>
      <c r="C290" s="218" t="str">
        <f>("12")</f>
        <v>12</v>
      </c>
      <c r="D290" s="218" t="s">
        <v>624</v>
      </c>
      <c r="E290" s="218" t="s">
        <v>7283</v>
      </c>
      <c r="F290" s="218" t="s">
        <v>7284</v>
      </c>
      <c r="G290" s="218">
        <v>4</v>
      </c>
      <c r="H290" s="218" t="s">
        <v>614</v>
      </c>
      <c r="I290" s="218" t="str">
        <f>("1508250083")</f>
        <v>1508250083</v>
      </c>
    </row>
    <row r="291" spans="1:10" x14ac:dyDescent="0.15">
      <c r="A291" s="406" t="str">
        <f t="shared" si="4"/>
        <v>下毛ＦＣ_21</v>
      </c>
      <c r="B291" s="218" t="s">
        <v>861</v>
      </c>
      <c r="C291" s="218" t="str">
        <f>("21")</f>
        <v>21</v>
      </c>
      <c r="D291" s="218" t="s">
        <v>624</v>
      </c>
      <c r="E291" s="218" t="s">
        <v>7285</v>
      </c>
      <c r="F291" s="218" t="s">
        <v>7286</v>
      </c>
      <c r="G291" s="218">
        <v>5</v>
      </c>
      <c r="H291" s="218" t="s">
        <v>614</v>
      </c>
      <c r="I291" s="218" t="str">
        <f>("1409210088")</f>
        <v>1409210088</v>
      </c>
    </row>
    <row r="292" spans="1:10" x14ac:dyDescent="0.15">
      <c r="A292" s="406" t="str">
        <f t="shared" si="4"/>
        <v>中津豊南ＦＣ_1</v>
      </c>
      <c r="B292" s="218" t="s">
        <v>874</v>
      </c>
      <c r="C292" s="218" t="str">
        <f>("1")</f>
        <v>1</v>
      </c>
      <c r="D292" s="218" t="s">
        <v>624</v>
      </c>
      <c r="E292" s="218" t="s">
        <v>7287</v>
      </c>
      <c r="F292" s="218" t="s">
        <v>7288</v>
      </c>
      <c r="G292" s="218">
        <v>5</v>
      </c>
      <c r="H292" s="218" t="s">
        <v>614</v>
      </c>
      <c r="I292" s="218" t="str">
        <f>("1501150205")</f>
        <v>1501150205</v>
      </c>
    </row>
    <row r="293" spans="1:10" x14ac:dyDescent="0.15">
      <c r="A293" s="406" t="str">
        <f t="shared" si="4"/>
        <v>中津豊南ＦＣ_2</v>
      </c>
      <c r="B293" s="218" t="s">
        <v>874</v>
      </c>
      <c r="C293" s="218" t="str">
        <f>("2")</f>
        <v>2</v>
      </c>
      <c r="D293" s="218" t="s">
        <v>615</v>
      </c>
      <c r="E293" s="218" t="s">
        <v>7289</v>
      </c>
      <c r="F293" s="218" t="s">
        <v>7290</v>
      </c>
      <c r="G293" s="218">
        <v>3</v>
      </c>
      <c r="H293" s="218" t="s">
        <v>614</v>
      </c>
      <c r="I293" s="218" t="str">
        <f>("1605070011")</f>
        <v>1605070011</v>
      </c>
    </row>
    <row r="294" spans="1:10" x14ac:dyDescent="0.15">
      <c r="A294" s="406" t="str">
        <f t="shared" si="4"/>
        <v>中津豊南ＦＣ_3</v>
      </c>
      <c r="B294" s="218" t="s">
        <v>874</v>
      </c>
      <c r="C294" s="218" t="str">
        <f>("3")</f>
        <v>3</v>
      </c>
      <c r="D294" s="218" t="s">
        <v>623</v>
      </c>
      <c r="E294" s="218" t="s">
        <v>7291</v>
      </c>
      <c r="F294" s="218" t="s">
        <v>7292</v>
      </c>
      <c r="G294" s="218">
        <v>4</v>
      </c>
      <c r="H294" s="218" t="s">
        <v>614</v>
      </c>
      <c r="I294" s="218" t="str">
        <f>("1504050135")</f>
        <v>1504050135</v>
      </c>
    </row>
    <row r="295" spans="1:10" x14ac:dyDescent="0.15">
      <c r="A295" s="406" t="str">
        <f t="shared" si="4"/>
        <v>中津豊南ＦＣ_4</v>
      </c>
      <c r="B295" s="218" t="s">
        <v>874</v>
      </c>
      <c r="C295" s="218" t="str">
        <f>("4")</f>
        <v>4</v>
      </c>
      <c r="D295" s="218" t="s">
        <v>615</v>
      </c>
      <c r="E295" s="218" t="s">
        <v>7293</v>
      </c>
      <c r="F295" s="218" t="s">
        <v>7294</v>
      </c>
      <c r="G295" s="218">
        <v>4</v>
      </c>
      <c r="H295" s="218" t="s">
        <v>616</v>
      </c>
      <c r="I295" s="218" t="str">
        <f>("1508110154")</f>
        <v>1508110154</v>
      </c>
    </row>
    <row r="296" spans="1:10" x14ac:dyDescent="0.15">
      <c r="A296" s="406" t="str">
        <f t="shared" si="4"/>
        <v>中津豊南ＦＣ_5</v>
      </c>
      <c r="B296" s="218" t="s">
        <v>874</v>
      </c>
      <c r="C296" s="218" t="str">
        <f>("5")</f>
        <v>5</v>
      </c>
      <c r="D296" s="218" t="s">
        <v>623</v>
      </c>
      <c r="E296" s="218" t="s">
        <v>7295</v>
      </c>
      <c r="F296" s="218" t="s">
        <v>7296</v>
      </c>
      <c r="G296" s="218">
        <v>6</v>
      </c>
      <c r="H296" s="218" t="s">
        <v>614</v>
      </c>
      <c r="I296" s="218" t="str">
        <f>("1305250231")</f>
        <v>1305250231</v>
      </c>
    </row>
    <row r="297" spans="1:10" x14ac:dyDescent="0.15">
      <c r="A297" s="406" t="str">
        <f t="shared" si="4"/>
        <v>中津豊南ＦＣ_6</v>
      </c>
      <c r="B297" s="218" t="s">
        <v>874</v>
      </c>
      <c r="C297" s="218" t="str">
        <f>("6")</f>
        <v>6</v>
      </c>
      <c r="D297" s="218" t="s">
        <v>615</v>
      </c>
      <c r="E297" s="218" t="s">
        <v>7297</v>
      </c>
      <c r="F297" s="218" t="s">
        <v>7298</v>
      </c>
      <c r="G297" s="218">
        <v>5</v>
      </c>
      <c r="H297" s="218" t="s">
        <v>616</v>
      </c>
      <c r="I297" s="218" t="str">
        <f>("1407090102")</f>
        <v>1407090102</v>
      </c>
    </row>
    <row r="298" spans="1:10" x14ac:dyDescent="0.15">
      <c r="A298" s="406" t="str">
        <f t="shared" si="4"/>
        <v>中津豊南ＦＣ_7</v>
      </c>
      <c r="B298" s="218" t="s">
        <v>874</v>
      </c>
      <c r="C298" s="218" t="str">
        <f>("7")</f>
        <v>7</v>
      </c>
      <c r="D298" s="218" t="s">
        <v>611</v>
      </c>
      <c r="E298" s="218" t="s">
        <v>7299</v>
      </c>
      <c r="F298" s="218" t="s">
        <v>7300</v>
      </c>
      <c r="G298" s="218">
        <v>5</v>
      </c>
      <c r="H298" s="218" t="s">
        <v>614</v>
      </c>
      <c r="I298" s="218" t="str">
        <f>("1405230045")</f>
        <v>1405230045</v>
      </c>
    </row>
    <row r="299" spans="1:10" x14ac:dyDescent="0.15">
      <c r="A299" s="406" t="str">
        <f t="shared" si="4"/>
        <v>中津豊南ＦＣ_8</v>
      </c>
      <c r="B299" s="218" t="s">
        <v>874</v>
      </c>
      <c r="C299" s="218" t="str">
        <f>("8")</f>
        <v>8</v>
      </c>
      <c r="D299" s="218" t="s">
        <v>615</v>
      </c>
      <c r="E299" s="218" t="s">
        <v>7301</v>
      </c>
      <c r="F299" s="218" t="s">
        <v>7302</v>
      </c>
      <c r="G299" s="218">
        <v>6</v>
      </c>
      <c r="H299" s="218" t="s">
        <v>616</v>
      </c>
      <c r="I299" s="218" t="str">
        <f>("1402190189")</f>
        <v>1402190189</v>
      </c>
    </row>
    <row r="300" spans="1:10" x14ac:dyDescent="0.15">
      <c r="A300" s="406" t="str">
        <f t="shared" si="4"/>
        <v>中津豊南ＦＣ_9</v>
      </c>
      <c r="B300" s="218" t="s">
        <v>874</v>
      </c>
      <c r="C300" s="218" t="str">
        <f>("9")</f>
        <v>9</v>
      </c>
      <c r="D300" s="218" t="s">
        <v>611</v>
      </c>
      <c r="E300" s="218" t="s">
        <v>7303</v>
      </c>
      <c r="F300" s="218" t="s">
        <v>7304</v>
      </c>
      <c r="G300" s="218">
        <v>6</v>
      </c>
      <c r="H300" s="218" t="s">
        <v>616</v>
      </c>
      <c r="I300" s="218" t="str">
        <f>("1401060181")</f>
        <v>1401060181</v>
      </c>
    </row>
    <row r="301" spans="1:10" x14ac:dyDescent="0.15">
      <c r="A301" s="406" t="str">
        <f t="shared" si="4"/>
        <v>中津豊南ＦＣ_10</v>
      </c>
      <c r="B301" s="218" t="s">
        <v>874</v>
      </c>
      <c r="C301" s="218" t="str">
        <f>("10")</f>
        <v>10</v>
      </c>
      <c r="D301" s="218" t="s">
        <v>615</v>
      </c>
      <c r="E301" s="218" t="s">
        <v>881</v>
      </c>
      <c r="F301" s="218" t="s">
        <v>882</v>
      </c>
      <c r="G301" s="218">
        <v>6</v>
      </c>
      <c r="H301" s="218" t="s">
        <v>614</v>
      </c>
      <c r="I301" s="218" t="str">
        <f>("1401260053")</f>
        <v>1401260053</v>
      </c>
      <c r="J301" s="218" t="s">
        <v>159</v>
      </c>
    </row>
    <row r="302" spans="1:10" x14ac:dyDescent="0.15">
      <c r="A302" s="406" t="str">
        <f t="shared" si="4"/>
        <v>中津豊南ＦＣ_11</v>
      </c>
      <c r="B302" s="218" t="s">
        <v>874</v>
      </c>
      <c r="C302" s="218" t="str">
        <f>("11")</f>
        <v>11</v>
      </c>
      <c r="D302" s="218" t="s">
        <v>611</v>
      </c>
      <c r="E302" s="218" t="s">
        <v>7305</v>
      </c>
      <c r="F302" s="218" t="s">
        <v>7306</v>
      </c>
      <c r="G302" s="218">
        <v>6</v>
      </c>
      <c r="H302" s="218" t="s">
        <v>616</v>
      </c>
      <c r="I302" s="218" t="str">
        <f>("1307120196")</f>
        <v>1307120196</v>
      </c>
    </row>
    <row r="303" spans="1:10" x14ac:dyDescent="0.15">
      <c r="A303" s="406" t="str">
        <f t="shared" si="4"/>
        <v>中津豊南ＦＣ_12</v>
      </c>
      <c r="B303" s="218" t="s">
        <v>874</v>
      </c>
      <c r="C303" s="218" t="str">
        <f>("12")</f>
        <v>12</v>
      </c>
      <c r="D303" s="218" t="s">
        <v>623</v>
      </c>
      <c r="E303" s="218" t="s">
        <v>7307</v>
      </c>
      <c r="F303" s="218" t="s">
        <v>7308</v>
      </c>
      <c r="G303" s="218">
        <v>4</v>
      </c>
      <c r="H303" s="218" t="s">
        <v>614</v>
      </c>
      <c r="I303" s="218" t="str">
        <f>("1507170195")</f>
        <v>1507170195</v>
      </c>
    </row>
    <row r="304" spans="1:10" x14ac:dyDescent="0.15">
      <c r="A304" s="406" t="str">
        <f t="shared" si="4"/>
        <v>中津豊南ＦＣ_13</v>
      </c>
      <c r="B304" s="218" t="s">
        <v>874</v>
      </c>
      <c r="C304" s="218" t="str">
        <f>("13")</f>
        <v>13</v>
      </c>
      <c r="D304" s="218" t="s">
        <v>611</v>
      </c>
      <c r="E304" s="218" t="s">
        <v>7309</v>
      </c>
      <c r="F304" s="218" t="s">
        <v>7310</v>
      </c>
      <c r="G304" s="218">
        <v>3</v>
      </c>
      <c r="H304" s="218" t="s">
        <v>614</v>
      </c>
      <c r="I304" s="218" t="str">
        <f>("1604250015")</f>
        <v>1604250015</v>
      </c>
    </row>
    <row r="305" spans="1:10" x14ac:dyDescent="0.15">
      <c r="A305" s="406" t="str">
        <f t="shared" si="4"/>
        <v>中津豊南ＦＣ_14</v>
      </c>
      <c r="B305" s="218" t="s">
        <v>874</v>
      </c>
      <c r="C305" s="218" t="str">
        <f>("14")</f>
        <v>14</v>
      </c>
      <c r="D305" s="218" t="s">
        <v>615</v>
      </c>
      <c r="E305" s="218" t="s">
        <v>7311</v>
      </c>
      <c r="F305" s="218" t="s">
        <v>7312</v>
      </c>
      <c r="G305" s="218">
        <v>3</v>
      </c>
      <c r="H305" s="218" t="s">
        <v>614</v>
      </c>
      <c r="I305" s="218" t="str">
        <f>("1609050003")</f>
        <v>1609050003</v>
      </c>
    </row>
    <row r="306" spans="1:10" x14ac:dyDescent="0.15">
      <c r="A306" s="406" t="str">
        <f t="shared" si="4"/>
        <v>中津豊南ＦＣ_16</v>
      </c>
      <c r="B306" s="218" t="s">
        <v>874</v>
      </c>
      <c r="C306" s="218" t="str">
        <f>("16")</f>
        <v>16</v>
      </c>
      <c r="D306" s="218" t="s">
        <v>624</v>
      </c>
      <c r="E306" s="218" t="s">
        <v>7313</v>
      </c>
      <c r="F306" s="218" t="s">
        <v>7314</v>
      </c>
      <c r="G306" s="218">
        <v>4</v>
      </c>
      <c r="H306" s="218" t="s">
        <v>614</v>
      </c>
      <c r="I306" s="218" t="str">
        <f>("1508200002")</f>
        <v>1508200002</v>
      </c>
    </row>
    <row r="307" spans="1:10" x14ac:dyDescent="0.15">
      <c r="A307" s="406" t="str">
        <f t="shared" si="4"/>
        <v>中津沖代ジュニアサッカークラブ_1</v>
      </c>
      <c r="B307" s="218" t="s">
        <v>883</v>
      </c>
      <c r="C307" s="218" t="str">
        <f>("1")</f>
        <v>1</v>
      </c>
      <c r="D307" s="218" t="s">
        <v>624</v>
      </c>
      <c r="E307" s="218" t="s">
        <v>7315</v>
      </c>
      <c r="F307" s="218" t="s">
        <v>7316</v>
      </c>
      <c r="G307" s="218">
        <v>6</v>
      </c>
      <c r="H307" s="218" t="s">
        <v>614</v>
      </c>
      <c r="I307" s="218" t="str">
        <f>("1309200108")</f>
        <v>1309200108</v>
      </c>
    </row>
    <row r="308" spans="1:10" x14ac:dyDescent="0.15">
      <c r="A308" s="406" t="str">
        <f t="shared" si="4"/>
        <v>中津沖代ジュニアサッカークラブ_2</v>
      </c>
      <c r="B308" s="218" t="s">
        <v>883</v>
      </c>
      <c r="C308" s="218" t="str">
        <f>("2")</f>
        <v>2</v>
      </c>
      <c r="D308" s="218" t="s">
        <v>611</v>
      </c>
      <c r="E308" s="218" t="s">
        <v>7317</v>
      </c>
      <c r="F308" s="218" t="s">
        <v>7318</v>
      </c>
      <c r="G308" s="218">
        <v>5</v>
      </c>
      <c r="H308" s="218" t="s">
        <v>614</v>
      </c>
      <c r="I308" s="218" t="str">
        <f>("1503210047")</f>
        <v>1503210047</v>
      </c>
    </row>
    <row r="309" spans="1:10" x14ac:dyDescent="0.15">
      <c r="A309" s="406" t="str">
        <f t="shared" si="4"/>
        <v>中津沖代ジュニアサッカークラブ_3</v>
      </c>
      <c r="B309" s="218" t="s">
        <v>883</v>
      </c>
      <c r="C309" s="218" t="str">
        <f>("3")</f>
        <v>3</v>
      </c>
      <c r="D309" s="218" t="s">
        <v>611</v>
      </c>
      <c r="E309" s="218" t="s">
        <v>7319</v>
      </c>
      <c r="F309" s="218" t="s">
        <v>7320</v>
      </c>
      <c r="G309" s="218">
        <v>5</v>
      </c>
      <c r="H309" s="218" t="s">
        <v>614</v>
      </c>
      <c r="I309" s="218" t="str">
        <f>("1503090155")</f>
        <v>1503090155</v>
      </c>
    </row>
    <row r="310" spans="1:10" x14ac:dyDescent="0.15">
      <c r="A310" s="406" t="str">
        <f t="shared" si="4"/>
        <v>中津沖代ジュニアサッカークラブ_4</v>
      </c>
      <c r="B310" s="218" t="s">
        <v>883</v>
      </c>
      <c r="C310" s="218" t="str">
        <f>("4")</f>
        <v>4</v>
      </c>
      <c r="D310" s="218" t="s">
        <v>623</v>
      </c>
      <c r="E310" s="218" t="s">
        <v>7321</v>
      </c>
      <c r="F310" s="218" t="s">
        <v>7322</v>
      </c>
      <c r="G310" s="218">
        <v>5</v>
      </c>
      <c r="H310" s="218" t="s">
        <v>614</v>
      </c>
      <c r="I310" s="218" t="str">
        <f>("1501060257")</f>
        <v>1501060257</v>
      </c>
    </row>
    <row r="311" spans="1:10" x14ac:dyDescent="0.15">
      <c r="A311" s="406" t="str">
        <f t="shared" si="4"/>
        <v>中津沖代ジュニアサッカークラブ_5</v>
      </c>
      <c r="B311" s="218" t="s">
        <v>883</v>
      </c>
      <c r="C311" s="218" t="str">
        <f>("5")</f>
        <v>5</v>
      </c>
      <c r="D311" s="218" t="s">
        <v>611</v>
      </c>
      <c r="E311" s="218" t="s">
        <v>7323</v>
      </c>
      <c r="F311" s="218" t="s">
        <v>7324</v>
      </c>
      <c r="G311" s="218">
        <v>5</v>
      </c>
      <c r="H311" s="218" t="s">
        <v>616</v>
      </c>
      <c r="I311" s="218" t="str">
        <f>("1503090079")</f>
        <v>1503090079</v>
      </c>
    </row>
    <row r="312" spans="1:10" x14ac:dyDescent="0.15">
      <c r="A312" s="406" t="str">
        <f t="shared" si="4"/>
        <v>中津沖代ジュニアサッカークラブ_6</v>
      </c>
      <c r="B312" s="218" t="s">
        <v>883</v>
      </c>
      <c r="C312" s="218" t="str">
        <f>("6")</f>
        <v>6</v>
      </c>
      <c r="D312" s="218" t="s">
        <v>623</v>
      </c>
      <c r="E312" s="218" t="s">
        <v>7325</v>
      </c>
      <c r="F312" s="218" t="s">
        <v>7326</v>
      </c>
      <c r="G312" s="218">
        <v>5</v>
      </c>
      <c r="H312" s="218" t="s">
        <v>616</v>
      </c>
      <c r="I312" s="218" t="str">
        <f>("1502150051")</f>
        <v>1502150051</v>
      </c>
    </row>
    <row r="313" spans="1:10" x14ac:dyDescent="0.15">
      <c r="A313" s="406" t="str">
        <f t="shared" si="4"/>
        <v>中津沖代ジュニアサッカークラブ_7</v>
      </c>
      <c r="B313" s="218" t="s">
        <v>883</v>
      </c>
      <c r="C313" s="218" t="str">
        <f>("7")</f>
        <v>7</v>
      </c>
      <c r="D313" s="218" t="s">
        <v>623</v>
      </c>
      <c r="E313" s="218" t="s">
        <v>7327</v>
      </c>
      <c r="F313" s="218" t="s">
        <v>7328</v>
      </c>
      <c r="G313" s="218">
        <v>6</v>
      </c>
      <c r="H313" s="218" t="s">
        <v>614</v>
      </c>
      <c r="I313" s="218" t="str">
        <f>("1402210068")</f>
        <v>1402210068</v>
      </c>
    </row>
    <row r="314" spans="1:10" x14ac:dyDescent="0.15">
      <c r="A314" s="406" t="str">
        <f t="shared" si="4"/>
        <v>中津沖代ジュニアサッカークラブ_8</v>
      </c>
      <c r="B314" s="218" t="s">
        <v>883</v>
      </c>
      <c r="C314" s="218" t="str">
        <f>("8")</f>
        <v>8</v>
      </c>
      <c r="D314" s="218" t="s">
        <v>611</v>
      </c>
      <c r="E314" s="218" t="s">
        <v>7329</v>
      </c>
      <c r="F314" s="218" t="s">
        <v>7330</v>
      </c>
      <c r="G314" s="218">
        <v>6</v>
      </c>
      <c r="H314" s="218" t="s">
        <v>616</v>
      </c>
      <c r="I314" s="218" t="str">
        <f>("1403120066")</f>
        <v>1403120066</v>
      </c>
      <c r="J314" s="218" t="s">
        <v>159</v>
      </c>
    </row>
    <row r="315" spans="1:10" x14ac:dyDescent="0.15">
      <c r="A315" s="406" t="str">
        <f t="shared" si="4"/>
        <v>中津沖代ジュニアサッカークラブ_9</v>
      </c>
      <c r="B315" s="218" t="s">
        <v>883</v>
      </c>
      <c r="C315" s="218" t="str">
        <f>("9")</f>
        <v>9</v>
      </c>
      <c r="D315" s="218" t="s">
        <v>615</v>
      </c>
      <c r="E315" s="218" t="s">
        <v>7331</v>
      </c>
      <c r="F315" s="218" t="s">
        <v>7332</v>
      </c>
      <c r="G315" s="218">
        <v>5</v>
      </c>
      <c r="H315" s="218" t="s">
        <v>614</v>
      </c>
      <c r="I315" s="218" t="str">
        <f>("1408130011")</f>
        <v>1408130011</v>
      </c>
    </row>
    <row r="316" spans="1:10" x14ac:dyDescent="0.15">
      <c r="A316" s="406" t="str">
        <f t="shared" si="4"/>
        <v>中津沖代ジュニアサッカークラブ_10</v>
      </c>
      <c r="B316" s="218" t="s">
        <v>883</v>
      </c>
      <c r="C316" s="218" t="str">
        <f>("10")</f>
        <v>10</v>
      </c>
      <c r="D316" s="218" t="s">
        <v>611</v>
      </c>
      <c r="E316" s="218" t="s">
        <v>7333</v>
      </c>
      <c r="F316" s="218" t="s">
        <v>7334</v>
      </c>
      <c r="G316" s="218">
        <v>6</v>
      </c>
      <c r="H316" s="218" t="s">
        <v>614</v>
      </c>
      <c r="I316" s="218" t="str">
        <f>("1403240064")</f>
        <v>1403240064</v>
      </c>
    </row>
    <row r="317" spans="1:10" x14ac:dyDescent="0.15">
      <c r="A317" s="406" t="str">
        <f t="shared" si="4"/>
        <v>中津沖代ジュニアサッカークラブ_11</v>
      </c>
      <c r="B317" s="218" t="s">
        <v>883</v>
      </c>
      <c r="C317" s="218" t="str">
        <f>("11")</f>
        <v>11</v>
      </c>
      <c r="D317" s="218" t="s">
        <v>615</v>
      </c>
      <c r="E317" s="218" t="s">
        <v>7335</v>
      </c>
      <c r="F317" s="218" t="s">
        <v>7336</v>
      </c>
      <c r="G317" s="218">
        <v>6</v>
      </c>
      <c r="H317" s="218" t="s">
        <v>614</v>
      </c>
      <c r="I317" s="218" t="str">
        <f>("1307180199")</f>
        <v>1307180199</v>
      </c>
    </row>
    <row r="318" spans="1:10" x14ac:dyDescent="0.15">
      <c r="A318" s="406" t="str">
        <f t="shared" si="4"/>
        <v>中津沖代ジュニアサッカークラブ_12</v>
      </c>
      <c r="B318" s="218" t="s">
        <v>883</v>
      </c>
      <c r="C318" s="218" t="str">
        <f>("12")</f>
        <v>12</v>
      </c>
      <c r="D318" s="218" t="s">
        <v>623</v>
      </c>
      <c r="E318" s="218" t="s">
        <v>7337</v>
      </c>
      <c r="F318" s="218" t="s">
        <v>7338</v>
      </c>
      <c r="G318" s="218">
        <v>5</v>
      </c>
      <c r="H318" s="218" t="s">
        <v>614</v>
      </c>
      <c r="I318" s="218" t="str">
        <f>("1409070051")</f>
        <v>1409070051</v>
      </c>
    </row>
    <row r="319" spans="1:10" x14ac:dyDescent="0.15">
      <c r="A319" s="406" t="str">
        <f t="shared" si="4"/>
        <v>中津沖代ジュニアサッカークラブ_13</v>
      </c>
      <c r="B319" s="218" t="s">
        <v>883</v>
      </c>
      <c r="C319" s="218" t="str">
        <f>("13")</f>
        <v>13</v>
      </c>
      <c r="D319" s="218" t="s">
        <v>624</v>
      </c>
      <c r="E319" s="218" t="s">
        <v>7339</v>
      </c>
      <c r="F319" s="218" t="s">
        <v>7340</v>
      </c>
      <c r="G319" s="218">
        <v>5</v>
      </c>
      <c r="H319" s="218" t="s">
        <v>614</v>
      </c>
      <c r="I319" s="218" t="str">
        <f>("1502130057")</f>
        <v>1502130057</v>
      </c>
    </row>
    <row r="320" spans="1:10" x14ac:dyDescent="0.15">
      <c r="A320" s="406" t="str">
        <f t="shared" si="4"/>
        <v>千怒サッカースポーツ少年団_1</v>
      </c>
      <c r="B320" s="218" t="s">
        <v>898</v>
      </c>
      <c r="C320" s="218" t="str">
        <f>("1")</f>
        <v>1</v>
      </c>
      <c r="D320" s="218" t="s">
        <v>624</v>
      </c>
      <c r="E320" s="218" t="s">
        <v>905</v>
      </c>
      <c r="F320" s="218" t="s">
        <v>906</v>
      </c>
      <c r="G320" s="218">
        <v>5</v>
      </c>
      <c r="H320" s="218" t="s">
        <v>614</v>
      </c>
      <c r="I320" s="218" t="str">
        <f>("1501130037")</f>
        <v>1501130037</v>
      </c>
    </row>
    <row r="321" spans="1:10" x14ac:dyDescent="0.15">
      <c r="A321" s="406" t="str">
        <f t="shared" ref="A321:A384" si="5">CONCATENATE(B321,"_",C321)</f>
        <v>千怒サッカースポーツ少年団_2</v>
      </c>
      <c r="B321" s="218" t="s">
        <v>898</v>
      </c>
      <c r="C321" s="218" t="str">
        <f>("2")</f>
        <v>2</v>
      </c>
      <c r="D321" s="218" t="s">
        <v>623</v>
      </c>
      <c r="E321" s="218" t="s">
        <v>7341</v>
      </c>
      <c r="F321" s="218" t="s">
        <v>7342</v>
      </c>
      <c r="G321" s="218">
        <v>6</v>
      </c>
      <c r="H321" s="218" t="s">
        <v>616</v>
      </c>
      <c r="I321" s="218" t="str">
        <f>("1308070286")</f>
        <v>1308070286</v>
      </c>
    </row>
    <row r="322" spans="1:10" x14ac:dyDescent="0.15">
      <c r="A322" s="406" t="str">
        <f t="shared" si="5"/>
        <v>千怒サッカースポーツ少年団_3</v>
      </c>
      <c r="B322" s="218" t="s">
        <v>898</v>
      </c>
      <c r="C322" s="218" t="str">
        <f>("3")</f>
        <v>3</v>
      </c>
      <c r="D322" s="218" t="s">
        <v>615</v>
      </c>
      <c r="E322" s="218" t="s">
        <v>7343</v>
      </c>
      <c r="F322" s="218" t="s">
        <v>7344</v>
      </c>
      <c r="G322" s="218">
        <v>3</v>
      </c>
      <c r="H322" s="218" t="s">
        <v>614</v>
      </c>
      <c r="I322" s="218" t="str">
        <f>("1611020018")</f>
        <v>1611020018</v>
      </c>
    </row>
    <row r="323" spans="1:10" x14ac:dyDescent="0.15">
      <c r="A323" s="406" t="str">
        <f t="shared" si="5"/>
        <v>千怒サッカースポーツ少年団_5</v>
      </c>
      <c r="B323" s="218" t="s">
        <v>898</v>
      </c>
      <c r="C323" s="218" t="str">
        <f>("5")</f>
        <v>5</v>
      </c>
      <c r="D323" s="218" t="s">
        <v>615</v>
      </c>
      <c r="E323" s="218" t="s">
        <v>7345</v>
      </c>
      <c r="F323" s="218" t="s">
        <v>7346</v>
      </c>
      <c r="G323" s="218">
        <v>4</v>
      </c>
      <c r="H323" s="218" t="s">
        <v>614</v>
      </c>
      <c r="I323" s="218" t="str">
        <f>("1602280062")</f>
        <v>1602280062</v>
      </c>
    </row>
    <row r="324" spans="1:10" x14ac:dyDescent="0.15">
      <c r="A324" s="406" t="str">
        <f t="shared" si="5"/>
        <v>千怒サッカースポーツ少年団_6</v>
      </c>
      <c r="B324" s="218" t="s">
        <v>898</v>
      </c>
      <c r="C324" s="218" t="str">
        <f>("6")</f>
        <v>6</v>
      </c>
      <c r="D324" s="218" t="s">
        <v>611</v>
      </c>
      <c r="E324" s="218" t="s">
        <v>7347</v>
      </c>
      <c r="F324" s="218" t="s">
        <v>7348</v>
      </c>
      <c r="G324" s="218">
        <v>6</v>
      </c>
      <c r="H324" s="218" t="s">
        <v>616</v>
      </c>
      <c r="I324" s="218" t="str">
        <f>("1308100177")</f>
        <v>1308100177</v>
      </c>
      <c r="J324" s="218" t="s">
        <v>159</v>
      </c>
    </row>
    <row r="325" spans="1:10" x14ac:dyDescent="0.15">
      <c r="A325" s="406" t="str">
        <f t="shared" si="5"/>
        <v>千怒サッカースポーツ少年団_7</v>
      </c>
      <c r="B325" s="218" t="s">
        <v>898</v>
      </c>
      <c r="C325" s="218" t="str">
        <f>("7")</f>
        <v>7</v>
      </c>
      <c r="D325" s="218" t="s">
        <v>611</v>
      </c>
      <c r="E325" s="218" t="s">
        <v>907</v>
      </c>
      <c r="F325" s="218" t="s">
        <v>908</v>
      </c>
      <c r="G325" s="218">
        <v>5</v>
      </c>
      <c r="H325" s="218" t="s">
        <v>614</v>
      </c>
      <c r="I325" s="218" t="str">
        <f>("1410190034")</f>
        <v>1410190034</v>
      </c>
    </row>
    <row r="326" spans="1:10" x14ac:dyDescent="0.15">
      <c r="A326" s="406" t="str">
        <f t="shared" si="5"/>
        <v>千怒サッカースポーツ少年団_8</v>
      </c>
      <c r="B326" s="218" t="s">
        <v>898</v>
      </c>
      <c r="C326" s="218" t="str">
        <f>("8")</f>
        <v>8</v>
      </c>
      <c r="D326" s="218" t="s">
        <v>611</v>
      </c>
      <c r="E326" s="218" t="s">
        <v>7349</v>
      </c>
      <c r="F326" s="218" t="s">
        <v>7350</v>
      </c>
      <c r="G326" s="218">
        <v>5</v>
      </c>
      <c r="H326" s="218" t="s">
        <v>614</v>
      </c>
      <c r="I326" s="218" t="str">
        <f>("1407070128")</f>
        <v>1407070128</v>
      </c>
    </row>
    <row r="327" spans="1:10" x14ac:dyDescent="0.15">
      <c r="A327" s="406" t="str">
        <f t="shared" si="5"/>
        <v>千怒サッカースポーツ少年団_10</v>
      </c>
      <c r="B327" s="218" t="s">
        <v>898</v>
      </c>
      <c r="C327" s="218" t="str">
        <f>("10")</f>
        <v>10</v>
      </c>
      <c r="D327" s="218" t="s">
        <v>611</v>
      </c>
      <c r="E327" s="218" t="s">
        <v>903</v>
      </c>
      <c r="F327" s="218" t="s">
        <v>904</v>
      </c>
      <c r="G327" s="218">
        <v>6</v>
      </c>
      <c r="H327" s="218" t="s">
        <v>614</v>
      </c>
      <c r="I327" s="218" t="str">
        <f>("1310020018")</f>
        <v>1310020018</v>
      </c>
    </row>
    <row r="328" spans="1:10" x14ac:dyDescent="0.15">
      <c r="A328" s="406" t="str">
        <f t="shared" si="5"/>
        <v>千怒サッカースポーツ少年団_11</v>
      </c>
      <c r="B328" s="218" t="s">
        <v>898</v>
      </c>
      <c r="C328" s="218" t="str">
        <f>("11")</f>
        <v>11</v>
      </c>
      <c r="D328" s="218" t="s">
        <v>623</v>
      </c>
      <c r="E328" s="218" t="s">
        <v>7351</v>
      </c>
      <c r="F328" s="218" t="s">
        <v>7352</v>
      </c>
      <c r="G328" s="218">
        <v>5</v>
      </c>
      <c r="H328" s="218" t="s">
        <v>616</v>
      </c>
      <c r="I328" s="218" t="str">
        <f>("1503040109")</f>
        <v>1503040109</v>
      </c>
    </row>
    <row r="329" spans="1:10" x14ac:dyDescent="0.15">
      <c r="A329" s="406" t="str">
        <f t="shared" si="5"/>
        <v>千怒サッカースポーツ少年団_12</v>
      </c>
      <c r="B329" s="218" t="s">
        <v>898</v>
      </c>
      <c r="C329" s="218" t="str">
        <f>("12")</f>
        <v>12</v>
      </c>
      <c r="D329" s="218" t="s">
        <v>611</v>
      </c>
      <c r="E329" s="218" t="s">
        <v>7353</v>
      </c>
      <c r="F329" s="218" t="s">
        <v>7354</v>
      </c>
      <c r="G329" s="218">
        <v>3</v>
      </c>
      <c r="H329" s="218" t="s">
        <v>614</v>
      </c>
      <c r="I329" s="218" t="str">
        <f>("1609070056")</f>
        <v>1609070056</v>
      </c>
    </row>
    <row r="330" spans="1:10" x14ac:dyDescent="0.15">
      <c r="A330" s="406" t="str">
        <f t="shared" si="5"/>
        <v>千怒サッカースポーツ少年団_13</v>
      </c>
      <c r="B330" s="218" t="s">
        <v>898</v>
      </c>
      <c r="C330" s="218" t="str">
        <f>("13")</f>
        <v>13</v>
      </c>
      <c r="D330" s="218" t="s">
        <v>623</v>
      </c>
      <c r="E330" s="218" t="s">
        <v>7355</v>
      </c>
      <c r="F330" s="218" t="s">
        <v>7356</v>
      </c>
      <c r="G330" s="218">
        <v>3</v>
      </c>
      <c r="H330" s="218" t="s">
        <v>614</v>
      </c>
      <c r="I330" s="218" t="str">
        <f>("1702190014")</f>
        <v>1702190014</v>
      </c>
    </row>
    <row r="331" spans="1:10" x14ac:dyDescent="0.15">
      <c r="A331" s="406" t="str">
        <f t="shared" si="5"/>
        <v>千怒サッカースポーツ少年団_14</v>
      </c>
      <c r="B331" s="218" t="s">
        <v>898</v>
      </c>
      <c r="C331" s="218" t="str">
        <f>("14")</f>
        <v>14</v>
      </c>
      <c r="D331" s="218" t="s">
        <v>624</v>
      </c>
      <c r="E331" s="218" t="s">
        <v>7357</v>
      </c>
      <c r="F331" s="218" t="s">
        <v>7358</v>
      </c>
      <c r="G331" s="218">
        <v>3</v>
      </c>
      <c r="H331" s="218" t="s">
        <v>614</v>
      </c>
      <c r="I331" s="218" t="str">
        <f>("1607310022")</f>
        <v>1607310022</v>
      </c>
    </row>
    <row r="332" spans="1:10" x14ac:dyDescent="0.15">
      <c r="A332" s="406" t="str">
        <f t="shared" si="5"/>
        <v>千怒サッカースポーツ少年団_17</v>
      </c>
      <c r="B332" s="218" t="s">
        <v>898</v>
      </c>
      <c r="C332" s="218" t="str">
        <f>("17")</f>
        <v>17</v>
      </c>
      <c r="D332" s="218" t="s">
        <v>615</v>
      </c>
      <c r="E332" s="218" t="s">
        <v>7359</v>
      </c>
      <c r="F332" s="218" t="s">
        <v>7360</v>
      </c>
      <c r="G332" s="218">
        <v>3</v>
      </c>
      <c r="H332" s="218" t="s">
        <v>614</v>
      </c>
      <c r="I332" s="218" t="str">
        <f>("1608100011")</f>
        <v>1608100011</v>
      </c>
    </row>
    <row r="333" spans="1:10" x14ac:dyDescent="0.15">
      <c r="A333" s="406" t="str">
        <f t="shared" si="5"/>
        <v>千怒サッカースポーツ少年団_18</v>
      </c>
      <c r="B333" s="218" t="s">
        <v>898</v>
      </c>
      <c r="C333" s="218" t="str">
        <f>("18")</f>
        <v>18</v>
      </c>
      <c r="D333" s="218" t="s">
        <v>611</v>
      </c>
      <c r="E333" s="218" t="s">
        <v>7361</v>
      </c>
      <c r="F333" s="218" t="s">
        <v>7362</v>
      </c>
      <c r="G333" s="218">
        <v>4</v>
      </c>
      <c r="H333" s="218" t="s">
        <v>614</v>
      </c>
      <c r="I333" s="218" t="str">
        <f>("1602160046")</f>
        <v>1602160046</v>
      </c>
    </row>
    <row r="334" spans="1:10" x14ac:dyDescent="0.15">
      <c r="A334" s="406" t="str">
        <f t="shared" si="5"/>
        <v>千怒サッカースポーツ少年団_19</v>
      </c>
      <c r="B334" s="218" t="s">
        <v>898</v>
      </c>
      <c r="C334" s="218" t="str">
        <f>("19")</f>
        <v>19</v>
      </c>
      <c r="D334" s="218" t="s">
        <v>615</v>
      </c>
      <c r="E334" s="218" t="s">
        <v>7363</v>
      </c>
      <c r="F334" s="218" t="s">
        <v>7364</v>
      </c>
      <c r="G334" s="218">
        <v>3</v>
      </c>
      <c r="H334" s="218" t="s">
        <v>614</v>
      </c>
      <c r="I334" s="218" t="str">
        <f>("1609100012")</f>
        <v>1609100012</v>
      </c>
    </row>
    <row r="335" spans="1:10" x14ac:dyDescent="0.15">
      <c r="A335" s="406" t="str">
        <f t="shared" si="5"/>
        <v>千怒サッカースポーツ少年団_21</v>
      </c>
      <c r="B335" s="218" t="s">
        <v>898</v>
      </c>
      <c r="C335" s="218" t="str">
        <f>("21")</f>
        <v>21</v>
      </c>
      <c r="D335" s="218" t="s">
        <v>615</v>
      </c>
      <c r="E335" s="218" t="s">
        <v>7365</v>
      </c>
      <c r="F335" s="218" t="s">
        <v>7366</v>
      </c>
      <c r="G335" s="218">
        <v>4</v>
      </c>
      <c r="H335" s="218" t="s">
        <v>614</v>
      </c>
      <c r="I335" s="218" t="str">
        <f>("1510020033")</f>
        <v>1510020033</v>
      </c>
    </row>
    <row r="336" spans="1:10" x14ac:dyDescent="0.15">
      <c r="A336" s="406" t="str">
        <f t="shared" si="5"/>
        <v>弥生少年サッカークラブ_1</v>
      </c>
      <c r="B336" s="218" t="s">
        <v>919</v>
      </c>
      <c r="C336" s="218" t="str">
        <f>("1")</f>
        <v>1</v>
      </c>
      <c r="D336" s="218" t="s">
        <v>624</v>
      </c>
      <c r="E336" s="218" t="s">
        <v>7367</v>
      </c>
      <c r="F336" s="218" t="s">
        <v>7368</v>
      </c>
      <c r="G336" s="218">
        <v>6</v>
      </c>
      <c r="H336" s="218" t="s">
        <v>614</v>
      </c>
      <c r="I336" s="218" t="str">
        <f>("1307060005")</f>
        <v>1307060005</v>
      </c>
    </row>
    <row r="337" spans="1:10" x14ac:dyDescent="0.15">
      <c r="A337" s="406" t="str">
        <f t="shared" si="5"/>
        <v>弥生少年サッカークラブ_2</v>
      </c>
      <c r="B337" s="218" t="s">
        <v>919</v>
      </c>
      <c r="C337" s="218" t="str">
        <f>("2")</f>
        <v>2</v>
      </c>
      <c r="D337" s="218" t="s">
        <v>611</v>
      </c>
      <c r="E337" s="218" t="s">
        <v>7369</v>
      </c>
      <c r="F337" s="218" t="s">
        <v>7370</v>
      </c>
      <c r="G337" s="218">
        <v>5</v>
      </c>
      <c r="H337" s="218" t="s">
        <v>614</v>
      </c>
      <c r="I337" s="218" t="str">
        <f>("1408020032")</f>
        <v>1408020032</v>
      </c>
    </row>
    <row r="338" spans="1:10" x14ac:dyDescent="0.15">
      <c r="A338" s="406" t="str">
        <f t="shared" si="5"/>
        <v>弥生少年サッカークラブ_3</v>
      </c>
      <c r="B338" s="218" t="s">
        <v>919</v>
      </c>
      <c r="C338" s="218" t="str">
        <f>("3")</f>
        <v>3</v>
      </c>
      <c r="D338" s="218" t="s">
        <v>611</v>
      </c>
      <c r="E338" s="218" t="s">
        <v>7371</v>
      </c>
      <c r="F338" s="218" t="s">
        <v>7372</v>
      </c>
      <c r="G338" s="218">
        <v>5</v>
      </c>
      <c r="H338" s="218" t="s">
        <v>614</v>
      </c>
      <c r="I338" s="218" t="str">
        <f>("1503230083")</f>
        <v>1503230083</v>
      </c>
    </row>
    <row r="339" spans="1:10" x14ac:dyDescent="0.15">
      <c r="A339" s="406" t="str">
        <f t="shared" si="5"/>
        <v>弥生少年サッカークラブ_4</v>
      </c>
      <c r="B339" s="218" t="s">
        <v>919</v>
      </c>
      <c r="C339" s="218" t="str">
        <f>("4")</f>
        <v>4</v>
      </c>
      <c r="D339" s="218" t="s">
        <v>623</v>
      </c>
      <c r="E339" s="218" t="s">
        <v>7373</v>
      </c>
      <c r="F339" s="218" t="s">
        <v>7374</v>
      </c>
      <c r="G339" s="218">
        <v>5</v>
      </c>
      <c r="H339" s="218" t="s">
        <v>614</v>
      </c>
      <c r="I339" s="218" t="str">
        <f>("1502040081")</f>
        <v>1502040081</v>
      </c>
    </row>
    <row r="340" spans="1:10" x14ac:dyDescent="0.15">
      <c r="A340" s="406" t="str">
        <f t="shared" si="5"/>
        <v>弥生少年サッカークラブ_5</v>
      </c>
      <c r="B340" s="218" t="s">
        <v>919</v>
      </c>
      <c r="C340" s="218" t="str">
        <f>("5")</f>
        <v>5</v>
      </c>
      <c r="D340" s="218" t="s">
        <v>623</v>
      </c>
      <c r="E340" s="218" t="s">
        <v>7375</v>
      </c>
      <c r="F340" s="218" t="s">
        <v>7376</v>
      </c>
      <c r="G340" s="218">
        <v>5</v>
      </c>
      <c r="H340" s="218" t="s">
        <v>614</v>
      </c>
      <c r="I340" s="218" t="str">
        <f>("1407180210")</f>
        <v>1407180210</v>
      </c>
    </row>
    <row r="341" spans="1:10" x14ac:dyDescent="0.15">
      <c r="A341" s="406" t="str">
        <f t="shared" si="5"/>
        <v>弥生少年サッカークラブ_6</v>
      </c>
      <c r="B341" s="218" t="s">
        <v>919</v>
      </c>
      <c r="C341" s="218" t="str">
        <f>("6")</f>
        <v>6</v>
      </c>
      <c r="D341" s="218" t="s">
        <v>611</v>
      </c>
      <c r="E341" s="218" t="s">
        <v>7377</v>
      </c>
      <c r="F341" s="218" t="s">
        <v>7378</v>
      </c>
      <c r="G341" s="218">
        <v>5</v>
      </c>
      <c r="H341" s="218" t="s">
        <v>614</v>
      </c>
      <c r="I341" s="218" t="str">
        <f>("1410070118")</f>
        <v>1410070118</v>
      </c>
    </row>
    <row r="342" spans="1:10" x14ac:dyDescent="0.15">
      <c r="A342" s="406" t="str">
        <f t="shared" si="5"/>
        <v>弥生少年サッカークラブ_7</v>
      </c>
      <c r="B342" s="218" t="s">
        <v>919</v>
      </c>
      <c r="C342" s="218" t="str">
        <f>("7")</f>
        <v>7</v>
      </c>
      <c r="D342" s="218" t="s">
        <v>611</v>
      </c>
      <c r="E342" s="218" t="s">
        <v>911</v>
      </c>
      <c r="F342" s="218" t="s">
        <v>912</v>
      </c>
      <c r="G342" s="218">
        <v>6</v>
      </c>
      <c r="H342" s="218" t="s">
        <v>614</v>
      </c>
      <c r="I342" s="218" t="str">
        <f>("1312100011")</f>
        <v>1312100011</v>
      </c>
    </row>
    <row r="343" spans="1:10" x14ac:dyDescent="0.15">
      <c r="A343" s="406" t="str">
        <f t="shared" si="5"/>
        <v>弥生少年サッカークラブ_8</v>
      </c>
      <c r="B343" s="218" t="s">
        <v>919</v>
      </c>
      <c r="C343" s="218" t="str">
        <f>("8")</f>
        <v>8</v>
      </c>
      <c r="D343" s="218" t="s">
        <v>615</v>
      </c>
      <c r="E343" s="218" t="s">
        <v>913</v>
      </c>
      <c r="F343" s="218" t="s">
        <v>914</v>
      </c>
      <c r="G343" s="218">
        <v>6</v>
      </c>
      <c r="H343" s="218" t="s">
        <v>614</v>
      </c>
      <c r="I343" s="218" t="str">
        <f>("1306190008")</f>
        <v>1306190008</v>
      </c>
    </row>
    <row r="344" spans="1:10" x14ac:dyDescent="0.15">
      <c r="A344" s="406" t="str">
        <f t="shared" si="5"/>
        <v>弥生少年サッカークラブ_9</v>
      </c>
      <c r="B344" s="218" t="s">
        <v>919</v>
      </c>
      <c r="C344" s="218" t="str">
        <f>("9")</f>
        <v>9</v>
      </c>
      <c r="D344" s="218" t="s">
        <v>623</v>
      </c>
      <c r="E344" s="218" t="s">
        <v>922</v>
      </c>
      <c r="F344" s="218" t="s">
        <v>923</v>
      </c>
      <c r="G344" s="218">
        <v>6</v>
      </c>
      <c r="H344" s="218" t="s">
        <v>614</v>
      </c>
      <c r="I344" s="218" t="str">
        <f>("1304130015")</f>
        <v>1304130015</v>
      </c>
    </row>
    <row r="345" spans="1:10" x14ac:dyDescent="0.15">
      <c r="A345" s="406" t="str">
        <f t="shared" si="5"/>
        <v>弥生少年サッカークラブ_10</v>
      </c>
      <c r="B345" s="218" t="s">
        <v>919</v>
      </c>
      <c r="C345" s="218" t="str">
        <f>("10")</f>
        <v>10</v>
      </c>
      <c r="D345" s="218" t="s">
        <v>615</v>
      </c>
      <c r="E345" s="218" t="s">
        <v>909</v>
      </c>
      <c r="F345" s="218" t="s">
        <v>910</v>
      </c>
      <c r="G345" s="218">
        <v>6</v>
      </c>
      <c r="H345" s="218" t="s">
        <v>614</v>
      </c>
      <c r="I345" s="218" t="str">
        <f>("1310290019")</f>
        <v>1310290019</v>
      </c>
    </row>
    <row r="346" spans="1:10" x14ac:dyDescent="0.15">
      <c r="A346" s="406" t="str">
        <f t="shared" si="5"/>
        <v>弥生少年サッカークラブ_11</v>
      </c>
      <c r="B346" s="218" t="s">
        <v>919</v>
      </c>
      <c r="C346" s="218" t="str">
        <f>("11")</f>
        <v>11</v>
      </c>
      <c r="D346" s="218" t="s">
        <v>615</v>
      </c>
      <c r="E346" s="218" t="s">
        <v>7379</v>
      </c>
      <c r="F346" s="218" t="s">
        <v>7380</v>
      </c>
      <c r="G346" s="218">
        <v>6</v>
      </c>
      <c r="H346" s="218" t="s">
        <v>614</v>
      </c>
      <c r="I346" s="218" t="str">
        <f>("1309200016")</f>
        <v>1309200016</v>
      </c>
      <c r="J346" s="218" t="s">
        <v>159</v>
      </c>
    </row>
    <row r="347" spans="1:10" x14ac:dyDescent="0.15">
      <c r="A347" s="406" t="str">
        <f t="shared" si="5"/>
        <v>弥生少年サッカークラブ_12</v>
      </c>
      <c r="B347" s="218" t="s">
        <v>919</v>
      </c>
      <c r="C347" s="218" t="str">
        <f>("12")</f>
        <v>12</v>
      </c>
      <c r="D347" s="218" t="s">
        <v>615</v>
      </c>
      <c r="E347" s="218" t="s">
        <v>7381</v>
      </c>
      <c r="F347" s="218" t="s">
        <v>7382</v>
      </c>
      <c r="G347" s="218">
        <v>5</v>
      </c>
      <c r="H347" s="218" t="s">
        <v>614</v>
      </c>
      <c r="I347" s="218" t="str">
        <f>("1409170002")</f>
        <v>1409170002</v>
      </c>
    </row>
    <row r="348" spans="1:10" x14ac:dyDescent="0.15">
      <c r="A348" s="406" t="str">
        <f t="shared" si="5"/>
        <v>弥生少年サッカークラブ_13</v>
      </c>
      <c r="B348" s="218" t="s">
        <v>919</v>
      </c>
      <c r="C348" s="218" t="str">
        <f>("13")</f>
        <v>13</v>
      </c>
      <c r="D348" s="218" t="s">
        <v>615</v>
      </c>
      <c r="E348" s="218" t="s">
        <v>7383</v>
      </c>
      <c r="F348" s="218" t="s">
        <v>7384</v>
      </c>
      <c r="G348" s="218">
        <v>5</v>
      </c>
      <c r="H348" s="218" t="s">
        <v>614</v>
      </c>
      <c r="I348" s="218" t="str">
        <f>("1409270091")</f>
        <v>1409270091</v>
      </c>
    </row>
    <row r="349" spans="1:10" x14ac:dyDescent="0.15">
      <c r="A349" s="406" t="str">
        <f t="shared" si="5"/>
        <v>弥生少年サッカークラブ_14</v>
      </c>
      <c r="B349" s="218" t="s">
        <v>919</v>
      </c>
      <c r="C349" s="218" t="str">
        <f>("14")</f>
        <v>14</v>
      </c>
      <c r="D349" s="218" t="s">
        <v>615</v>
      </c>
      <c r="E349" s="218" t="s">
        <v>7385</v>
      </c>
      <c r="F349" s="218" t="s">
        <v>7386</v>
      </c>
      <c r="G349" s="218">
        <v>5</v>
      </c>
      <c r="H349" s="218" t="s">
        <v>614</v>
      </c>
      <c r="I349" s="218" t="str">
        <f>("1408110147")</f>
        <v>1408110147</v>
      </c>
    </row>
    <row r="350" spans="1:10" x14ac:dyDescent="0.15">
      <c r="A350" s="406" t="str">
        <f t="shared" si="5"/>
        <v>弥生少年サッカークラブ_15</v>
      </c>
      <c r="B350" s="218" t="s">
        <v>919</v>
      </c>
      <c r="C350" s="218" t="str">
        <f>("15")</f>
        <v>15</v>
      </c>
      <c r="D350" s="218" t="s">
        <v>611</v>
      </c>
      <c r="E350" s="218" t="s">
        <v>7387</v>
      </c>
      <c r="F350" s="218" t="s">
        <v>7388</v>
      </c>
      <c r="G350" s="218">
        <v>5</v>
      </c>
      <c r="H350" s="218" t="s">
        <v>614</v>
      </c>
      <c r="I350" s="218" t="str">
        <f>("1501040150")</f>
        <v>1501040150</v>
      </c>
    </row>
    <row r="351" spans="1:10" x14ac:dyDescent="0.15">
      <c r="A351" s="406" t="str">
        <f t="shared" si="5"/>
        <v>弥生少年サッカークラブ_16</v>
      </c>
      <c r="B351" s="218" t="s">
        <v>919</v>
      </c>
      <c r="C351" s="218" t="str">
        <f>("16")</f>
        <v>16</v>
      </c>
      <c r="D351" s="218" t="s">
        <v>611</v>
      </c>
      <c r="E351" s="218" t="s">
        <v>7389</v>
      </c>
      <c r="F351" s="218" t="s">
        <v>7390</v>
      </c>
      <c r="G351" s="218">
        <v>6</v>
      </c>
      <c r="H351" s="218" t="s">
        <v>614</v>
      </c>
      <c r="I351" s="218" t="str">
        <f>("1312050009")</f>
        <v>1312050009</v>
      </c>
    </row>
    <row r="352" spans="1:10" x14ac:dyDescent="0.15">
      <c r="A352" s="406" t="str">
        <f t="shared" si="5"/>
        <v>上堅田少年サッカークラブ_1</v>
      </c>
      <c r="B352" s="218" t="s">
        <v>941</v>
      </c>
      <c r="C352" s="218" t="str">
        <f>("1")</f>
        <v>1</v>
      </c>
      <c r="D352" s="218" t="s">
        <v>624</v>
      </c>
      <c r="E352" s="218" t="s">
        <v>7391</v>
      </c>
      <c r="F352" s="218" t="s">
        <v>7392</v>
      </c>
      <c r="G352" s="218">
        <v>3</v>
      </c>
      <c r="H352" s="218" t="s">
        <v>614</v>
      </c>
      <c r="I352" s="218" t="str">
        <f>("1605300038")</f>
        <v>1605300038</v>
      </c>
    </row>
    <row r="353" spans="1:10" x14ac:dyDescent="0.15">
      <c r="A353" s="406" t="str">
        <f t="shared" si="5"/>
        <v>上堅田少年サッカークラブ_2</v>
      </c>
      <c r="B353" s="218" t="s">
        <v>941</v>
      </c>
      <c r="C353" s="218" t="str">
        <f>("2")</f>
        <v>2</v>
      </c>
      <c r="D353" s="218" t="s">
        <v>611</v>
      </c>
      <c r="E353" s="218" t="s">
        <v>7393</v>
      </c>
      <c r="F353" s="218" t="s">
        <v>7394</v>
      </c>
      <c r="G353" s="218">
        <v>6</v>
      </c>
      <c r="H353" s="218" t="s">
        <v>616</v>
      </c>
      <c r="I353" s="218" t="str">
        <f>("1403140011")</f>
        <v>1403140011</v>
      </c>
    </row>
    <row r="354" spans="1:10" x14ac:dyDescent="0.15">
      <c r="A354" s="406" t="str">
        <f t="shared" si="5"/>
        <v>上堅田少年サッカークラブ_3</v>
      </c>
      <c r="B354" s="218" t="s">
        <v>941</v>
      </c>
      <c r="C354" s="218" t="str">
        <f>("3")</f>
        <v>3</v>
      </c>
      <c r="D354" s="218" t="s">
        <v>611</v>
      </c>
      <c r="E354" s="218" t="s">
        <v>7395</v>
      </c>
      <c r="F354" s="218" t="s">
        <v>7396</v>
      </c>
      <c r="G354" s="218">
        <v>5</v>
      </c>
      <c r="H354" s="218" t="s">
        <v>614</v>
      </c>
      <c r="I354" s="218" t="str">
        <f>("1405190137")</f>
        <v>1405190137</v>
      </c>
    </row>
    <row r="355" spans="1:10" x14ac:dyDescent="0.15">
      <c r="A355" s="406" t="str">
        <f t="shared" si="5"/>
        <v>上堅田少年サッカークラブ_5</v>
      </c>
      <c r="B355" s="218" t="s">
        <v>941</v>
      </c>
      <c r="C355" s="218" t="str">
        <f>("5")</f>
        <v>5</v>
      </c>
      <c r="D355" s="218" t="s">
        <v>611</v>
      </c>
      <c r="E355" s="218" t="s">
        <v>7397</v>
      </c>
      <c r="F355" s="218" t="s">
        <v>7398</v>
      </c>
      <c r="G355" s="218">
        <v>5</v>
      </c>
      <c r="H355" s="218" t="s">
        <v>616</v>
      </c>
      <c r="I355" s="218" t="str">
        <f>("1408140003")</f>
        <v>1408140003</v>
      </c>
    </row>
    <row r="356" spans="1:10" x14ac:dyDescent="0.15">
      <c r="A356" s="406" t="str">
        <f t="shared" si="5"/>
        <v>上堅田少年サッカークラブ_7</v>
      </c>
      <c r="B356" s="218" t="s">
        <v>941</v>
      </c>
      <c r="C356" s="218" t="str">
        <f>("7")</f>
        <v>7</v>
      </c>
      <c r="D356" s="218" t="s">
        <v>623</v>
      </c>
      <c r="E356" s="218" t="s">
        <v>7399</v>
      </c>
      <c r="F356" s="218" t="s">
        <v>7400</v>
      </c>
      <c r="G356" s="218">
        <v>5</v>
      </c>
      <c r="H356" s="218" t="s">
        <v>614</v>
      </c>
      <c r="I356" s="218" t="str">
        <f>("1407010008")</f>
        <v>1407010008</v>
      </c>
    </row>
    <row r="357" spans="1:10" x14ac:dyDescent="0.15">
      <c r="A357" s="406" t="str">
        <f t="shared" si="5"/>
        <v>上堅田少年サッカークラブ_8</v>
      </c>
      <c r="B357" s="218" t="s">
        <v>941</v>
      </c>
      <c r="C357" s="218" t="str">
        <f>("8")</f>
        <v>8</v>
      </c>
      <c r="D357" s="218" t="s">
        <v>611</v>
      </c>
      <c r="E357" s="218" t="s">
        <v>7401</v>
      </c>
      <c r="F357" s="218" t="s">
        <v>7402</v>
      </c>
      <c r="G357" s="218">
        <v>5</v>
      </c>
      <c r="H357" s="218" t="s">
        <v>614</v>
      </c>
      <c r="I357" s="218" t="str">
        <f>("1407110123")</f>
        <v>1407110123</v>
      </c>
    </row>
    <row r="358" spans="1:10" x14ac:dyDescent="0.15">
      <c r="A358" s="406" t="str">
        <f t="shared" si="5"/>
        <v>上堅田少年サッカークラブ_10</v>
      </c>
      <c r="B358" s="218" t="s">
        <v>941</v>
      </c>
      <c r="C358" s="218" t="str">
        <f>("10")</f>
        <v>10</v>
      </c>
      <c r="D358" s="218" t="s">
        <v>615</v>
      </c>
      <c r="E358" s="218" t="s">
        <v>944</v>
      </c>
      <c r="F358" s="218" t="s">
        <v>945</v>
      </c>
      <c r="G358" s="218">
        <v>6</v>
      </c>
      <c r="H358" s="218" t="s">
        <v>614</v>
      </c>
      <c r="I358" s="218" t="str">
        <f>("1306160081")</f>
        <v>1306160081</v>
      </c>
      <c r="J358" s="218" t="s">
        <v>159</v>
      </c>
    </row>
    <row r="359" spans="1:10" x14ac:dyDescent="0.15">
      <c r="A359" s="406" t="str">
        <f t="shared" si="5"/>
        <v>上堅田少年サッカークラブ_11</v>
      </c>
      <c r="B359" s="218" t="s">
        <v>941</v>
      </c>
      <c r="C359" s="218" t="str">
        <f>("11")</f>
        <v>11</v>
      </c>
      <c r="D359" s="218" t="s">
        <v>623</v>
      </c>
      <c r="E359" s="218" t="s">
        <v>7403</v>
      </c>
      <c r="F359" s="218" t="s">
        <v>7404</v>
      </c>
      <c r="G359" s="218">
        <v>4</v>
      </c>
      <c r="H359" s="218" t="s">
        <v>614</v>
      </c>
      <c r="I359" s="218" t="str">
        <f>("1508040124")</f>
        <v>1508040124</v>
      </c>
    </row>
    <row r="360" spans="1:10" x14ac:dyDescent="0.15">
      <c r="A360" s="406" t="str">
        <f t="shared" si="5"/>
        <v>上堅田少年サッカークラブ_12</v>
      </c>
      <c r="B360" s="218" t="s">
        <v>941</v>
      </c>
      <c r="C360" s="218" t="str">
        <f>("12")</f>
        <v>12</v>
      </c>
      <c r="D360" s="218" t="s">
        <v>623</v>
      </c>
      <c r="E360" s="218" t="s">
        <v>7405</v>
      </c>
      <c r="F360" s="218" t="s">
        <v>7406</v>
      </c>
      <c r="G360" s="218">
        <v>4</v>
      </c>
      <c r="H360" s="218" t="s">
        <v>616</v>
      </c>
      <c r="I360" s="218" t="str">
        <f>("1512170085")</f>
        <v>1512170085</v>
      </c>
    </row>
    <row r="361" spans="1:10" x14ac:dyDescent="0.15">
      <c r="A361" s="406" t="str">
        <f t="shared" si="5"/>
        <v>上堅田少年サッカークラブ_13</v>
      </c>
      <c r="B361" s="218" t="s">
        <v>941</v>
      </c>
      <c r="C361" s="218" t="str">
        <f>("13")</f>
        <v>13</v>
      </c>
      <c r="D361" s="218" t="s">
        <v>623</v>
      </c>
      <c r="E361" s="218" t="s">
        <v>7407</v>
      </c>
      <c r="F361" s="218" t="s">
        <v>7408</v>
      </c>
      <c r="G361" s="218">
        <v>4</v>
      </c>
      <c r="H361" s="218" t="s">
        <v>614</v>
      </c>
      <c r="I361" s="218" t="str">
        <f>("1505300089")</f>
        <v>1505300089</v>
      </c>
    </row>
    <row r="362" spans="1:10" x14ac:dyDescent="0.15">
      <c r="A362" s="406" t="str">
        <f t="shared" si="5"/>
        <v>上堅田少年サッカークラブ_14</v>
      </c>
      <c r="B362" s="218" t="s">
        <v>941</v>
      </c>
      <c r="C362" s="218" t="str">
        <f>("14")</f>
        <v>14</v>
      </c>
      <c r="D362" s="218" t="s">
        <v>615</v>
      </c>
      <c r="E362" s="218" t="s">
        <v>7409</v>
      </c>
      <c r="F362" s="218" t="s">
        <v>7410</v>
      </c>
      <c r="G362" s="218">
        <v>4</v>
      </c>
      <c r="H362" s="218" t="s">
        <v>614</v>
      </c>
      <c r="I362" s="218" t="str">
        <f>("1510140105")</f>
        <v>1510140105</v>
      </c>
    </row>
    <row r="363" spans="1:10" x14ac:dyDescent="0.15">
      <c r="A363" s="406" t="str">
        <f t="shared" si="5"/>
        <v>上堅田少年サッカークラブ_15</v>
      </c>
      <c r="B363" s="218" t="s">
        <v>941</v>
      </c>
      <c r="C363" s="218" t="str">
        <f>("15")</f>
        <v>15</v>
      </c>
      <c r="D363" s="218" t="s">
        <v>623</v>
      </c>
      <c r="E363" s="218" t="s">
        <v>7411</v>
      </c>
      <c r="F363" s="218" t="s">
        <v>7412</v>
      </c>
      <c r="G363" s="218">
        <v>3</v>
      </c>
      <c r="H363" s="218" t="s">
        <v>616</v>
      </c>
      <c r="I363" s="218" t="str">
        <f>("1608110061")</f>
        <v>1608110061</v>
      </c>
    </row>
    <row r="364" spans="1:10" x14ac:dyDescent="0.15">
      <c r="A364" s="406" t="str">
        <f t="shared" si="5"/>
        <v>鶴岡Ｓ―ｐｌａｙ・ＭＩＮＡＭＩ_1</v>
      </c>
      <c r="B364" s="218" t="s">
        <v>954</v>
      </c>
      <c r="C364" s="218" t="str">
        <f>("1")</f>
        <v>1</v>
      </c>
      <c r="D364" s="218" t="s">
        <v>624</v>
      </c>
      <c r="E364" s="218" t="s">
        <v>7413</v>
      </c>
      <c r="F364" s="218" t="s">
        <v>7414</v>
      </c>
      <c r="G364" s="218">
        <v>6</v>
      </c>
      <c r="H364" s="218" t="s">
        <v>614</v>
      </c>
      <c r="I364" s="218" t="str">
        <f>("1310220165")</f>
        <v>1310220165</v>
      </c>
    </row>
    <row r="365" spans="1:10" x14ac:dyDescent="0.15">
      <c r="A365" s="406" t="str">
        <f t="shared" si="5"/>
        <v>鶴岡Ｓ―ｐｌａｙ・ＭＩＮＡＭＩ_2</v>
      </c>
      <c r="B365" s="218" t="s">
        <v>954</v>
      </c>
      <c r="C365" s="218" t="str">
        <f>("2")</f>
        <v>2</v>
      </c>
      <c r="D365" s="218" t="s">
        <v>615</v>
      </c>
      <c r="E365" s="218" t="s">
        <v>7415</v>
      </c>
      <c r="F365" s="218" t="s">
        <v>7416</v>
      </c>
      <c r="G365" s="218">
        <v>5</v>
      </c>
      <c r="H365" s="218" t="s">
        <v>616</v>
      </c>
      <c r="I365" s="218" t="str">
        <f>("1503060174")</f>
        <v>1503060174</v>
      </c>
    </row>
    <row r="366" spans="1:10" x14ac:dyDescent="0.15">
      <c r="A366" s="406" t="str">
        <f t="shared" si="5"/>
        <v>鶴岡Ｓ―ｐｌａｙ・ＭＩＮＡＭＩ_3</v>
      </c>
      <c r="B366" s="218" t="s">
        <v>954</v>
      </c>
      <c r="C366" s="218" t="str">
        <f>("3")</f>
        <v>3</v>
      </c>
      <c r="D366" s="218" t="s">
        <v>615</v>
      </c>
      <c r="E366" s="218" t="s">
        <v>7417</v>
      </c>
      <c r="F366" s="218" t="s">
        <v>7418</v>
      </c>
      <c r="G366" s="218">
        <v>5</v>
      </c>
      <c r="H366" s="218" t="s">
        <v>616</v>
      </c>
      <c r="I366" s="218" t="str">
        <f>("1503060175")</f>
        <v>1503060175</v>
      </c>
    </row>
    <row r="367" spans="1:10" x14ac:dyDescent="0.15">
      <c r="A367" s="406" t="str">
        <f t="shared" si="5"/>
        <v>鶴岡Ｓ―ｐｌａｙ・ＭＩＮＡＭＩ_4</v>
      </c>
      <c r="B367" s="218" t="s">
        <v>954</v>
      </c>
      <c r="C367" s="218" t="str">
        <f>("4")</f>
        <v>4</v>
      </c>
      <c r="D367" s="218" t="s">
        <v>615</v>
      </c>
      <c r="E367" s="218" t="s">
        <v>7419</v>
      </c>
      <c r="F367" s="218" t="s">
        <v>5028</v>
      </c>
      <c r="G367" s="218">
        <v>5</v>
      </c>
      <c r="H367" s="218" t="s">
        <v>614</v>
      </c>
      <c r="I367" s="218" t="str">
        <f>("1407210155")</f>
        <v>1407210155</v>
      </c>
    </row>
    <row r="368" spans="1:10" x14ac:dyDescent="0.15">
      <c r="A368" s="406" t="str">
        <f t="shared" si="5"/>
        <v>鶴岡Ｓ―ｐｌａｙ・ＭＩＮＡＭＩ_5</v>
      </c>
      <c r="B368" s="218" t="s">
        <v>954</v>
      </c>
      <c r="C368" s="218" t="str">
        <f>("5")</f>
        <v>5</v>
      </c>
      <c r="D368" s="218" t="s">
        <v>611</v>
      </c>
      <c r="E368" s="218" t="s">
        <v>7420</v>
      </c>
      <c r="F368" s="218" t="s">
        <v>7421</v>
      </c>
      <c r="G368" s="218">
        <v>5</v>
      </c>
      <c r="H368" s="218" t="s">
        <v>614</v>
      </c>
      <c r="I368" s="218" t="str">
        <f>("1406250099")</f>
        <v>1406250099</v>
      </c>
    </row>
    <row r="369" spans="1:10" x14ac:dyDescent="0.15">
      <c r="A369" s="406" t="str">
        <f t="shared" si="5"/>
        <v>鶴岡Ｓ―ｐｌａｙ・ＭＩＮＡＭＩ_6</v>
      </c>
      <c r="B369" s="218" t="s">
        <v>954</v>
      </c>
      <c r="C369" s="218" t="str">
        <f>("6")</f>
        <v>6</v>
      </c>
      <c r="D369" s="218" t="s">
        <v>623</v>
      </c>
      <c r="E369" s="218" t="s">
        <v>7422</v>
      </c>
      <c r="F369" s="218" t="s">
        <v>7423</v>
      </c>
      <c r="G369" s="218">
        <v>6</v>
      </c>
      <c r="H369" s="218" t="s">
        <v>614</v>
      </c>
      <c r="I369" s="218" t="str">
        <f>("1306030252")</f>
        <v>1306030252</v>
      </c>
    </row>
    <row r="370" spans="1:10" x14ac:dyDescent="0.15">
      <c r="A370" s="406" t="str">
        <f t="shared" si="5"/>
        <v>鶴岡Ｓ―ｐｌａｙ・ＭＩＮＡＭＩ_7</v>
      </c>
      <c r="B370" s="218" t="s">
        <v>954</v>
      </c>
      <c r="C370" s="218" t="str">
        <f>("7")</f>
        <v>7</v>
      </c>
      <c r="D370" s="218" t="s">
        <v>615</v>
      </c>
      <c r="E370" s="218" t="s">
        <v>7424</v>
      </c>
      <c r="F370" s="218" t="s">
        <v>7425</v>
      </c>
      <c r="G370" s="218">
        <v>5</v>
      </c>
      <c r="H370" s="218" t="s">
        <v>614</v>
      </c>
      <c r="I370" s="218" t="str">
        <f>("1412220046")</f>
        <v>1412220046</v>
      </c>
    </row>
    <row r="371" spans="1:10" x14ac:dyDescent="0.15">
      <c r="A371" s="406" t="str">
        <f t="shared" si="5"/>
        <v>鶴岡Ｓ―ｐｌａｙ・ＭＩＮＡＭＩ_8</v>
      </c>
      <c r="B371" s="218" t="s">
        <v>954</v>
      </c>
      <c r="C371" s="218" t="str">
        <f>("8")</f>
        <v>8</v>
      </c>
      <c r="D371" s="218" t="s">
        <v>611</v>
      </c>
      <c r="E371" s="218" t="s">
        <v>7426</v>
      </c>
      <c r="F371" s="218" t="s">
        <v>7427</v>
      </c>
      <c r="G371" s="218">
        <v>6</v>
      </c>
      <c r="H371" s="218" t="s">
        <v>614</v>
      </c>
      <c r="I371" s="218" t="str">
        <f>("1310030114")</f>
        <v>1310030114</v>
      </c>
    </row>
    <row r="372" spans="1:10" x14ac:dyDescent="0.15">
      <c r="A372" s="406" t="str">
        <f t="shared" si="5"/>
        <v>鶴岡Ｓ―ｐｌａｙ・ＭＩＮＡＭＩ_9</v>
      </c>
      <c r="B372" s="218" t="s">
        <v>954</v>
      </c>
      <c r="C372" s="218" t="str">
        <f>("9")</f>
        <v>9</v>
      </c>
      <c r="D372" s="218" t="s">
        <v>615</v>
      </c>
      <c r="E372" s="218" t="s">
        <v>7428</v>
      </c>
      <c r="F372" s="218" t="s">
        <v>7429</v>
      </c>
      <c r="G372" s="218">
        <v>5</v>
      </c>
      <c r="H372" s="218" t="s">
        <v>614</v>
      </c>
      <c r="I372" s="218" t="str">
        <f>("1405300094")</f>
        <v>1405300094</v>
      </c>
    </row>
    <row r="373" spans="1:10" x14ac:dyDescent="0.15">
      <c r="A373" s="406" t="str">
        <f t="shared" si="5"/>
        <v>鶴岡Ｓ―ｐｌａｙ・ＭＩＮＡＭＩ_10</v>
      </c>
      <c r="B373" s="218" t="s">
        <v>954</v>
      </c>
      <c r="C373" s="218" t="str">
        <f>("10")</f>
        <v>10</v>
      </c>
      <c r="D373" s="218" t="s">
        <v>615</v>
      </c>
      <c r="E373" s="218" t="s">
        <v>966</v>
      </c>
      <c r="F373" s="218" t="s">
        <v>967</v>
      </c>
      <c r="G373" s="218">
        <v>6</v>
      </c>
      <c r="H373" s="218" t="s">
        <v>614</v>
      </c>
      <c r="I373" s="218" t="str">
        <f>("1308280032")</f>
        <v>1308280032</v>
      </c>
      <c r="J373" s="218" t="s">
        <v>159</v>
      </c>
    </row>
    <row r="374" spans="1:10" x14ac:dyDescent="0.15">
      <c r="A374" s="406" t="str">
        <f t="shared" si="5"/>
        <v>鶴岡Ｓ―ｐｌａｙ・ＭＩＮＡＭＩ_11</v>
      </c>
      <c r="B374" s="218" t="s">
        <v>954</v>
      </c>
      <c r="C374" s="218" t="str">
        <f>("11")</f>
        <v>11</v>
      </c>
      <c r="D374" s="218" t="s">
        <v>623</v>
      </c>
      <c r="E374" s="218" t="s">
        <v>7430</v>
      </c>
      <c r="F374" s="218" t="s">
        <v>7431</v>
      </c>
      <c r="G374" s="218">
        <v>6</v>
      </c>
      <c r="H374" s="218" t="s">
        <v>614</v>
      </c>
      <c r="I374" s="218" t="str">
        <f>("1305080128")</f>
        <v>1305080128</v>
      </c>
    </row>
    <row r="375" spans="1:10" x14ac:dyDescent="0.15">
      <c r="A375" s="406" t="str">
        <f t="shared" si="5"/>
        <v>鶴岡Ｓ―ｐｌａｙ・ＭＩＮＡＭＩ_12</v>
      </c>
      <c r="B375" s="218" t="s">
        <v>954</v>
      </c>
      <c r="C375" s="218" t="str">
        <f>("12")</f>
        <v>12</v>
      </c>
      <c r="D375" s="218" t="s">
        <v>611</v>
      </c>
      <c r="E375" s="218" t="s">
        <v>7432</v>
      </c>
      <c r="F375" s="218" t="s">
        <v>7433</v>
      </c>
      <c r="G375" s="218">
        <v>4</v>
      </c>
      <c r="H375" s="218" t="s">
        <v>614</v>
      </c>
      <c r="I375" s="218" t="str">
        <f>("1507180015")</f>
        <v>1507180015</v>
      </c>
    </row>
    <row r="376" spans="1:10" x14ac:dyDescent="0.15">
      <c r="A376" s="406" t="str">
        <f t="shared" si="5"/>
        <v>鶴岡Ｓ―ｐｌａｙ・ＭＩＮＡＭＩ_13</v>
      </c>
      <c r="B376" s="218" t="s">
        <v>954</v>
      </c>
      <c r="C376" s="218" t="str">
        <f>("13")</f>
        <v>13</v>
      </c>
      <c r="D376" s="218" t="s">
        <v>623</v>
      </c>
      <c r="E376" s="218" t="s">
        <v>7434</v>
      </c>
      <c r="F376" s="218" t="s">
        <v>7435</v>
      </c>
      <c r="G376" s="218">
        <v>4</v>
      </c>
      <c r="H376" s="218" t="s">
        <v>614</v>
      </c>
      <c r="I376" s="218" t="str">
        <f>("1505040011")</f>
        <v>1505040011</v>
      </c>
    </row>
    <row r="377" spans="1:10" x14ac:dyDescent="0.15">
      <c r="A377" s="406" t="str">
        <f t="shared" si="5"/>
        <v>鶴岡Ｓ―ｐｌａｙ・ＭＩＮＡＭＩ_14</v>
      </c>
      <c r="B377" s="218" t="s">
        <v>954</v>
      </c>
      <c r="C377" s="218" t="str">
        <f>("14")</f>
        <v>14</v>
      </c>
      <c r="D377" s="218" t="s">
        <v>615</v>
      </c>
      <c r="E377" s="218" t="s">
        <v>7436</v>
      </c>
      <c r="F377" s="218" t="s">
        <v>895</v>
      </c>
      <c r="G377" s="218">
        <v>4</v>
      </c>
      <c r="H377" s="218" t="s">
        <v>614</v>
      </c>
      <c r="I377" s="218" t="str">
        <f>("1504210010")</f>
        <v>1504210010</v>
      </c>
    </row>
    <row r="378" spans="1:10" x14ac:dyDescent="0.15">
      <c r="A378" s="406" t="str">
        <f t="shared" si="5"/>
        <v>鶴岡Ｓ―ｐｌａｙ・ＭＩＮＡＭＩ_15</v>
      </c>
      <c r="B378" s="218" t="s">
        <v>954</v>
      </c>
      <c r="C378" s="218" t="str">
        <f>("15")</f>
        <v>15</v>
      </c>
      <c r="D378" s="218" t="s">
        <v>611</v>
      </c>
      <c r="E378" s="218" t="s">
        <v>7437</v>
      </c>
      <c r="F378" s="218" t="s">
        <v>7438</v>
      </c>
      <c r="G378" s="218">
        <v>4</v>
      </c>
      <c r="H378" s="218" t="s">
        <v>614</v>
      </c>
      <c r="I378" s="218" t="str">
        <f>("1508140110")</f>
        <v>1508140110</v>
      </c>
    </row>
    <row r="379" spans="1:10" x14ac:dyDescent="0.15">
      <c r="A379" s="406" t="str">
        <f t="shared" si="5"/>
        <v>鶴岡Ｓ―ｐｌａｙ・ＭＩＮＡＭＩ_23</v>
      </c>
      <c r="B379" s="218" t="s">
        <v>954</v>
      </c>
      <c r="C379" s="218" t="str">
        <f>("23")</f>
        <v>23</v>
      </c>
      <c r="D379" s="218" t="s">
        <v>615</v>
      </c>
      <c r="E379" s="218" t="s">
        <v>7439</v>
      </c>
      <c r="F379" s="218" t="s">
        <v>7440</v>
      </c>
      <c r="G379" s="218">
        <v>5</v>
      </c>
      <c r="H379" s="218" t="s">
        <v>614</v>
      </c>
      <c r="I379" s="218" t="str">
        <f>("1502270025")</f>
        <v>1502270025</v>
      </c>
    </row>
    <row r="380" spans="1:10" x14ac:dyDescent="0.15">
      <c r="A380" s="406" t="str">
        <f t="shared" si="5"/>
        <v>佐伯リベロフットボールクラブ_1</v>
      </c>
      <c r="B380" s="218" t="s">
        <v>968</v>
      </c>
      <c r="C380" s="218" t="str">
        <f>("1")</f>
        <v>1</v>
      </c>
      <c r="D380" s="218" t="s">
        <v>624</v>
      </c>
      <c r="E380" s="218" t="s">
        <v>7441</v>
      </c>
      <c r="F380" s="218" t="s">
        <v>7442</v>
      </c>
      <c r="G380" s="218">
        <v>6</v>
      </c>
      <c r="H380" s="218" t="s">
        <v>614</v>
      </c>
      <c r="I380" s="218" t="str">
        <f>("1305200133")</f>
        <v>1305200133</v>
      </c>
    </row>
    <row r="381" spans="1:10" x14ac:dyDescent="0.15">
      <c r="A381" s="406" t="str">
        <f t="shared" si="5"/>
        <v>佐伯リベロフットボールクラブ_2</v>
      </c>
      <c r="B381" s="218" t="s">
        <v>968</v>
      </c>
      <c r="C381" s="218" t="str">
        <f>("2")</f>
        <v>2</v>
      </c>
      <c r="D381" s="218" t="s">
        <v>611</v>
      </c>
      <c r="E381" s="218" t="s">
        <v>915</v>
      </c>
      <c r="F381" s="218" t="s">
        <v>916</v>
      </c>
      <c r="G381" s="218">
        <v>6</v>
      </c>
      <c r="H381" s="218" t="s">
        <v>614</v>
      </c>
      <c r="I381" s="218" t="str">
        <f>("1309110154")</f>
        <v>1309110154</v>
      </c>
    </row>
    <row r="382" spans="1:10" x14ac:dyDescent="0.15">
      <c r="A382" s="406" t="str">
        <f t="shared" si="5"/>
        <v>佐伯リベロフットボールクラブ_3</v>
      </c>
      <c r="B382" s="218" t="s">
        <v>968</v>
      </c>
      <c r="C382" s="218" t="str">
        <f>("3")</f>
        <v>3</v>
      </c>
      <c r="D382" s="218" t="s">
        <v>615</v>
      </c>
      <c r="E382" s="218" t="s">
        <v>917</v>
      </c>
      <c r="F382" s="218" t="s">
        <v>918</v>
      </c>
      <c r="G382" s="218">
        <v>5</v>
      </c>
      <c r="H382" s="218" t="s">
        <v>614</v>
      </c>
      <c r="I382" s="218" t="str">
        <f>("1503080002")</f>
        <v>1503080002</v>
      </c>
    </row>
    <row r="383" spans="1:10" x14ac:dyDescent="0.15">
      <c r="A383" s="406" t="str">
        <f t="shared" si="5"/>
        <v>佐伯リベロフットボールクラブ_4</v>
      </c>
      <c r="B383" s="218" t="s">
        <v>968</v>
      </c>
      <c r="C383" s="218" t="str">
        <f>("4")</f>
        <v>4</v>
      </c>
      <c r="D383" s="218" t="s">
        <v>611</v>
      </c>
      <c r="E383" s="218" t="s">
        <v>7443</v>
      </c>
      <c r="F383" s="218" t="s">
        <v>7444</v>
      </c>
      <c r="G383" s="218">
        <v>6</v>
      </c>
      <c r="H383" s="218" t="s">
        <v>614</v>
      </c>
      <c r="I383" s="218" t="str">
        <f>("1305030158")</f>
        <v>1305030158</v>
      </c>
    </row>
    <row r="384" spans="1:10" x14ac:dyDescent="0.15">
      <c r="A384" s="406" t="str">
        <f t="shared" si="5"/>
        <v>佐伯リベロフットボールクラブ_5</v>
      </c>
      <c r="B384" s="218" t="s">
        <v>968</v>
      </c>
      <c r="C384" s="218" t="str">
        <f>("5")</f>
        <v>5</v>
      </c>
      <c r="D384" s="218" t="s">
        <v>611</v>
      </c>
      <c r="E384" s="218" t="s">
        <v>7445</v>
      </c>
      <c r="F384" s="218" t="s">
        <v>7446</v>
      </c>
      <c r="G384" s="218">
        <v>6</v>
      </c>
      <c r="H384" s="218" t="s">
        <v>614</v>
      </c>
      <c r="I384" s="218" t="str">
        <f>("1401310151")</f>
        <v>1401310151</v>
      </c>
    </row>
    <row r="385" spans="1:10" x14ac:dyDescent="0.15">
      <c r="A385" s="406" t="str">
        <f t="shared" ref="A385:A448" si="6">CONCATENATE(B385,"_",C385)</f>
        <v>佐伯リベロフットボールクラブ_6</v>
      </c>
      <c r="B385" s="218" t="s">
        <v>968</v>
      </c>
      <c r="C385" s="218" t="str">
        <f>("6")</f>
        <v>6</v>
      </c>
      <c r="D385" s="218" t="s">
        <v>615</v>
      </c>
      <c r="E385" s="218" t="s">
        <v>7447</v>
      </c>
      <c r="F385" s="218" t="s">
        <v>7448</v>
      </c>
      <c r="G385" s="218">
        <v>5</v>
      </c>
      <c r="H385" s="218" t="s">
        <v>614</v>
      </c>
      <c r="I385" s="218" t="str">
        <f>("1502030018")</f>
        <v>1502030018</v>
      </c>
    </row>
    <row r="386" spans="1:10" x14ac:dyDescent="0.15">
      <c r="A386" s="406" t="str">
        <f t="shared" si="6"/>
        <v>佐伯リベロフットボールクラブ_7</v>
      </c>
      <c r="B386" s="218" t="s">
        <v>968</v>
      </c>
      <c r="C386" s="218" t="str">
        <f>("7")</f>
        <v>7</v>
      </c>
      <c r="D386" s="218" t="s">
        <v>615</v>
      </c>
      <c r="E386" s="218" t="s">
        <v>7449</v>
      </c>
      <c r="F386" s="218" t="s">
        <v>7450</v>
      </c>
      <c r="G386" s="218">
        <v>6</v>
      </c>
      <c r="H386" s="218" t="s">
        <v>614</v>
      </c>
      <c r="I386" s="218" t="str">
        <f>("1308070107")</f>
        <v>1308070107</v>
      </c>
    </row>
    <row r="387" spans="1:10" x14ac:dyDescent="0.15">
      <c r="A387" s="406" t="str">
        <f t="shared" si="6"/>
        <v>佐伯リベロフットボールクラブ_8</v>
      </c>
      <c r="B387" s="218" t="s">
        <v>968</v>
      </c>
      <c r="C387" s="218" t="str">
        <f>("8")</f>
        <v>8</v>
      </c>
      <c r="D387" s="218" t="s">
        <v>615</v>
      </c>
      <c r="E387" s="218" t="s">
        <v>987</v>
      </c>
      <c r="F387" s="218" t="s">
        <v>988</v>
      </c>
      <c r="G387" s="218">
        <v>6</v>
      </c>
      <c r="H387" s="218" t="s">
        <v>616</v>
      </c>
      <c r="I387" s="218" t="str">
        <f>("1309250131")</f>
        <v>1309250131</v>
      </c>
      <c r="J387" s="218" t="s">
        <v>159</v>
      </c>
    </row>
    <row r="388" spans="1:10" x14ac:dyDescent="0.15">
      <c r="A388" s="406" t="str">
        <f t="shared" si="6"/>
        <v>佐伯リベロフットボールクラブ_9</v>
      </c>
      <c r="B388" s="218" t="s">
        <v>968</v>
      </c>
      <c r="C388" s="218" t="str">
        <f>("9")</f>
        <v>9</v>
      </c>
      <c r="D388" s="218" t="s">
        <v>623</v>
      </c>
      <c r="E388" s="218" t="s">
        <v>7451</v>
      </c>
      <c r="F388" s="218" t="s">
        <v>7452</v>
      </c>
      <c r="G388" s="218">
        <v>6</v>
      </c>
      <c r="H388" s="218" t="s">
        <v>614</v>
      </c>
      <c r="I388" s="218" t="str">
        <f>("1307110013")</f>
        <v>1307110013</v>
      </c>
    </row>
    <row r="389" spans="1:10" x14ac:dyDescent="0.15">
      <c r="A389" s="406" t="str">
        <f t="shared" si="6"/>
        <v>佐伯リベロフットボールクラブ_10</v>
      </c>
      <c r="B389" s="218" t="s">
        <v>968</v>
      </c>
      <c r="C389" s="218" t="str">
        <f>("10")</f>
        <v>10</v>
      </c>
      <c r="D389" s="218" t="s">
        <v>615</v>
      </c>
      <c r="E389" s="218" t="s">
        <v>971</v>
      </c>
      <c r="F389" s="218" t="s">
        <v>972</v>
      </c>
      <c r="G389" s="218">
        <v>6</v>
      </c>
      <c r="H389" s="218" t="s">
        <v>614</v>
      </c>
      <c r="I389" s="218" t="str">
        <f>("1307280063")</f>
        <v>1307280063</v>
      </c>
    </row>
    <row r="390" spans="1:10" x14ac:dyDescent="0.15">
      <c r="A390" s="406" t="str">
        <f t="shared" si="6"/>
        <v>佐伯リベロフットボールクラブ_11</v>
      </c>
      <c r="B390" s="218" t="s">
        <v>968</v>
      </c>
      <c r="C390" s="218" t="str">
        <f>("11")</f>
        <v>11</v>
      </c>
      <c r="D390" s="218" t="s">
        <v>611</v>
      </c>
      <c r="E390" s="218" t="s">
        <v>7453</v>
      </c>
      <c r="F390" s="218" t="s">
        <v>7454</v>
      </c>
      <c r="G390" s="218">
        <v>6</v>
      </c>
      <c r="H390" s="218" t="s">
        <v>614</v>
      </c>
      <c r="I390" s="218" t="str">
        <f>("1305200132")</f>
        <v>1305200132</v>
      </c>
    </row>
    <row r="391" spans="1:10" x14ac:dyDescent="0.15">
      <c r="A391" s="406" t="str">
        <f t="shared" si="6"/>
        <v>佐伯リベロフットボールクラブ_12</v>
      </c>
      <c r="B391" s="218" t="s">
        <v>968</v>
      </c>
      <c r="C391" s="218" t="str">
        <f>("12")</f>
        <v>12</v>
      </c>
      <c r="D391" s="218" t="s">
        <v>623</v>
      </c>
      <c r="E391" s="218" t="s">
        <v>7455</v>
      </c>
      <c r="F391" s="218" t="s">
        <v>7456</v>
      </c>
      <c r="G391" s="218">
        <v>5</v>
      </c>
      <c r="H391" s="218" t="s">
        <v>614</v>
      </c>
      <c r="I391" s="218" t="str">
        <f>("1411220021")</f>
        <v>1411220021</v>
      </c>
    </row>
    <row r="392" spans="1:10" x14ac:dyDescent="0.15">
      <c r="A392" s="406" t="str">
        <f t="shared" si="6"/>
        <v>佐伯リベロフットボールクラブ_13</v>
      </c>
      <c r="B392" s="218" t="s">
        <v>968</v>
      </c>
      <c r="C392" s="218" t="str">
        <f>("13")</f>
        <v>13</v>
      </c>
      <c r="D392" s="218" t="s">
        <v>623</v>
      </c>
      <c r="E392" s="218" t="s">
        <v>7457</v>
      </c>
      <c r="F392" s="218" t="s">
        <v>7458</v>
      </c>
      <c r="G392" s="218">
        <v>5</v>
      </c>
      <c r="H392" s="218" t="s">
        <v>614</v>
      </c>
      <c r="I392" s="218" t="str">
        <f>("1412170024")</f>
        <v>1412170024</v>
      </c>
    </row>
    <row r="393" spans="1:10" x14ac:dyDescent="0.15">
      <c r="A393" s="406" t="str">
        <f t="shared" si="6"/>
        <v>別府フットボールクラブ．ミネルバＵ－１２_1</v>
      </c>
      <c r="B393" s="218" t="s">
        <v>991</v>
      </c>
      <c r="C393" s="218" t="str">
        <f>("1")</f>
        <v>1</v>
      </c>
      <c r="D393" s="218" t="s">
        <v>624</v>
      </c>
      <c r="E393" s="218" t="s">
        <v>7459</v>
      </c>
      <c r="F393" s="218" t="s">
        <v>7460</v>
      </c>
      <c r="G393" s="218">
        <v>6</v>
      </c>
      <c r="H393" s="218" t="s">
        <v>614</v>
      </c>
      <c r="I393" s="218" t="str">
        <f>("1307310078")</f>
        <v>1307310078</v>
      </c>
    </row>
    <row r="394" spans="1:10" x14ac:dyDescent="0.15">
      <c r="A394" s="406" t="str">
        <f t="shared" si="6"/>
        <v>別府フットボールクラブ．ミネルバＵ－１２_2</v>
      </c>
      <c r="B394" s="218" t="s">
        <v>991</v>
      </c>
      <c r="C394" s="218" t="str">
        <f>("2")</f>
        <v>2</v>
      </c>
      <c r="D394" s="218" t="s">
        <v>615</v>
      </c>
      <c r="E394" s="218" t="s">
        <v>7461</v>
      </c>
      <c r="F394" s="218" t="s">
        <v>7462</v>
      </c>
      <c r="G394" s="218">
        <v>6</v>
      </c>
      <c r="H394" s="218" t="s">
        <v>614</v>
      </c>
      <c r="I394" s="218" t="str">
        <f>("1308130197")</f>
        <v>1308130197</v>
      </c>
    </row>
    <row r="395" spans="1:10" x14ac:dyDescent="0.15">
      <c r="A395" s="406" t="str">
        <f t="shared" si="6"/>
        <v>別府フットボールクラブ．ミネルバＵ－１２_3</v>
      </c>
      <c r="B395" s="218" t="s">
        <v>991</v>
      </c>
      <c r="C395" s="218" t="str">
        <f>("3")</f>
        <v>3</v>
      </c>
      <c r="D395" s="218" t="s">
        <v>623</v>
      </c>
      <c r="E395" s="218" t="s">
        <v>7463</v>
      </c>
      <c r="F395" s="218" t="s">
        <v>7464</v>
      </c>
      <c r="G395" s="218">
        <v>5</v>
      </c>
      <c r="H395" s="218" t="s">
        <v>614</v>
      </c>
      <c r="I395" s="218" t="str">
        <f>("1404230141")</f>
        <v>1404230141</v>
      </c>
    </row>
    <row r="396" spans="1:10" x14ac:dyDescent="0.15">
      <c r="A396" s="406" t="str">
        <f t="shared" si="6"/>
        <v>別府フットボールクラブ．ミネルバＵ－１２_4</v>
      </c>
      <c r="B396" s="218" t="s">
        <v>991</v>
      </c>
      <c r="C396" s="218" t="str">
        <f>("4")</f>
        <v>4</v>
      </c>
      <c r="D396" s="218" t="s">
        <v>611</v>
      </c>
      <c r="E396" s="218" t="s">
        <v>7465</v>
      </c>
      <c r="F396" s="218" t="s">
        <v>7466</v>
      </c>
      <c r="G396" s="218">
        <v>5</v>
      </c>
      <c r="H396" s="218" t="s">
        <v>614</v>
      </c>
      <c r="I396" s="218" t="str">
        <f>("1404270126")</f>
        <v>1404270126</v>
      </c>
    </row>
    <row r="397" spans="1:10" x14ac:dyDescent="0.15">
      <c r="A397" s="406" t="str">
        <f t="shared" si="6"/>
        <v>別府フットボールクラブ．ミネルバＵ－１２_5</v>
      </c>
      <c r="B397" s="218" t="s">
        <v>991</v>
      </c>
      <c r="C397" s="218" t="str">
        <f>("5")</f>
        <v>5</v>
      </c>
      <c r="D397" s="218" t="s">
        <v>615</v>
      </c>
      <c r="E397" s="218" t="s">
        <v>7467</v>
      </c>
      <c r="F397" s="218" t="s">
        <v>7468</v>
      </c>
      <c r="G397" s="218">
        <v>6</v>
      </c>
      <c r="H397" s="218" t="s">
        <v>614</v>
      </c>
      <c r="I397" s="218" t="str">
        <f>("1306180181")</f>
        <v>1306180181</v>
      </c>
    </row>
    <row r="398" spans="1:10" x14ac:dyDescent="0.15">
      <c r="A398" s="406" t="str">
        <f t="shared" si="6"/>
        <v>別府フットボールクラブ．ミネルバＵ－１２_6</v>
      </c>
      <c r="B398" s="218" t="s">
        <v>991</v>
      </c>
      <c r="C398" s="218" t="str">
        <f>("6")</f>
        <v>6</v>
      </c>
      <c r="D398" s="218" t="s">
        <v>615</v>
      </c>
      <c r="E398" s="218" t="s">
        <v>7469</v>
      </c>
      <c r="F398" s="218" t="s">
        <v>7470</v>
      </c>
      <c r="G398" s="218">
        <v>6</v>
      </c>
      <c r="H398" s="218" t="s">
        <v>614</v>
      </c>
      <c r="I398" s="218" t="str">
        <f>("1312100153")</f>
        <v>1312100153</v>
      </c>
    </row>
    <row r="399" spans="1:10" x14ac:dyDescent="0.15">
      <c r="A399" s="406" t="str">
        <f t="shared" si="6"/>
        <v>別府フットボールクラブ．ミネルバＵ－１２_7</v>
      </c>
      <c r="B399" s="218" t="s">
        <v>991</v>
      </c>
      <c r="C399" s="218" t="str">
        <f>("7")</f>
        <v>7</v>
      </c>
      <c r="D399" s="218" t="s">
        <v>611</v>
      </c>
      <c r="E399" s="218" t="s">
        <v>7471</v>
      </c>
      <c r="F399" s="218" t="s">
        <v>7472</v>
      </c>
      <c r="G399" s="218">
        <v>6</v>
      </c>
      <c r="H399" s="218" t="s">
        <v>614</v>
      </c>
      <c r="I399" s="218" t="str">
        <f>("1306060066")</f>
        <v>1306060066</v>
      </c>
      <c r="J399" s="218" t="s">
        <v>159</v>
      </c>
    </row>
    <row r="400" spans="1:10" x14ac:dyDescent="0.15">
      <c r="A400" s="406" t="str">
        <f t="shared" si="6"/>
        <v>別府フットボールクラブ．ミネルバＵ－１２_8</v>
      </c>
      <c r="B400" s="218" t="s">
        <v>991</v>
      </c>
      <c r="C400" s="218" t="str">
        <f>("8")</f>
        <v>8</v>
      </c>
      <c r="D400" s="218" t="s">
        <v>623</v>
      </c>
      <c r="E400" s="218" t="s">
        <v>7473</v>
      </c>
      <c r="F400" s="218" t="s">
        <v>7474</v>
      </c>
      <c r="G400" s="218">
        <v>6</v>
      </c>
      <c r="H400" s="218" t="s">
        <v>614</v>
      </c>
      <c r="I400" s="218" t="str">
        <f>("1310170168")</f>
        <v>1310170168</v>
      </c>
    </row>
    <row r="401" spans="1:9" x14ac:dyDescent="0.15">
      <c r="A401" s="406" t="str">
        <f t="shared" si="6"/>
        <v>別府フットボールクラブ．ミネルバＵ－１２_9</v>
      </c>
      <c r="B401" s="218" t="s">
        <v>991</v>
      </c>
      <c r="C401" s="218" t="str">
        <f>("9")</f>
        <v>9</v>
      </c>
      <c r="D401" s="218" t="s">
        <v>615</v>
      </c>
      <c r="E401" s="218" t="s">
        <v>7475</v>
      </c>
      <c r="F401" s="218" t="s">
        <v>7476</v>
      </c>
      <c r="G401" s="218">
        <v>6</v>
      </c>
      <c r="H401" s="218" t="s">
        <v>616</v>
      </c>
      <c r="I401" s="218" t="str">
        <f>("1310140118")</f>
        <v>1310140118</v>
      </c>
    </row>
    <row r="402" spans="1:9" x14ac:dyDescent="0.15">
      <c r="A402" s="406" t="str">
        <f t="shared" si="6"/>
        <v>別府フットボールクラブ．ミネルバＵ－１２_10</v>
      </c>
      <c r="B402" s="218" t="s">
        <v>991</v>
      </c>
      <c r="C402" s="218" t="str">
        <f>("10")</f>
        <v>10</v>
      </c>
      <c r="D402" s="218" t="s">
        <v>615</v>
      </c>
      <c r="E402" s="218" t="s">
        <v>7477</v>
      </c>
      <c r="F402" s="218" t="s">
        <v>7478</v>
      </c>
      <c r="G402" s="218">
        <v>6</v>
      </c>
      <c r="H402" s="218" t="s">
        <v>614</v>
      </c>
      <c r="I402" s="218" t="str">
        <f>("1304250092")</f>
        <v>1304250092</v>
      </c>
    </row>
    <row r="403" spans="1:9" x14ac:dyDescent="0.15">
      <c r="A403" s="406" t="str">
        <f t="shared" si="6"/>
        <v>別府フットボールクラブ．ミネルバＵ－１２_11</v>
      </c>
      <c r="B403" s="218" t="s">
        <v>991</v>
      </c>
      <c r="C403" s="218" t="str">
        <f>("11")</f>
        <v>11</v>
      </c>
      <c r="D403" s="218" t="s">
        <v>615</v>
      </c>
      <c r="E403" s="218" t="s">
        <v>7479</v>
      </c>
      <c r="F403" s="218" t="s">
        <v>7480</v>
      </c>
      <c r="G403" s="218">
        <v>6</v>
      </c>
      <c r="H403" s="218" t="s">
        <v>614</v>
      </c>
      <c r="I403" s="218" t="str">
        <f>("1312270115")</f>
        <v>1312270115</v>
      </c>
    </row>
    <row r="404" spans="1:9" x14ac:dyDescent="0.15">
      <c r="A404" s="406" t="str">
        <f t="shared" si="6"/>
        <v>別府フットボールクラブ．ミネルバＵ－１２_12</v>
      </c>
      <c r="B404" s="218" t="s">
        <v>991</v>
      </c>
      <c r="C404" s="218" t="str">
        <f>("12")</f>
        <v>12</v>
      </c>
      <c r="D404" s="218" t="s">
        <v>615</v>
      </c>
      <c r="E404" s="218" t="s">
        <v>7481</v>
      </c>
      <c r="F404" s="218" t="s">
        <v>7482</v>
      </c>
      <c r="G404" s="218">
        <v>5</v>
      </c>
      <c r="H404" s="218" t="s">
        <v>614</v>
      </c>
      <c r="I404" s="218" t="str">
        <f>("1412020177")</f>
        <v>1412020177</v>
      </c>
    </row>
    <row r="405" spans="1:9" x14ac:dyDescent="0.15">
      <c r="A405" s="406" t="str">
        <f t="shared" si="6"/>
        <v>別府フットボールクラブ．ミネルバＵ－１２_13</v>
      </c>
      <c r="B405" s="218" t="s">
        <v>991</v>
      </c>
      <c r="C405" s="218" t="str">
        <f>("13")</f>
        <v>13</v>
      </c>
      <c r="D405" s="218" t="s">
        <v>615</v>
      </c>
      <c r="E405" s="218" t="s">
        <v>7483</v>
      </c>
      <c r="F405" s="218" t="s">
        <v>7484</v>
      </c>
      <c r="G405" s="218">
        <v>5</v>
      </c>
      <c r="H405" s="218" t="s">
        <v>614</v>
      </c>
      <c r="I405" s="218" t="str">
        <f>("1407230214")</f>
        <v>1407230214</v>
      </c>
    </row>
    <row r="406" spans="1:9" x14ac:dyDescent="0.15">
      <c r="A406" s="406" t="str">
        <f t="shared" si="6"/>
        <v>別府フットボールクラブ．ミネルバＵ－１２_14</v>
      </c>
      <c r="B406" s="218" t="s">
        <v>991</v>
      </c>
      <c r="C406" s="218" t="str">
        <f>("14")</f>
        <v>14</v>
      </c>
      <c r="D406" s="218" t="s">
        <v>623</v>
      </c>
      <c r="E406" s="218" t="s">
        <v>7485</v>
      </c>
      <c r="F406" s="218" t="s">
        <v>7486</v>
      </c>
      <c r="G406" s="218">
        <v>5</v>
      </c>
      <c r="H406" s="218" t="s">
        <v>614</v>
      </c>
      <c r="I406" s="218" t="str">
        <f>("1502240133")</f>
        <v>1502240133</v>
      </c>
    </row>
    <row r="407" spans="1:9" x14ac:dyDescent="0.15">
      <c r="A407" s="406" t="str">
        <f t="shared" si="6"/>
        <v>別府フットボールクラブ．ミネルバＵ－１２_15</v>
      </c>
      <c r="B407" s="218" t="s">
        <v>991</v>
      </c>
      <c r="C407" s="218" t="str">
        <f>("15")</f>
        <v>15</v>
      </c>
      <c r="D407" s="218" t="s">
        <v>624</v>
      </c>
      <c r="E407" s="218" t="s">
        <v>7487</v>
      </c>
      <c r="F407" s="218" t="s">
        <v>7488</v>
      </c>
      <c r="G407" s="218">
        <v>6</v>
      </c>
      <c r="H407" s="218" t="s">
        <v>614</v>
      </c>
      <c r="I407" s="218" t="str">
        <f>("1307300169")</f>
        <v>1307300169</v>
      </c>
    </row>
    <row r="408" spans="1:9" x14ac:dyDescent="0.15">
      <c r="A408" s="406" t="str">
        <f t="shared" si="6"/>
        <v>別府フットボールクラブ．ミネルバＵ－１２_16</v>
      </c>
      <c r="B408" s="218" t="s">
        <v>991</v>
      </c>
      <c r="C408" s="218" t="str">
        <f>("16")</f>
        <v>16</v>
      </c>
      <c r="D408" s="218" t="s">
        <v>623</v>
      </c>
      <c r="E408" s="218" t="s">
        <v>7489</v>
      </c>
      <c r="F408" s="218" t="s">
        <v>7490</v>
      </c>
      <c r="G408" s="218">
        <v>5</v>
      </c>
      <c r="H408" s="218" t="s">
        <v>614</v>
      </c>
      <c r="I408" s="218" t="str">
        <f>("1412020244")</f>
        <v>1412020244</v>
      </c>
    </row>
    <row r="409" spans="1:9" x14ac:dyDescent="0.15">
      <c r="A409" s="406" t="str">
        <f t="shared" si="6"/>
        <v>大在サッカースポーツ少年団_1</v>
      </c>
      <c r="B409" s="218" t="s">
        <v>7491</v>
      </c>
      <c r="C409" s="218" t="str">
        <f>("1")</f>
        <v>1</v>
      </c>
      <c r="D409" s="218" t="s">
        <v>624</v>
      </c>
      <c r="E409" s="218" t="s">
        <v>7492</v>
      </c>
      <c r="F409" s="218" t="s">
        <v>7493</v>
      </c>
      <c r="G409" s="218">
        <v>6</v>
      </c>
      <c r="H409" s="218" t="s">
        <v>614</v>
      </c>
      <c r="I409" s="218" t="str">
        <f>("1309150043")</f>
        <v>1309150043</v>
      </c>
    </row>
    <row r="410" spans="1:9" x14ac:dyDescent="0.15">
      <c r="A410" s="406" t="str">
        <f t="shared" si="6"/>
        <v>大在サッカースポーツ少年団_2</v>
      </c>
      <c r="B410" s="218" t="s">
        <v>7491</v>
      </c>
      <c r="C410" s="218" t="str">
        <f>("2")</f>
        <v>2</v>
      </c>
      <c r="D410" s="218" t="s">
        <v>611</v>
      </c>
      <c r="E410" s="218" t="s">
        <v>7494</v>
      </c>
      <c r="F410" s="218" t="s">
        <v>7495</v>
      </c>
      <c r="G410" s="218">
        <v>5</v>
      </c>
      <c r="H410" s="218" t="s">
        <v>614</v>
      </c>
      <c r="I410" s="218" t="str">
        <f>("1502160126")</f>
        <v>1502160126</v>
      </c>
    </row>
    <row r="411" spans="1:9" x14ac:dyDescent="0.15">
      <c r="A411" s="406" t="str">
        <f t="shared" si="6"/>
        <v>大在サッカースポーツ少年団_3</v>
      </c>
      <c r="B411" s="218" t="s">
        <v>7491</v>
      </c>
      <c r="C411" s="218" t="str">
        <f>("3")</f>
        <v>3</v>
      </c>
      <c r="D411" s="218" t="s">
        <v>615</v>
      </c>
      <c r="E411" s="218" t="s">
        <v>7496</v>
      </c>
      <c r="F411" s="218" t="s">
        <v>7497</v>
      </c>
      <c r="G411" s="218">
        <v>5</v>
      </c>
      <c r="H411" s="218" t="s">
        <v>614</v>
      </c>
      <c r="I411" s="218" t="str">
        <f>("1412290158")</f>
        <v>1412290158</v>
      </c>
    </row>
    <row r="412" spans="1:9" x14ac:dyDescent="0.15">
      <c r="A412" s="406" t="str">
        <f t="shared" si="6"/>
        <v>大在サッカースポーツ少年団_4</v>
      </c>
      <c r="B412" s="218" t="s">
        <v>7491</v>
      </c>
      <c r="C412" s="218" t="str">
        <f>("4")</f>
        <v>4</v>
      </c>
      <c r="D412" s="218" t="s">
        <v>611</v>
      </c>
      <c r="E412" s="218" t="s">
        <v>7498</v>
      </c>
      <c r="F412" s="218" t="s">
        <v>7499</v>
      </c>
      <c r="G412" s="218">
        <v>6</v>
      </c>
      <c r="H412" s="218" t="s">
        <v>614</v>
      </c>
      <c r="I412" s="218" t="str">
        <f>("1306290051")</f>
        <v>1306290051</v>
      </c>
    </row>
    <row r="413" spans="1:9" x14ac:dyDescent="0.15">
      <c r="A413" s="406" t="str">
        <f t="shared" si="6"/>
        <v>大在サッカースポーツ少年団_5</v>
      </c>
      <c r="B413" s="218" t="s">
        <v>7491</v>
      </c>
      <c r="C413" s="218" t="str">
        <f>("5")</f>
        <v>5</v>
      </c>
      <c r="D413" s="218" t="s">
        <v>615</v>
      </c>
      <c r="E413" s="218" t="s">
        <v>7500</v>
      </c>
      <c r="F413" s="218" t="s">
        <v>7501</v>
      </c>
      <c r="G413" s="218">
        <v>5</v>
      </c>
      <c r="H413" s="218" t="s">
        <v>614</v>
      </c>
      <c r="I413" s="218" t="str">
        <f>("1406110131")</f>
        <v>1406110131</v>
      </c>
    </row>
    <row r="414" spans="1:9" x14ac:dyDescent="0.15">
      <c r="A414" s="406" t="str">
        <f t="shared" si="6"/>
        <v>大在サッカースポーツ少年団_6</v>
      </c>
      <c r="B414" s="218" t="s">
        <v>7491</v>
      </c>
      <c r="C414" s="218" t="str">
        <f>("6")</f>
        <v>6</v>
      </c>
      <c r="D414" s="218" t="s">
        <v>611</v>
      </c>
      <c r="E414" s="218" t="s">
        <v>7502</v>
      </c>
      <c r="F414" s="218" t="s">
        <v>7503</v>
      </c>
      <c r="G414" s="218">
        <v>6</v>
      </c>
      <c r="H414" s="218" t="s">
        <v>616</v>
      </c>
      <c r="I414" s="218" t="str">
        <f>("1402060122")</f>
        <v>1402060122</v>
      </c>
    </row>
    <row r="415" spans="1:9" x14ac:dyDescent="0.15">
      <c r="A415" s="406" t="str">
        <f t="shared" si="6"/>
        <v>大在サッカースポーツ少年団_7</v>
      </c>
      <c r="B415" s="218" t="s">
        <v>7491</v>
      </c>
      <c r="C415" s="218" t="str">
        <f>("7")</f>
        <v>7</v>
      </c>
      <c r="D415" s="218" t="s">
        <v>611</v>
      </c>
      <c r="E415" s="218" t="s">
        <v>7504</v>
      </c>
      <c r="F415" s="218" t="s">
        <v>7505</v>
      </c>
      <c r="G415" s="218">
        <v>6</v>
      </c>
      <c r="H415" s="218" t="s">
        <v>616</v>
      </c>
      <c r="I415" s="218" t="str">
        <f>("1305040039")</f>
        <v>1305040039</v>
      </c>
    </row>
    <row r="416" spans="1:9" x14ac:dyDescent="0.15">
      <c r="A416" s="406" t="str">
        <f t="shared" si="6"/>
        <v>大在サッカースポーツ少年団_8</v>
      </c>
      <c r="B416" s="218" t="s">
        <v>7491</v>
      </c>
      <c r="C416" s="218" t="str">
        <f>("8")</f>
        <v>8</v>
      </c>
      <c r="D416" s="218" t="s">
        <v>611</v>
      </c>
      <c r="E416" s="218" t="s">
        <v>7506</v>
      </c>
      <c r="F416" s="218" t="s">
        <v>7507</v>
      </c>
      <c r="G416" s="218">
        <v>6</v>
      </c>
      <c r="H416" s="218" t="s">
        <v>614</v>
      </c>
      <c r="I416" s="218" t="str">
        <f>("1307240200")</f>
        <v>1307240200</v>
      </c>
    </row>
    <row r="417" spans="1:10" x14ac:dyDescent="0.15">
      <c r="A417" s="406" t="str">
        <f t="shared" si="6"/>
        <v>大在サッカースポーツ少年団_9</v>
      </c>
      <c r="B417" s="218" t="s">
        <v>7491</v>
      </c>
      <c r="C417" s="218" t="str">
        <f>("9")</f>
        <v>9</v>
      </c>
      <c r="D417" s="218" t="s">
        <v>623</v>
      </c>
      <c r="E417" s="218" t="s">
        <v>7508</v>
      </c>
      <c r="F417" s="218" t="s">
        <v>7509</v>
      </c>
      <c r="G417" s="218">
        <v>6</v>
      </c>
      <c r="H417" s="218" t="s">
        <v>614</v>
      </c>
      <c r="I417" s="218" t="str">
        <f>("1307240201")</f>
        <v>1307240201</v>
      </c>
    </row>
    <row r="418" spans="1:10" x14ac:dyDescent="0.15">
      <c r="A418" s="406" t="str">
        <f t="shared" si="6"/>
        <v>大在サッカースポーツ少年団_10</v>
      </c>
      <c r="B418" s="218" t="s">
        <v>7491</v>
      </c>
      <c r="C418" s="218" t="str">
        <f>("10")</f>
        <v>10</v>
      </c>
      <c r="D418" s="218" t="s">
        <v>611</v>
      </c>
      <c r="E418" s="218" t="s">
        <v>7510</v>
      </c>
      <c r="F418" s="218" t="s">
        <v>7511</v>
      </c>
      <c r="G418" s="218">
        <v>6</v>
      </c>
      <c r="H418" s="218" t="s">
        <v>614</v>
      </c>
      <c r="I418" s="218" t="str">
        <f>("1312250072")</f>
        <v>1312250072</v>
      </c>
      <c r="J418" s="218" t="s">
        <v>159</v>
      </c>
    </row>
    <row r="419" spans="1:10" x14ac:dyDescent="0.15">
      <c r="A419" s="406" t="str">
        <f t="shared" si="6"/>
        <v>大在サッカースポーツ少年団_11</v>
      </c>
      <c r="B419" s="218" t="s">
        <v>7491</v>
      </c>
      <c r="C419" s="218" t="str">
        <f>("11")</f>
        <v>11</v>
      </c>
      <c r="D419" s="218" t="s">
        <v>615</v>
      </c>
      <c r="E419" s="218" t="s">
        <v>7512</v>
      </c>
      <c r="F419" s="218" t="s">
        <v>884</v>
      </c>
      <c r="G419" s="218">
        <v>6</v>
      </c>
      <c r="H419" s="218" t="s">
        <v>614</v>
      </c>
      <c r="I419" s="218" t="str">
        <f>("1402170067")</f>
        <v>1402170067</v>
      </c>
    </row>
    <row r="420" spans="1:10" x14ac:dyDescent="0.15">
      <c r="A420" s="406" t="str">
        <f t="shared" si="6"/>
        <v>大在サッカースポーツ少年団_12</v>
      </c>
      <c r="B420" s="218" t="s">
        <v>7491</v>
      </c>
      <c r="C420" s="218" t="str">
        <f>("12")</f>
        <v>12</v>
      </c>
      <c r="D420" s="218" t="s">
        <v>615</v>
      </c>
      <c r="E420" s="218" t="s">
        <v>7513</v>
      </c>
      <c r="F420" s="218" t="s">
        <v>7514</v>
      </c>
      <c r="G420" s="218">
        <v>6</v>
      </c>
      <c r="H420" s="218" t="s">
        <v>614</v>
      </c>
      <c r="I420" s="218" t="str">
        <f>("1403300137")</f>
        <v>1403300137</v>
      </c>
    </row>
    <row r="421" spans="1:10" x14ac:dyDescent="0.15">
      <c r="A421" s="406" t="str">
        <f t="shared" si="6"/>
        <v>大在サッカースポーツ少年団_13</v>
      </c>
      <c r="B421" s="218" t="s">
        <v>7491</v>
      </c>
      <c r="C421" s="218" t="str">
        <f>("13")</f>
        <v>13</v>
      </c>
      <c r="D421" s="218" t="s">
        <v>615</v>
      </c>
      <c r="E421" s="218" t="s">
        <v>7515</v>
      </c>
      <c r="F421" s="218" t="s">
        <v>7516</v>
      </c>
      <c r="G421" s="218">
        <v>4</v>
      </c>
      <c r="H421" s="218" t="s">
        <v>614</v>
      </c>
      <c r="I421" s="218" t="str">
        <f>("1509020111")</f>
        <v>1509020111</v>
      </c>
    </row>
    <row r="422" spans="1:10" x14ac:dyDescent="0.15">
      <c r="A422" s="406" t="str">
        <f t="shared" si="6"/>
        <v>大分トリニータＵ－１２_1</v>
      </c>
      <c r="B422" s="218" t="s">
        <v>1004</v>
      </c>
      <c r="C422" s="218" t="str">
        <f>("1")</f>
        <v>1</v>
      </c>
      <c r="D422" s="218" t="s">
        <v>624</v>
      </c>
      <c r="E422" s="218" t="s">
        <v>7517</v>
      </c>
      <c r="F422" s="218" t="s">
        <v>7518</v>
      </c>
      <c r="G422" s="218">
        <v>6</v>
      </c>
      <c r="H422" s="218" t="s">
        <v>614</v>
      </c>
      <c r="I422" s="218" t="str">
        <f>("1309260096")</f>
        <v>1309260096</v>
      </c>
    </row>
    <row r="423" spans="1:10" x14ac:dyDescent="0.15">
      <c r="A423" s="406" t="str">
        <f t="shared" si="6"/>
        <v>大分トリニータＵ－１２_2</v>
      </c>
      <c r="B423" s="218" t="s">
        <v>1004</v>
      </c>
      <c r="C423" s="218" t="str">
        <f>("2")</f>
        <v>2</v>
      </c>
      <c r="D423" s="218" t="s">
        <v>611</v>
      </c>
      <c r="E423" s="218" t="s">
        <v>7519</v>
      </c>
      <c r="F423" s="218" t="s">
        <v>7520</v>
      </c>
      <c r="G423" s="218">
        <v>6</v>
      </c>
      <c r="H423" s="218" t="s">
        <v>614</v>
      </c>
      <c r="I423" s="218" t="str">
        <f>("1311250174")</f>
        <v>1311250174</v>
      </c>
    </row>
    <row r="424" spans="1:10" x14ac:dyDescent="0.15">
      <c r="A424" s="406" t="str">
        <f t="shared" si="6"/>
        <v>大分トリニータＵ－１２_3</v>
      </c>
      <c r="B424" s="218" t="s">
        <v>1004</v>
      </c>
      <c r="C424" s="218" t="str">
        <f>("3")</f>
        <v>3</v>
      </c>
      <c r="D424" s="218" t="s">
        <v>615</v>
      </c>
      <c r="E424" s="218" t="s">
        <v>7521</v>
      </c>
      <c r="F424" s="218" t="s">
        <v>7522</v>
      </c>
      <c r="G424" s="218">
        <v>6</v>
      </c>
      <c r="H424" s="218" t="s">
        <v>614</v>
      </c>
      <c r="I424" s="218" t="str">
        <f>("1307190148")</f>
        <v>1307190148</v>
      </c>
    </row>
    <row r="425" spans="1:10" x14ac:dyDescent="0.15">
      <c r="A425" s="406" t="str">
        <f t="shared" si="6"/>
        <v>大分トリニータＵ－１２_4</v>
      </c>
      <c r="B425" s="218" t="s">
        <v>1004</v>
      </c>
      <c r="C425" s="218" t="str">
        <f>("4")</f>
        <v>4</v>
      </c>
      <c r="D425" s="218" t="s">
        <v>615</v>
      </c>
      <c r="E425" s="218" t="s">
        <v>7523</v>
      </c>
      <c r="F425" s="218" t="s">
        <v>7524</v>
      </c>
      <c r="G425" s="218">
        <v>6</v>
      </c>
      <c r="H425" s="218" t="s">
        <v>614</v>
      </c>
      <c r="I425" s="218" t="str">
        <f>("1312190069")</f>
        <v>1312190069</v>
      </c>
    </row>
    <row r="426" spans="1:10" x14ac:dyDescent="0.15">
      <c r="A426" s="406" t="str">
        <f t="shared" si="6"/>
        <v>大分トリニータＵ－１２_5</v>
      </c>
      <c r="B426" s="218" t="s">
        <v>1004</v>
      </c>
      <c r="C426" s="218" t="str">
        <f>("5")</f>
        <v>5</v>
      </c>
      <c r="D426" s="218" t="s">
        <v>615</v>
      </c>
      <c r="E426" s="218" t="s">
        <v>7525</v>
      </c>
      <c r="F426" s="218" t="s">
        <v>7526</v>
      </c>
      <c r="G426" s="218">
        <v>5</v>
      </c>
      <c r="H426" s="218" t="s">
        <v>614</v>
      </c>
      <c r="I426" s="218" t="str">
        <f>("1411200141")</f>
        <v>1411200141</v>
      </c>
    </row>
    <row r="427" spans="1:10" x14ac:dyDescent="0.15">
      <c r="A427" s="406" t="str">
        <f t="shared" si="6"/>
        <v>大分トリニータＵ－１２_6</v>
      </c>
      <c r="B427" s="218" t="s">
        <v>1004</v>
      </c>
      <c r="C427" s="218" t="str">
        <f>("6")</f>
        <v>6</v>
      </c>
      <c r="D427" s="218" t="s">
        <v>623</v>
      </c>
      <c r="E427" s="218" t="s">
        <v>7527</v>
      </c>
      <c r="F427" s="218" t="s">
        <v>7528</v>
      </c>
      <c r="G427" s="218">
        <v>6</v>
      </c>
      <c r="H427" s="218" t="s">
        <v>614</v>
      </c>
      <c r="I427" s="218" t="str">
        <f>("1309190203")</f>
        <v>1309190203</v>
      </c>
    </row>
    <row r="428" spans="1:10" x14ac:dyDescent="0.15">
      <c r="A428" s="406" t="str">
        <f t="shared" si="6"/>
        <v>大分トリニータＵ－１２_7</v>
      </c>
      <c r="B428" s="218" t="s">
        <v>1004</v>
      </c>
      <c r="C428" s="218" t="str">
        <f>("7")</f>
        <v>7</v>
      </c>
      <c r="D428" s="218" t="s">
        <v>615</v>
      </c>
      <c r="E428" s="218" t="s">
        <v>7529</v>
      </c>
      <c r="F428" s="218" t="s">
        <v>7530</v>
      </c>
      <c r="G428" s="218">
        <v>6</v>
      </c>
      <c r="H428" s="218" t="s">
        <v>614</v>
      </c>
      <c r="I428" s="218" t="str">
        <f>("1307300140")</f>
        <v>1307300140</v>
      </c>
    </row>
    <row r="429" spans="1:10" x14ac:dyDescent="0.15">
      <c r="A429" s="406" t="str">
        <f t="shared" si="6"/>
        <v>大分トリニータＵ－１２_8</v>
      </c>
      <c r="B429" s="218" t="s">
        <v>1004</v>
      </c>
      <c r="C429" s="218" t="str">
        <f>("8")</f>
        <v>8</v>
      </c>
      <c r="D429" s="218" t="s">
        <v>615</v>
      </c>
      <c r="E429" s="218" t="s">
        <v>1597</v>
      </c>
      <c r="F429" s="218" t="s">
        <v>1598</v>
      </c>
      <c r="G429" s="218">
        <v>6</v>
      </c>
      <c r="H429" s="218" t="s">
        <v>614</v>
      </c>
      <c r="I429" s="218" t="str">
        <f>("1403140102")</f>
        <v>1403140102</v>
      </c>
    </row>
    <row r="430" spans="1:10" x14ac:dyDescent="0.15">
      <c r="A430" s="406" t="str">
        <f t="shared" si="6"/>
        <v>大分トリニータＵ－１２_9</v>
      </c>
      <c r="B430" s="218" t="s">
        <v>1004</v>
      </c>
      <c r="C430" s="218" t="str">
        <f>("9")</f>
        <v>9</v>
      </c>
      <c r="D430" s="218" t="s">
        <v>623</v>
      </c>
      <c r="E430" s="218" t="s">
        <v>1207</v>
      </c>
      <c r="F430" s="218" t="s">
        <v>1208</v>
      </c>
      <c r="G430" s="218">
        <v>6</v>
      </c>
      <c r="H430" s="218" t="s">
        <v>614</v>
      </c>
      <c r="I430" s="218" t="str">
        <f>("1304020044")</f>
        <v>1304020044</v>
      </c>
    </row>
    <row r="431" spans="1:10" x14ac:dyDescent="0.15">
      <c r="A431" s="406" t="str">
        <f t="shared" si="6"/>
        <v>大分トリニータＵ－１２_10</v>
      </c>
      <c r="B431" s="218" t="s">
        <v>1004</v>
      </c>
      <c r="C431" s="218" t="str">
        <f>("10")</f>
        <v>10</v>
      </c>
      <c r="D431" s="218" t="s">
        <v>623</v>
      </c>
      <c r="E431" s="218" t="s">
        <v>7531</v>
      </c>
      <c r="F431" s="218" t="s">
        <v>7532</v>
      </c>
      <c r="G431" s="218">
        <v>6</v>
      </c>
      <c r="H431" s="218" t="s">
        <v>614</v>
      </c>
      <c r="I431" s="218" t="str">
        <f>("1309130116")</f>
        <v>1309130116</v>
      </c>
    </row>
    <row r="432" spans="1:10" x14ac:dyDescent="0.15">
      <c r="A432" s="406" t="str">
        <f t="shared" si="6"/>
        <v>大分トリニータＵ－１２_11</v>
      </c>
      <c r="B432" s="218" t="s">
        <v>1004</v>
      </c>
      <c r="C432" s="218" t="str">
        <f>("11")</f>
        <v>11</v>
      </c>
      <c r="D432" s="218" t="s">
        <v>623</v>
      </c>
      <c r="E432" s="218" t="s">
        <v>7533</v>
      </c>
      <c r="F432" s="218" t="s">
        <v>7534</v>
      </c>
      <c r="G432" s="218">
        <v>6</v>
      </c>
      <c r="H432" s="218" t="s">
        <v>614</v>
      </c>
      <c r="I432" s="218" t="str">
        <f>("1305090131")</f>
        <v>1305090131</v>
      </c>
    </row>
    <row r="433" spans="1:10" x14ac:dyDescent="0.15">
      <c r="A433" s="406" t="str">
        <f t="shared" si="6"/>
        <v>大分トリニータＵ－１２_12</v>
      </c>
      <c r="B433" s="218" t="s">
        <v>1004</v>
      </c>
      <c r="C433" s="218" t="str">
        <f>("12")</f>
        <v>12</v>
      </c>
      <c r="D433" s="218" t="s">
        <v>615</v>
      </c>
      <c r="E433" s="218" t="s">
        <v>7535</v>
      </c>
      <c r="F433" s="218" t="s">
        <v>7536</v>
      </c>
      <c r="G433" s="218">
        <v>6</v>
      </c>
      <c r="H433" s="218" t="s">
        <v>614</v>
      </c>
      <c r="I433" s="218" t="str">
        <f>("1312120082")</f>
        <v>1312120082</v>
      </c>
      <c r="J433" s="218" t="s">
        <v>159</v>
      </c>
    </row>
    <row r="434" spans="1:10" x14ac:dyDescent="0.15">
      <c r="A434" s="406" t="str">
        <f t="shared" si="6"/>
        <v>大分トリニータＵ－１２_13</v>
      </c>
      <c r="B434" s="218" t="s">
        <v>1004</v>
      </c>
      <c r="C434" s="218" t="str">
        <f>("13")</f>
        <v>13</v>
      </c>
      <c r="D434" s="218" t="s">
        <v>623</v>
      </c>
      <c r="E434" s="218" t="s">
        <v>7537</v>
      </c>
      <c r="F434" s="218" t="s">
        <v>7538</v>
      </c>
      <c r="G434" s="218">
        <v>6</v>
      </c>
      <c r="H434" s="218" t="s">
        <v>614</v>
      </c>
      <c r="I434" s="218" t="str">
        <f>("1306170069")</f>
        <v>1306170069</v>
      </c>
    </row>
    <row r="435" spans="1:10" x14ac:dyDescent="0.15">
      <c r="A435" s="406" t="str">
        <f t="shared" si="6"/>
        <v>大分トリニータＵ－１２_14</v>
      </c>
      <c r="B435" s="218" t="s">
        <v>1004</v>
      </c>
      <c r="C435" s="218" t="str">
        <f>("14")</f>
        <v>14</v>
      </c>
      <c r="D435" s="218" t="s">
        <v>615</v>
      </c>
      <c r="E435" s="218" t="s">
        <v>7539</v>
      </c>
      <c r="F435" s="218" t="s">
        <v>7540</v>
      </c>
      <c r="G435" s="218">
        <v>5</v>
      </c>
      <c r="H435" s="218" t="s">
        <v>614</v>
      </c>
      <c r="I435" s="218" t="str">
        <f>("1404100084")</f>
        <v>1404100084</v>
      </c>
    </row>
    <row r="436" spans="1:10" x14ac:dyDescent="0.15">
      <c r="A436" s="406" t="str">
        <f t="shared" si="6"/>
        <v>大分トリニータＵ－１２_15</v>
      </c>
      <c r="B436" s="218" t="s">
        <v>1004</v>
      </c>
      <c r="C436" s="218" t="str">
        <f>("15")</f>
        <v>15</v>
      </c>
      <c r="D436" s="218" t="s">
        <v>615</v>
      </c>
      <c r="E436" s="218" t="s">
        <v>7541</v>
      </c>
      <c r="F436" s="218" t="s">
        <v>7542</v>
      </c>
      <c r="G436" s="218">
        <v>5</v>
      </c>
      <c r="H436" s="218" t="s">
        <v>614</v>
      </c>
      <c r="I436" s="218" t="str">
        <f>("1408240001")</f>
        <v>1408240001</v>
      </c>
    </row>
    <row r="437" spans="1:10" x14ac:dyDescent="0.15">
      <c r="A437" s="406" t="str">
        <f t="shared" si="6"/>
        <v>大分トリニータＵ－１２_16</v>
      </c>
      <c r="B437" s="218" t="s">
        <v>1004</v>
      </c>
      <c r="C437" s="218" t="str">
        <f>("16")</f>
        <v>16</v>
      </c>
      <c r="D437" s="218" t="s">
        <v>624</v>
      </c>
      <c r="E437" s="218" t="s">
        <v>748</v>
      </c>
      <c r="F437" s="218" t="s">
        <v>749</v>
      </c>
      <c r="G437" s="218">
        <v>5</v>
      </c>
      <c r="H437" s="218" t="s">
        <v>614</v>
      </c>
      <c r="I437" s="218" t="str">
        <f>("1412050001")</f>
        <v>1412050001</v>
      </c>
    </row>
    <row r="438" spans="1:10" x14ac:dyDescent="0.15">
      <c r="A438" s="406" t="str">
        <f t="shared" si="6"/>
        <v>碩田サッカースポーツ少年団_1</v>
      </c>
      <c r="B438" s="218" t="s">
        <v>1021</v>
      </c>
      <c r="C438" s="218" t="str">
        <f>("1")</f>
        <v>1</v>
      </c>
      <c r="D438" s="218" t="s">
        <v>624</v>
      </c>
      <c r="E438" s="218" t="s">
        <v>1036</v>
      </c>
      <c r="F438" s="218" t="s">
        <v>1037</v>
      </c>
      <c r="G438" s="218">
        <v>6</v>
      </c>
      <c r="H438" s="218" t="s">
        <v>614</v>
      </c>
      <c r="I438" s="218" t="str">
        <f>("1308190020")</f>
        <v>1308190020</v>
      </c>
    </row>
    <row r="439" spans="1:10" x14ac:dyDescent="0.15">
      <c r="A439" s="406" t="str">
        <f t="shared" si="6"/>
        <v>碩田サッカースポーツ少年団_2</v>
      </c>
      <c r="B439" s="218" t="s">
        <v>1021</v>
      </c>
      <c r="C439" s="218" t="str">
        <f>("2")</f>
        <v>2</v>
      </c>
      <c r="D439" s="218" t="s">
        <v>615</v>
      </c>
      <c r="E439" s="218" t="s">
        <v>7543</v>
      </c>
      <c r="F439" s="218" t="s">
        <v>7544</v>
      </c>
      <c r="G439" s="218">
        <v>6</v>
      </c>
      <c r="H439" s="218" t="s">
        <v>616</v>
      </c>
      <c r="I439" s="218" t="str">
        <f>("1309060141")</f>
        <v>1309060141</v>
      </c>
    </row>
    <row r="440" spans="1:10" x14ac:dyDescent="0.15">
      <c r="A440" s="406" t="str">
        <f t="shared" si="6"/>
        <v>碩田サッカースポーツ少年団_3</v>
      </c>
      <c r="B440" s="218" t="s">
        <v>1021</v>
      </c>
      <c r="C440" s="218" t="str">
        <f>("3")</f>
        <v>3</v>
      </c>
      <c r="D440" s="218" t="s">
        <v>615</v>
      </c>
      <c r="E440" s="218" t="s">
        <v>1024</v>
      </c>
      <c r="F440" s="218" t="s">
        <v>1025</v>
      </c>
      <c r="G440" s="218">
        <v>6</v>
      </c>
      <c r="H440" s="218" t="s">
        <v>616</v>
      </c>
      <c r="I440" s="218" t="str">
        <f>("1308050135")</f>
        <v>1308050135</v>
      </c>
    </row>
    <row r="441" spans="1:10" x14ac:dyDescent="0.15">
      <c r="A441" s="406" t="str">
        <f t="shared" si="6"/>
        <v>碩田サッカースポーツ少年団_4</v>
      </c>
      <c r="B441" s="218" t="s">
        <v>1021</v>
      </c>
      <c r="C441" s="218" t="str">
        <f>("4")</f>
        <v>4</v>
      </c>
      <c r="D441" s="218" t="s">
        <v>615</v>
      </c>
      <c r="E441" s="218" t="s">
        <v>7545</v>
      </c>
      <c r="F441" s="218" t="s">
        <v>7546</v>
      </c>
      <c r="G441" s="218">
        <v>6</v>
      </c>
      <c r="H441" s="218" t="s">
        <v>614</v>
      </c>
      <c r="I441" s="218" t="str">
        <f>("1401090058")</f>
        <v>1401090058</v>
      </c>
    </row>
    <row r="442" spans="1:10" x14ac:dyDescent="0.15">
      <c r="A442" s="406" t="str">
        <f t="shared" si="6"/>
        <v>碩田サッカースポーツ少年団_5</v>
      </c>
      <c r="B442" s="218" t="s">
        <v>1021</v>
      </c>
      <c r="C442" s="218" t="str">
        <f>("5")</f>
        <v>5</v>
      </c>
      <c r="D442" s="218" t="s">
        <v>611</v>
      </c>
      <c r="E442" s="218" t="s">
        <v>7547</v>
      </c>
      <c r="F442" s="218" t="s">
        <v>7548</v>
      </c>
      <c r="G442" s="218">
        <v>6</v>
      </c>
      <c r="H442" s="218" t="s">
        <v>614</v>
      </c>
      <c r="I442" s="218" t="str">
        <f>("1304170247")</f>
        <v>1304170247</v>
      </c>
    </row>
    <row r="443" spans="1:10" x14ac:dyDescent="0.15">
      <c r="A443" s="406" t="str">
        <f t="shared" si="6"/>
        <v>碩田サッカースポーツ少年団_6</v>
      </c>
      <c r="B443" s="218" t="s">
        <v>1021</v>
      </c>
      <c r="C443" s="218" t="str">
        <f>("6")</f>
        <v>6</v>
      </c>
      <c r="D443" s="218" t="s">
        <v>611</v>
      </c>
      <c r="E443" s="218" t="s">
        <v>7549</v>
      </c>
      <c r="F443" s="218" t="s">
        <v>7550</v>
      </c>
      <c r="G443" s="218">
        <v>6</v>
      </c>
      <c r="H443" s="218" t="s">
        <v>614</v>
      </c>
      <c r="I443" s="218" t="str">
        <f>("1310040251")</f>
        <v>1310040251</v>
      </c>
    </row>
    <row r="444" spans="1:10" x14ac:dyDescent="0.15">
      <c r="A444" s="406" t="str">
        <f t="shared" si="6"/>
        <v>碩田サッカースポーツ少年団_7</v>
      </c>
      <c r="B444" s="218" t="s">
        <v>1021</v>
      </c>
      <c r="C444" s="218" t="str">
        <f>("7")</f>
        <v>7</v>
      </c>
      <c r="D444" s="218" t="s">
        <v>611</v>
      </c>
      <c r="E444" s="218" t="s">
        <v>1030</v>
      </c>
      <c r="F444" s="218" t="s">
        <v>1031</v>
      </c>
      <c r="G444" s="218">
        <v>6</v>
      </c>
      <c r="H444" s="218" t="s">
        <v>614</v>
      </c>
      <c r="I444" s="218" t="str">
        <f>("1311270011")</f>
        <v>1311270011</v>
      </c>
    </row>
    <row r="445" spans="1:10" x14ac:dyDescent="0.15">
      <c r="A445" s="406" t="str">
        <f t="shared" si="6"/>
        <v>碩田サッカースポーツ少年団_8</v>
      </c>
      <c r="B445" s="218" t="s">
        <v>1021</v>
      </c>
      <c r="C445" s="218" t="str">
        <f>("8")</f>
        <v>8</v>
      </c>
      <c r="D445" s="218" t="s">
        <v>611</v>
      </c>
      <c r="E445" s="218" t="s">
        <v>1028</v>
      </c>
      <c r="F445" s="218" t="s">
        <v>1029</v>
      </c>
      <c r="G445" s="218">
        <v>6</v>
      </c>
      <c r="H445" s="218" t="s">
        <v>616</v>
      </c>
      <c r="I445" s="218" t="str">
        <f>("1304180005")</f>
        <v>1304180005</v>
      </c>
      <c r="J445" s="218" t="s">
        <v>159</v>
      </c>
    </row>
    <row r="446" spans="1:10" x14ac:dyDescent="0.15">
      <c r="A446" s="406" t="str">
        <f t="shared" si="6"/>
        <v>碩田サッカースポーツ少年団_9</v>
      </c>
      <c r="B446" s="218" t="s">
        <v>1021</v>
      </c>
      <c r="C446" s="218" t="str">
        <f>("9")</f>
        <v>9</v>
      </c>
      <c r="D446" s="218" t="s">
        <v>615</v>
      </c>
      <c r="E446" s="218" t="s">
        <v>1026</v>
      </c>
      <c r="F446" s="218" t="s">
        <v>1027</v>
      </c>
      <c r="G446" s="218">
        <v>6</v>
      </c>
      <c r="H446" s="218" t="s">
        <v>616</v>
      </c>
      <c r="I446" s="218" t="str">
        <f>("1310150009")</f>
        <v>1310150009</v>
      </c>
    </row>
    <row r="447" spans="1:10" x14ac:dyDescent="0.15">
      <c r="A447" s="406" t="str">
        <f t="shared" si="6"/>
        <v>碩田サッカースポーツ少年団_10</v>
      </c>
      <c r="B447" s="218" t="s">
        <v>1021</v>
      </c>
      <c r="C447" s="218" t="str">
        <f>("10")</f>
        <v>10</v>
      </c>
      <c r="D447" s="218" t="s">
        <v>615</v>
      </c>
      <c r="E447" s="218" t="s">
        <v>1022</v>
      </c>
      <c r="F447" s="218" t="s">
        <v>1023</v>
      </c>
      <c r="G447" s="218">
        <v>6</v>
      </c>
      <c r="H447" s="218" t="s">
        <v>614</v>
      </c>
      <c r="I447" s="218" t="str">
        <f>("1311030005")</f>
        <v>1311030005</v>
      </c>
    </row>
    <row r="448" spans="1:10" x14ac:dyDescent="0.15">
      <c r="A448" s="406" t="str">
        <f t="shared" si="6"/>
        <v>碩田サッカースポーツ少年団_11</v>
      </c>
      <c r="B448" s="218" t="s">
        <v>1021</v>
      </c>
      <c r="C448" s="218" t="str">
        <f>("11")</f>
        <v>11</v>
      </c>
      <c r="D448" s="218" t="s">
        <v>623</v>
      </c>
      <c r="E448" s="218" t="s">
        <v>1032</v>
      </c>
      <c r="F448" s="218" t="s">
        <v>1033</v>
      </c>
      <c r="G448" s="218">
        <v>6</v>
      </c>
      <c r="H448" s="218" t="s">
        <v>614</v>
      </c>
      <c r="I448" s="218" t="str">
        <f>("1304190011")</f>
        <v>1304190011</v>
      </c>
    </row>
    <row r="449" spans="1:10" x14ac:dyDescent="0.15">
      <c r="A449" s="406" t="str">
        <f t="shared" ref="A449:A512" si="7">CONCATENATE(B449,"_",C449)</f>
        <v>碩田サッカースポーツ少年団_12</v>
      </c>
      <c r="B449" s="218" t="s">
        <v>1021</v>
      </c>
      <c r="C449" s="218" t="str">
        <f>("12")</f>
        <v>12</v>
      </c>
      <c r="D449" s="218" t="s">
        <v>615</v>
      </c>
      <c r="E449" s="218" t="s">
        <v>7551</v>
      </c>
      <c r="F449" s="218" t="s">
        <v>7552</v>
      </c>
      <c r="G449" s="218">
        <v>5</v>
      </c>
      <c r="H449" s="218" t="s">
        <v>616</v>
      </c>
      <c r="I449" s="218" t="str">
        <f>("1411260032")</f>
        <v>1411260032</v>
      </c>
    </row>
    <row r="450" spans="1:10" x14ac:dyDescent="0.15">
      <c r="A450" s="406" t="str">
        <f t="shared" si="7"/>
        <v>碩田サッカースポーツ少年団_13</v>
      </c>
      <c r="B450" s="218" t="s">
        <v>1021</v>
      </c>
      <c r="C450" s="218" t="str">
        <f>("13")</f>
        <v>13</v>
      </c>
      <c r="D450" s="218" t="s">
        <v>615</v>
      </c>
      <c r="E450" s="218" t="s">
        <v>7553</v>
      </c>
      <c r="F450" s="218" t="s">
        <v>756</v>
      </c>
      <c r="G450" s="218">
        <v>5</v>
      </c>
      <c r="H450" s="218" t="s">
        <v>614</v>
      </c>
      <c r="I450" s="218" t="str">
        <f>("1405140135")</f>
        <v>1405140135</v>
      </c>
    </row>
    <row r="451" spans="1:10" x14ac:dyDescent="0.15">
      <c r="A451" s="406" t="str">
        <f t="shared" si="7"/>
        <v>碩田サッカースポーツ少年団_14</v>
      </c>
      <c r="B451" s="218" t="s">
        <v>1021</v>
      </c>
      <c r="C451" s="218" t="str">
        <f>("14")</f>
        <v>14</v>
      </c>
      <c r="D451" s="218" t="s">
        <v>623</v>
      </c>
      <c r="E451" s="218" t="s">
        <v>7554</v>
      </c>
      <c r="F451" s="218" t="s">
        <v>7555</v>
      </c>
      <c r="G451" s="218">
        <v>5</v>
      </c>
      <c r="H451" s="218" t="s">
        <v>614</v>
      </c>
      <c r="I451" s="218" t="str">
        <f>("1411110104")</f>
        <v>1411110104</v>
      </c>
    </row>
    <row r="452" spans="1:10" x14ac:dyDescent="0.15">
      <c r="A452" s="406" t="str">
        <f t="shared" si="7"/>
        <v>碩田サッカースポーツ少年団_15</v>
      </c>
      <c r="B452" s="218" t="s">
        <v>1021</v>
      </c>
      <c r="C452" s="218" t="str">
        <f>("15")</f>
        <v>15</v>
      </c>
      <c r="D452" s="218" t="s">
        <v>623</v>
      </c>
      <c r="E452" s="218" t="s">
        <v>1034</v>
      </c>
      <c r="F452" s="218" t="s">
        <v>1035</v>
      </c>
      <c r="G452" s="218">
        <v>5</v>
      </c>
      <c r="H452" s="218" t="s">
        <v>614</v>
      </c>
      <c r="I452" s="218" t="str">
        <f>("1405230037")</f>
        <v>1405230037</v>
      </c>
    </row>
    <row r="453" spans="1:10" x14ac:dyDescent="0.15">
      <c r="A453" s="406" t="str">
        <f t="shared" si="7"/>
        <v>碩田サッカースポーツ少年団_16</v>
      </c>
      <c r="B453" s="218" t="s">
        <v>1021</v>
      </c>
      <c r="C453" s="218" t="str">
        <f>("16")</f>
        <v>16</v>
      </c>
      <c r="D453" s="218" t="s">
        <v>624</v>
      </c>
      <c r="E453" s="218" t="s">
        <v>7556</v>
      </c>
      <c r="F453" s="218" t="s">
        <v>7557</v>
      </c>
      <c r="G453" s="218">
        <v>5</v>
      </c>
      <c r="H453" s="218" t="s">
        <v>614</v>
      </c>
      <c r="I453" s="218" t="str">
        <f>("1410170099")</f>
        <v>1410170099</v>
      </c>
    </row>
    <row r="454" spans="1:10" x14ac:dyDescent="0.15">
      <c r="A454" s="406" t="str">
        <f t="shared" si="7"/>
        <v>南大分サッカー少年団_1</v>
      </c>
      <c r="B454" s="218" t="s">
        <v>1039</v>
      </c>
      <c r="C454" s="218" t="str">
        <f>("1")</f>
        <v>1</v>
      </c>
      <c r="D454" s="218" t="s">
        <v>624</v>
      </c>
      <c r="E454" s="218" t="s">
        <v>1050</v>
      </c>
      <c r="F454" s="218" t="s">
        <v>1051</v>
      </c>
      <c r="G454" s="218">
        <v>6</v>
      </c>
      <c r="H454" s="218" t="s">
        <v>614</v>
      </c>
      <c r="I454" s="218" t="str">
        <f>("1311050092")</f>
        <v>1311050092</v>
      </c>
    </row>
    <row r="455" spans="1:10" x14ac:dyDescent="0.15">
      <c r="A455" s="406" t="str">
        <f t="shared" si="7"/>
        <v>南大分サッカー少年団_3</v>
      </c>
      <c r="B455" s="218" t="s">
        <v>1039</v>
      </c>
      <c r="C455" s="218" t="str">
        <f>("3")</f>
        <v>3</v>
      </c>
      <c r="D455" s="218" t="s">
        <v>623</v>
      </c>
      <c r="E455" s="218" t="s">
        <v>7558</v>
      </c>
      <c r="F455" s="218" t="s">
        <v>7559</v>
      </c>
      <c r="G455" s="218">
        <v>5</v>
      </c>
      <c r="H455" s="218" t="s">
        <v>614</v>
      </c>
      <c r="I455" s="218" t="str">
        <f>("1501120062")</f>
        <v>1501120062</v>
      </c>
    </row>
    <row r="456" spans="1:10" x14ac:dyDescent="0.15">
      <c r="A456" s="406" t="str">
        <f t="shared" si="7"/>
        <v>南大分サッカー少年団_4</v>
      </c>
      <c r="B456" s="218" t="s">
        <v>1039</v>
      </c>
      <c r="C456" s="218" t="str">
        <f>("4")</f>
        <v>4</v>
      </c>
      <c r="D456" s="218" t="s">
        <v>615</v>
      </c>
      <c r="E456" s="218" t="s">
        <v>7560</v>
      </c>
      <c r="F456" s="218" t="s">
        <v>7561</v>
      </c>
      <c r="G456" s="218">
        <v>5</v>
      </c>
      <c r="H456" s="218" t="s">
        <v>614</v>
      </c>
      <c r="I456" s="218" t="str">
        <f>("1503220073")</f>
        <v>1503220073</v>
      </c>
    </row>
    <row r="457" spans="1:10" x14ac:dyDescent="0.15">
      <c r="A457" s="406" t="str">
        <f t="shared" si="7"/>
        <v>南大分サッカー少年団_5</v>
      </c>
      <c r="B457" s="218" t="s">
        <v>1039</v>
      </c>
      <c r="C457" s="218" t="str">
        <f>("5")</f>
        <v>5</v>
      </c>
      <c r="D457" s="218" t="s">
        <v>611</v>
      </c>
      <c r="E457" s="218" t="s">
        <v>7562</v>
      </c>
      <c r="F457" s="218" t="s">
        <v>7563</v>
      </c>
      <c r="G457" s="218">
        <v>5</v>
      </c>
      <c r="H457" s="218" t="s">
        <v>614</v>
      </c>
      <c r="I457" s="218" t="str">
        <f>("1408020091")</f>
        <v>1408020091</v>
      </c>
    </row>
    <row r="458" spans="1:10" x14ac:dyDescent="0.15">
      <c r="A458" s="406" t="str">
        <f t="shared" si="7"/>
        <v>南大分サッカー少年団_6</v>
      </c>
      <c r="B458" s="218" t="s">
        <v>1039</v>
      </c>
      <c r="C458" s="218" t="str">
        <f>("6")</f>
        <v>6</v>
      </c>
      <c r="D458" s="218" t="s">
        <v>623</v>
      </c>
      <c r="E458" s="218" t="s">
        <v>7564</v>
      </c>
      <c r="F458" s="218" t="s">
        <v>1739</v>
      </c>
      <c r="G458" s="218">
        <v>5</v>
      </c>
      <c r="H458" s="218" t="s">
        <v>614</v>
      </c>
      <c r="I458" s="218" t="str">
        <f>("1410140138")</f>
        <v>1410140138</v>
      </c>
    </row>
    <row r="459" spans="1:10" x14ac:dyDescent="0.15">
      <c r="A459" s="406" t="str">
        <f t="shared" si="7"/>
        <v>南大分サッカー少年団_7</v>
      </c>
      <c r="B459" s="218" t="s">
        <v>1039</v>
      </c>
      <c r="C459" s="218" t="str">
        <f>("7")</f>
        <v>7</v>
      </c>
      <c r="D459" s="218" t="s">
        <v>615</v>
      </c>
      <c r="E459" s="218" t="s">
        <v>1044</v>
      </c>
      <c r="F459" s="218" t="s">
        <v>1045</v>
      </c>
      <c r="G459" s="218">
        <v>6</v>
      </c>
      <c r="H459" s="218" t="s">
        <v>614</v>
      </c>
      <c r="I459" s="218" t="str">
        <f>("1310250107")</f>
        <v>1310250107</v>
      </c>
    </row>
    <row r="460" spans="1:10" x14ac:dyDescent="0.15">
      <c r="A460" s="406" t="str">
        <f t="shared" si="7"/>
        <v>南大分サッカー少年団_9</v>
      </c>
      <c r="B460" s="218" t="s">
        <v>1039</v>
      </c>
      <c r="C460" s="218" t="str">
        <f>("9")</f>
        <v>9</v>
      </c>
      <c r="D460" s="218" t="s">
        <v>623</v>
      </c>
      <c r="E460" s="218" t="s">
        <v>7565</v>
      </c>
      <c r="F460" s="218" t="s">
        <v>7566</v>
      </c>
      <c r="G460" s="218">
        <v>5</v>
      </c>
      <c r="H460" s="218" t="s">
        <v>614</v>
      </c>
      <c r="I460" s="218" t="str">
        <f>("1410230109")</f>
        <v>1410230109</v>
      </c>
    </row>
    <row r="461" spans="1:10" x14ac:dyDescent="0.15">
      <c r="A461" s="406" t="str">
        <f t="shared" si="7"/>
        <v>南大分サッカー少年団_10</v>
      </c>
      <c r="B461" s="218" t="s">
        <v>1039</v>
      </c>
      <c r="C461" s="218" t="str">
        <f>("10")</f>
        <v>10</v>
      </c>
      <c r="D461" s="218" t="s">
        <v>623</v>
      </c>
      <c r="E461" s="218" t="s">
        <v>1046</v>
      </c>
      <c r="F461" s="218" t="s">
        <v>1047</v>
      </c>
      <c r="G461" s="218">
        <v>6</v>
      </c>
      <c r="H461" s="218" t="s">
        <v>614</v>
      </c>
      <c r="I461" s="218" t="str">
        <f>("1310250108")</f>
        <v>1310250108</v>
      </c>
    </row>
    <row r="462" spans="1:10" x14ac:dyDescent="0.15">
      <c r="A462" s="406" t="str">
        <f t="shared" si="7"/>
        <v>南大分サッカー少年団_11</v>
      </c>
      <c r="B462" s="218" t="s">
        <v>1039</v>
      </c>
      <c r="C462" s="218" t="str">
        <f>("11")</f>
        <v>11</v>
      </c>
      <c r="D462" s="218" t="s">
        <v>615</v>
      </c>
      <c r="E462" s="218" t="s">
        <v>1048</v>
      </c>
      <c r="F462" s="218" t="s">
        <v>1049</v>
      </c>
      <c r="G462" s="218">
        <v>6</v>
      </c>
      <c r="H462" s="218" t="s">
        <v>614</v>
      </c>
      <c r="I462" s="218" t="str">
        <f>("1304300111")</f>
        <v>1304300111</v>
      </c>
      <c r="J462" s="218" t="s">
        <v>159</v>
      </c>
    </row>
    <row r="463" spans="1:10" x14ac:dyDescent="0.15">
      <c r="A463" s="406" t="str">
        <f t="shared" si="7"/>
        <v>南大分サッカー少年団_15</v>
      </c>
      <c r="B463" s="218" t="s">
        <v>1039</v>
      </c>
      <c r="C463" s="218" t="str">
        <f>("15")</f>
        <v>15</v>
      </c>
      <c r="D463" s="218" t="s">
        <v>611</v>
      </c>
      <c r="E463" s="218" t="s">
        <v>1052</v>
      </c>
      <c r="F463" s="218" t="s">
        <v>1053</v>
      </c>
      <c r="G463" s="218">
        <v>6</v>
      </c>
      <c r="H463" s="218" t="s">
        <v>614</v>
      </c>
      <c r="I463" s="218" t="str">
        <f>("1312140077")</f>
        <v>1312140077</v>
      </c>
    </row>
    <row r="464" spans="1:10" x14ac:dyDescent="0.15">
      <c r="A464" s="406" t="str">
        <f t="shared" si="7"/>
        <v>南大分サッカー少年団_16</v>
      </c>
      <c r="B464" s="218" t="s">
        <v>1039</v>
      </c>
      <c r="C464" s="218" t="str">
        <f>("16")</f>
        <v>16</v>
      </c>
      <c r="D464" s="218" t="s">
        <v>611</v>
      </c>
      <c r="E464" s="218" t="s">
        <v>1054</v>
      </c>
      <c r="F464" s="218" t="s">
        <v>1055</v>
      </c>
      <c r="G464" s="218">
        <v>6</v>
      </c>
      <c r="H464" s="218" t="s">
        <v>616</v>
      </c>
      <c r="I464" s="218" t="str">
        <f>("1402130104")</f>
        <v>1402130104</v>
      </c>
    </row>
    <row r="465" spans="1:10" x14ac:dyDescent="0.15">
      <c r="A465" s="406" t="str">
        <f t="shared" si="7"/>
        <v>南大分サッカー少年団_17</v>
      </c>
      <c r="B465" s="218" t="s">
        <v>1039</v>
      </c>
      <c r="C465" s="218" t="str">
        <f>("17")</f>
        <v>17</v>
      </c>
      <c r="D465" s="218" t="s">
        <v>611</v>
      </c>
      <c r="E465" s="218" t="s">
        <v>1056</v>
      </c>
      <c r="F465" s="218" t="s">
        <v>1057</v>
      </c>
      <c r="G465" s="218">
        <v>6</v>
      </c>
      <c r="H465" s="218" t="s">
        <v>614</v>
      </c>
      <c r="I465" s="218" t="str">
        <f>("1309300095")</f>
        <v>1309300095</v>
      </c>
    </row>
    <row r="466" spans="1:10" x14ac:dyDescent="0.15">
      <c r="A466" s="406" t="str">
        <f t="shared" si="7"/>
        <v>南大分サッカー少年団_18</v>
      </c>
      <c r="B466" s="218" t="s">
        <v>1039</v>
      </c>
      <c r="C466" s="218" t="str">
        <f>("18")</f>
        <v>18</v>
      </c>
      <c r="D466" s="218" t="s">
        <v>615</v>
      </c>
      <c r="E466" s="218" t="s">
        <v>7567</v>
      </c>
      <c r="F466" s="218" t="s">
        <v>7568</v>
      </c>
      <c r="G466" s="218">
        <v>5</v>
      </c>
      <c r="H466" s="218" t="s">
        <v>614</v>
      </c>
      <c r="I466" s="218" t="str">
        <f>("1409050144")</f>
        <v>1409050144</v>
      </c>
    </row>
    <row r="467" spans="1:10" x14ac:dyDescent="0.15">
      <c r="A467" s="406" t="str">
        <f t="shared" si="7"/>
        <v>南大分サッカー少年団_20</v>
      </c>
      <c r="B467" s="218" t="s">
        <v>1039</v>
      </c>
      <c r="C467" s="218" t="str">
        <f>("20")</f>
        <v>20</v>
      </c>
      <c r="D467" s="218" t="s">
        <v>623</v>
      </c>
      <c r="E467" s="218" t="s">
        <v>7569</v>
      </c>
      <c r="F467" s="218" t="s">
        <v>832</v>
      </c>
      <c r="G467" s="218">
        <v>5</v>
      </c>
      <c r="H467" s="218" t="s">
        <v>614</v>
      </c>
      <c r="I467" s="218" t="str">
        <f>("1412090132")</f>
        <v>1412090132</v>
      </c>
    </row>
    <row r="468" spans="1:10" x14ac:dyDescent="0.15">
      <c r="A468" s="406" t="str">
        <f t="shared" si="7"/>
        <v>南大分サッカー少年団_22</v>
      </c>
      <c r="B468" s="218" t="s">
        <v>1039</v>
      </c>
      <c r="C468" s="218" t="str">
        <f>("22")</f>
        <v>22</v>
      </c>
      <c r="D468" s="218" t="s">
        <v>611</v>
      </c>
      <c r="E468" s="218" t="s">
        <v>7570</v>
      </c>
      <c r="F468" s="218" t="s">
        <v>7571</v>
      </c>
      <c r="G468" s="218">
        <v>5</v>
      </c>
      <c r="H468" s="218" t="s">
        <v>614</v>
      </c>
      <c r="I468" s="218" t="str">
        <f>("1406130143")</f>
        <v>1406130143</v>
      </c>
    </row>
    <row r="469" spans="1:10" x14ac:dyDescent="0.15">
      <c r="A469" s="406" t="str">
        <f t="shared" si="7"/>
        <v>アトレチコエラン横瀬_1</v>
      </c>
      <c r="B469" s="218" t="s">
        <v>1060</v>
      </c>
      <c r="C469" s="218" t="str">
        <f>("1")</f>
        <v>1</v>
      </c>
      <c r="D469" s="218" t="s">
        <v>624</v>
      </c>
      <c r="E469" s="218" t="s">
        <v>7572</v>
      </c>
      <c r="F469" s="218" t="s">
        <v>1441</v>
      </c>
      <c r="G469" s="218">
        <v>6</v>
      </c>
      <c r="H469" s="218" t="s">
        <v>614</v>
      </c>
      <c r="I469" s="218" t="str">
        <f>("1308270057")</f>
        <v>1308270057</v>
      </c>
    </row>
    <row r="470" spans="1:10" x14ac:dyDescent="0.15">
      <c r="A470" s="406" t="str">
        <f t="shared" si="7"/>
        <v>アトレチコエラン横瀬_2</v>
      </c>
      <c r="B470" s="218" t="s">
        <v>1060</v>
      </c>
      <c r="C470" s="218" t="str">
        <f>("2")</f>
        <v>2</v>
      </c>
      <c r="D470" s="218" t="s">
        <v>615</v>
      </c>
      <c r="E470" s="218" t="s">
        <v>7573</v>
      </c>
      <c r="F470" s="218" t="s">
        <v>11836</v>
      </c>
      <c r="G470" s="218">
        <v>4</v>
      </c>
      <c r="H470" s="218" t="s">
        <v>614</v>
      </c>
      <c r="I470" s="218" t="str">
        <f>("1508270162")</f>
        <v>1508270162</v>
      </c>
    </row>
    <row r="471" spans="1:10" x14ac:dyDescent="0.15">
      <c r="A471" s="406" t="str">
        <f t="shared" si="7"/>
        <v>アトレチコエラン横瀬_3</v>
      </c>
      <c r="B471" s="218" t="s">
        <v>1060</v>
      </c>
      <c r="C471" s="218" t="str">
        <f>("3")</f>
        <v>3</v>
      </c>
      <c r="D471" s="218" t="s">
        <v>623</v>
      </c>
      <c r="E471" s="218" t="s">
        <v>7574</v>
      </c>
      <c r="F471" s="218" t="s">
        <v>7575</v>
      </c>
      <c r="G471" s="218">
        <v>6</v>
      </c>
      <c r="H471" s="218" t="s">
        <v>614</v>
      </c>
      <c r="I471" s="218" t="str">
        <f>("1307020050")</f>
        <v>1307020050</v>
      </c>
    </row>
    <row r="472" spans="1:10" x14ac:dyDescent="0.15">
      <c r="A472" s="406" t="str">
        <f t="shared" si="7"/>
        <v>アトレチコエラン横瀬_4</v>
      </c>
      <c r="B472" s="218" t="s">
        <v>1060</v>
      </c>
      <c r="C472" s="218" t="str">
        <f>("4")</f>
        <v>4</v>
      </c>
      <c r="D472" s="218" t="s">
        <v>615</v>
      </c>
      <c r="E472" s="218" t="s">
        <v>7576</v>
      </c>
      <c r="F472" s="218" t="s">
        <v>7577</v>
      </c>
      <c r="G472" s="218">
        <v>4</v>
      </c>
      <c r="H472" s="218" t="s">
        <v>614</v>
      </c>
      <c r="I472" s="218" t="str">
        <f>("1509080198")</f>
        <v>1509080198</v>
      </c>
    </row>
    <row r="473" spans="1:10" x14ac:dyDescent="0.15">
      <c r="A473" s="406" t="str">
        <f t="shared" si="7"/>
        <v>アトレチコエラン横瀬_5</v>
      </c>
      <c r="B473" s="218" t="s">
        <v>1060</v>
      </c>
      <c r="C473" s="218" t="str">
        <f>("5")</f>
        <v>5</v>
      </c>
      <c r="D473" s="218" t="s">
        <v>611</v>
      </c>
      <c r="E473" s="218" t="s">
        <v>1063</v>
      </c>
      <c r="F473" s="218" t="s">
        <v>1064</v>
      </c>
      <c r="G473" s="218">
        <v>6</v>
      </c>
      <c r="H473" s="218" t="s">
        <v>614</v>
      </c>
      <c r="I473" s="218" t="str">
        <f>("1307050134")</f>
        <v>1307050134</v>
      </c>
    </row>
    <row r="474" spans="1:10" x14ac:dyDescent="0.15">
      <c r="A474" s="406" t="str">
        <f t="shared" si="7"/>
        <v>アトレチコエラン横瀬_6</v>
      </c>
      <c r="B474" s="218" t="s">
        <v>1060</v>
      </c>
      <c r="C474" s="218" t="str">
        <f>("6")</f>
        <v>6</v>
      </c>
      <c r="D474" s="218" t="s">
        <v>623</v>
      </c>
      <c r="E474" s="218" t="s">
        <v>1061</v>
      </c>
      <c r="F474" s="218" t="s">
        <v>1062</v>
      </c>
      <c r="G474" s="218">
        <v>6</v>
      </c>
      <c r="H474" s="218" t="s">
        <v>614</v>
      </c>
      <c r="I474" s="218" t="str">
        <f>("1307310041")</f>
        <v>1307310041</v>
      </c>
    </row>
    <row r="475" spans="1:10" x14ac:dyDescent="0.15">
      <c r="A475" s="406" t="str">
        <f t="shared" si="7"/>
        <v>アトレチコエラン横瀬_7</v>
      </c>
      <c r="B475" s="218" t="s">
        <v>1060</v>
      </c>
      <c r="C475" s="218" t="str">
        <f>("7")</f>
        <v>7</v>
      </c>
      <c r="D475" s="218" t="s">
        <v>611</v>
      </c>
      <c r="E475" s="218" t="s">
        <v>7578</v>
      </c>
      <c r="F475" s="218" t="s">
        <v>7579</v>
      </c>
      <c r="G475" s="218">
        <v>6</v>
      </c>
      <c r="H475" s="218" t="s">
        <v>614</v>
      </c>
      <c r="I475" s="218" t="str">
        <f>("1401060031")</f>
        <v>1401060031</v>
      </c>
    </row>
    <row r="476" spans="1:10" x14ac:dyDescent="0.15">
      <c r="A476" s="406" t="str">
        <f t="shared" si="7"/>
        <v>アトレチコエラン横瀬_8</v>
      </c>
      <c r="B476" s="218" t="s">
        <v>1060</v>
      </c>
      <c r="C476" s="218" t="str">
        <f>("8")</f>
        <v>8</v>
      </c>
      <c r="D476" s="218" t="s">
        <v>615</v>
      </c>
      <c r="E476" s="218" t="s">
        <v>1065</v>
      </c>
      <c r="F476" s="218" t="s">
        <v>1066</v>
      </c>
      <c r="G476" s="218">
        <v>6</v>
      </c>
      <c r="H476" s="218" t="s">
        <v>614</v>
      </c>
      <c r="I476" s="218" t="str">
        <f>("1307210033")</f>
        <v>1307210033</v>
      </c>
    </row>
    <row r="477" spans="1:10" x14ac:dyDescent="0.15">
      <c r="A477" s="406" t="str">
        <f t="shared" si="7"/>
        <v>アトレチコエラン横瀬_9</v>
      </c>
      <c r="B477" s="218" t="s">
        <v>1060</v>
      </c>
      <c r="C477" s="218" t="str">
        <f>("9")</f>
        <v>9</v>
      </c>
      <c r="D477" s="218" t="s">
        <v>615</v>
      </c>
      <c r="E477" s="218" t="s">
        <v>1221</v>
      </c>
      <c r="F477" s="218" t="s">
        <v>1222</v>
      </c>
      <c r="G477" s="218">
        <v>6</v>
      </c>
      <c r="H477" s="218" t="s">
        <v>614</v>
      </c>
      <c r="I477" s="218" t="str">
        <f>("1309060015")</f>
        <v>1309060015</v>
      </c>
    </row>
    <row r="478" spans="1:10" x14ac:dyDescent="0.15">
      <c r="A478" s="406" t="str">
        <f t="shared" si="7"/>
        <v>アトレチコエラン横瀬_10</v>
      </c>
      <c r="B478" s="218" t="s">
        <v>1060</v>
      </c>
      <c r="C478" s="218" t="str">
        <f>("10")</f>
        <v>10</v>
      </c>
      <c r="D478" s="218" t="s">
        <v>615</v>
      </c>
      <c r="E478" s="218" t="s">
        <v>1077</v>
      </c>
      <c r="F478" s="218" t="s">
        <v>1078</v>
      </c>
      <c r="G478" s="218">
        <v>6</v>
      </c>
      <c r="H478" s="218" t="s">
        <v>614</v>
      </c>
      <c r="I478" s="218" t="str">
        <f>("1305060030")</f>
        <v>1305060030</v>
      </c>
      <c r="J478" s="218" t="s">
        <v>159</v>
      </c>
    </row>
    <row r="479" spans="1:10" x14ac:dyDescent="0.15">
      <c r="A479" s="406" t="str">
        <f t="shared" si="7"/>
        <v>アトレチコエラン横瀬_12</v>
      </c>
      <c r="B479" s="218" t="s">
        <v>1060</v>
      </c>
      <c r="C479" s="218" t="str">
        <f>("12")</f>
        <v>12</v>
      </c>
      <c r="D479" s="218" t="s">
        <v>624</v>
      </c>
      <c r="E479" s="218" t="s">
        <v>7580</v>
      </c>
      <c r="F479" s="218" t="s">
        <v>7581</v>
      </c>
      <c r="G479" s="218">
        <v>5</v>
      </c>
      <c r="H479" s="218" t="s">
        <v>614</v>
      </c>
      <c r="I479" s="218" t="str">
        <f>("1408080251")</f>
        <v>1408080251</v>
      </c>
    </row>
    <row r="480" spans="1:10" x14ac:dyDescent="0.15">
      <c r="A480" s="406" t="str">
        <f t="shared" si="7"/>
        <v>アトレチコエラン横瀬_13</v>
      </c>
      <c r="B480" s="218" t="s">
        <v>1060</v>
      </c>
      <c r="C480" s="218" t="str">
        <f>("13")</f>
        <v>13</v>
      </c>
      <c r="D480" s="218" t="s">
        <v>623</v>
      </c>
      <c r="E480" s="218" t="s">
        <v>7582</v>
      </c>
      <c r="F480" s="218" t="s">
        <v>7583</v>
      </c>
      <c r="G480" s="218">
        <v>4</v>
      </c>
      <c r="H480" s="218" t="s">
        <v>614</v>
      </c>
      <c r="I480" s="218" t="str">
        <f>("1511160157")</f>
        <v>1511160157</v>
      </c>
    </row>
    <row r="481" spans="1:10" x14ac:dyDescent="0.15">
      <c r="A481" s="406" t="str">
        <f t="shared" si="7"/>
        <v>アトレチコエラン横瀬_14</v>
      </c>
      <c r="B481" s="218" t="s">
        <v>1060</v>
      </c>
      <c r="C481" s="218" t="str">
        <f>("14")</f>
        <v>14</v>
      </c>
      <c r="D481" s="218" t="s">
        <v>615</v>
      </c>
      <c r="E481" s="218" t="s">
        <v>1079</v>
      </c>
      <c r="F481" s="218" t="s">
        <v>1080</v>
      </c>
      <c r="G481" s="218">
        <v>5</v>
      </c>
      <c r="H481" s="218" t="s">
        <v>614</v>
      </c>
      <c r="I481" s="218" t="str">
        <f>("1404120015")</f>
        <v>1404120015</v>
      </c>
    </row>
    <row r="482" spans="1:10" x14ac:dyDescent="0.15">
      <c r="A482" s="406" t="str">
        <f t="shared" si="7"/>
        <v>アトレチコエラン横瀬_15</v>
      </c>
      <c r="B482" s="218" t="s">
        <v>1060</v>
      </c>
      <c r="C482" s="218" t="str">
        <f>("15")</f>
        <v>15</v>
      </c>
      <c r="D482" s="218" t="s">
        <v>615</v>
      </c>
      <c r="E482" s="218" t="s">
        <v>7584</v>
      </c>
      <c r="F482" s="218" t="s">
        <v>7585</v>
      </c>
      <c r="G482" s="218">
        <v>4</v>
      </c>
      <c r="H482" s="218" t="s">
        <v>614</v>
      </c>
      <c r="I482" s="218" t="str">
        <f>("1509280199")</f>
        <v>1509280199</v>
      </c>
    </row>
    <row r="483" spans="1:10" x14ac:dyDescent="0.15">
      <c r="A483" s="406" t="str">
        <f t="shared" si="7"/>
        <v>アトレチコエラン横瀬_16</v>
      </c>
      <c r="B483" s="218" t="s">
        <v>1060</v>
      </c>
      <c r="C483" s="218" t="str">
        <f>("16")</f>
        <v>16</v>
      </c>
      <c r="D483" s="218" t="s">
        <v>615</v>
      </c>
      <c r="E483" s="218" t="s">
        <v>11837</v>
      </c>
      <c r="F483" s="218" t="s">
        <v>11838</v>
      </c>
      <c r="G483" s="218">
        <v>4</v>
      </c>
      <c r="H483" s="218" t="s">
        <v>614</v>
      </c>
      <c r="I483" s="218" t="str">
        <f>("1602200108")</f>
        <v>1602200108</v>
      </c>
    </row>
    <row r="484" spans="1:10" x14ac:dyDescent="0.15">
      <c r="A484" s="406" t="str">
        <f t="shared" si="7"/>
        <v>アトレチコエラン横瀬_20</v>
      </c>
      <c r="B484" s="218" t="s">
        <v>1060</v>
      </c>
      <c r="C484" s="218" t="str">
        <f>("20")</f>
        <v>20</v>
      </c>
      <c r="D484" s="218" t="s">
        <v>611</v>
      </c>
      <c r="E484" s="218" t="s">
        <v>7586</v>
      </c>
      <c r="F484" s="218" t="s">
        <v>7587</v>
      </c>
      <c r="G484" s="218">
        <v>5</v>
      </c>
      <c r="H484" s="218" t="s">
        <v>614</v>
      </c>
      <c r="I484" s="218" t="str">
        <f>("1503200136")</f>
        <v>1503200136</v>
      </c>
    </row>
    <row r="485" spans="1:10" x14ac:dyDescent="0.15">
      <c r="A485" s="406" t="str">
        <f t="shared" si="7"/>
        <v>明野北フットボールクラブ_1</v>
      </c>
      <c r="B485" s="218" t="s">
        <v>1081</v>
      </c>
      <c r="C485" s="218" t="str">
        <f>("1")</f>
        <v>1</v>
      </c>
      <c r="D485" s="218" t="s">
        <v>624</v>
      </c>
      <c r="E485" s="218" t="s">
        <v>7588</v>
      </c>
      <c r="F485" s="218" t="s">
        <v>7589</v>
      </c>
      <c r="G485" s="218">
        <v>5</v>
      </c>
      <c r="H485" s="218" t="s">
        <v>614</v>
      </c>
      <c r="I485" s="218" t="str">
        <f>("1410200138")</f>
        <v>1410200138</v>
      </c>
    </row>
    <row r="486" spans="1:10" x14ac:dyDescent="0.15">
      <c r="A486" s="406" t="str">
        <f t="shared" si="7"/>
        <v>明野北フットボールクラブ_2</v>
      </c>
      <c r="B486" s="218" t="s">
        <v>1081</v>
      </c>
      <c r="C486" s="218" t="str">
        <f>("2")</f>
        <v>2</v>
      </c>
      <c r="D486" s="218" t="s">
        <v>611</v>
      </c>
      <c r="E486" s="218" t="s">
        <v>7590</v>
      </c>
      <c r="F486" s="218" t="s">
        <v>7591</v>
      </c>
      <c r="G486" s="218">
        <v>5</v>
      </c>
      <c r="H486" s="218" t="s">
        <v>614</v>
      </c>
      <c r="I486" s="218" t="str">
        <f>("1409140114")</f>
        <v>1409140114</v>
      </c>
    </row>
    <row r="487" spans="1:10" x14ac:dyDescent="0.15">
      <c r="A487" s="406" t="str">
        <f t="shared" si="7"/>
        <v>明野北フットボールクラブ_3</v>
      </c>
      <c r="B487" s="218" t="s">
        <v>1081</v>
      </c>
      <c r="C487" s="218" t="str">
        <f>("3")</f>
        <v>3</v>
      </c>
      <c r="D487" s="218" t="s">
        <v>615</v>
      </c>
      <c r="E487" s="218" t="s">
        <v>7592</v>
      </c>
      <c r="F487" s="218" t="s">
        <v>7593</v>
      </c>
      <c r="G487" s="218">
        <v>5</v>
      </c>
      <c r="H487" s="218" t="s">
        <v>614</v>
      </c>
      <c r="I487" s="218" t="str">
        <f>("1405130164")</f>
        <v>1405130164</v>
      </c>
    </row>
    <row r="488" spans="1:10" x14ac:dyDescent="0.15">
      <c r="A488" s="406" t="str">
        <f t="shared" si="7"/>
        <v>明野北フットボールクラブ_4</v>
      </c>
      <c r="B488" s="218" t="s">
        <v>1081</v>
      </c>
      <c r="C488" s="218" t="str">
        <f>("4")</f>
        <v>4</v>
      </c>
      <c r="D488" s="218" t="s">
        <v>615</v>
      </c>
      <c r="E488" s="218" t="s">
        <v>7594</v>
      </c>
      <c r="F488" s="218" t="s">
        <v>7595</v>
      </c>
      <c r="G488" s="218">
        <v>5</v>
      </c>
      <c r="H488" s="218" t="s">
        <v>614</v>
      </c>
      <c r="I488" s="218" t="str">
        <f>("1410110119")</f>
        <v>1410110119</v>
      </c>
    </row>
    <row r="489" spans="1:10" x14ac:dyDescent="0.15">
      <c r="A489" s="406" t="str">
        <f t="shared" si="7"/>
        <v>明野北フットボールクラブ_5</v>
      </c>
      <c r="B489" s="218" t="s">
        <v>1081</v>
      </c>
      <c r="C489" s="218" t="str">
        <f>("5")</f>
        <v>5</v>
      </c>
      <c r="D489" s="218" t="s">
        <v>615</v>
      </c>
      <c r="E489" s="218" t="s">
        <v>7596</v>
      </c>
      <c r="F489" s="218" t="s">
        <v>7597</v>
      </c>
      <c r="G489" s="218">
        <v>4</v>
      </c>
      <c r="H489" s="218" t="s">
        <v>614</v>
      </c>
      <c r="I489" s="218" t="str">
        <f>("1504020072")</f>
        <v>1504020072</v>
      </c>
    </row>
    <row r="490" spans="1:10" x14ac:dyDescent="0.15">
      <c r="A490" s="406" t="str">
        <f t="shared" si="7"/>
        <v>明野北フットボールクラブ_6</v>
      </c>
      <c r="B490" s="218" t="s">
        <v>1081</v>
      </c>
      <c r="C490" s="218" t="str">
        <f>("6")</f>
        <v>6</v>
      </c>
      <c r="D490" s="218" t="s">
        <v>623</v>
      </c>
      <c r="E490" s="218" t="s">
        <v>7598</v>
      </c>
      <c r="F490" s="218" t="s">
        <v>7599</v>
      </c>
      <c r="G490" s="218">
        <v>5</v>
      </c>
      <c r="H490" s="218" t="s">
        <v>614</v>
      </c>
      <c r="I490" s="218" t="str">
        <f>("1410310146")</f>
        <v>1410310146</v>
      </c>
    </row>
    <row r="491" spans="1:10" x14ac:dyDescent="0.15">
      <c r="A491" s="406" t="str">
        <f t="shared" si="7"/>
        <v>明野北フットボールクラブ_7</v>
      </c>
      <c r="B491" s="218" t="s">
        <v>1081</v>
      </c>
      <c r="C491" s="218" t="str">
        <f>("7")</f>
        <v>7</v>
      </c>
      <c r="D491" s="218" t="s">
        <v>615</v>
      </c>
      <c r="E491" s="218" t="s">
        <v>7600</v>
      </c>
      <c r="F491" s="218" t="s">
        <v>7601</v>
      </c>
      <c r="G491" s="218">
        <v>5</v>
      </c>
      <c r="H491" s="218" t="s">
        <v>614</v>
      </c>
      <c r="I491" s="218" t="str">
        <f>("1502200125")</f>
        <v>1502200125</v>
      </c>
    </row>
    <row r="492" spans="1:10" x14ac:dyDescent="0.15">
      <c r="A492" s="406" t="str">
        <f t="shared" si="7"/>
        <v>明野北フットボールクラブ_8</v>
      </c>
      <c r="B492" s="218" t="s">
        <v>1081</v>
      </c>
      <c r="C492" s="218" t="str">
        <f>("8")</f>
        <v>8</v>
      </c>
      <c r="D492" s="218" t="s">
        <v>615</v>
      </c>
      <c r="E492" s="218" t="s">
        <v>7602</v>
      </c>
      <c r="F492" s="218" t="s">
        <v>7603</v>
      </c>
      <c r="G492" s="218">
        <v>5</v>
      </c>
      <c r="H492" s="218" t="s">
        <v>614</v>
      </c>
      <c r="I492" s="218" t="str">
        <f>("1409180163")</f>
        <v>1409180163</v>
      </c>
    </row>
    <row r="493" spans="1:10" x14ac:dyDescent="0.15">
      <c r="A493" s="406" t="str">
        <f t="shared" si="7"/>
        <v>明野北フットボールクラブ_9</v>
      </c>
      <c r="B493" s="218" t="s">
        <v>1081</v>
      </c>
      <c r="C493" s="218" t="str">
        <f>("9")</f>
        <v>9</v>
      </c>
      <c r="D493" s="218" t="s">
        <v>615</v>
      </c>
      <c r="E493" s="218" t="s">
        <v>7604</v>
      </c>
      <c r="F493" s="218" t="s">
        <v>4883</v>
      </c>
      <c r="G493" s="218">
        <v>5</v>
      </c>
      <c r="H493" s="218" t="s">
        <v>614</v>
      </c>
      <c r="I493" s="218" t="str">
        <f>("1502190182")</f>
        <v>1502190182</v>
      </c>
    </row>
    <row r="494" spans="1:10" x14ac:dyDescent="0.15">
      <c r="A494" s="406" t="str">
        <f t="shared" si="7"/>
        <v>明野北フットボールクラブ_10</v>
      </c>
      <c r="B494" s="218" t="s">
        <v>1081</v>
      </c>
      <c r="C494" s="218" t="str">
        <f>("10")</f>
        <v>10</v>
      </c>
      <c r="D494" s="218" t="s">
        <v>611</v>
      </c>
      <c r="E494" s="218" t="s">
        <v>7605</v>
      </c>
      <c r="F494" s="218" t="s">
        <v>7606</v>
      </c>
      <c r="G494" s="218">
        <v>5</v>
      </c>
      <c r="H494" s="218" t="s">
        <v>614</v>
      </c>
      <c r="I494" s="218" t="str">
        <f>("1404090135")</f>
        <v>1404090135</v>
      </c>
      <c r="J494" s="218" t="s">
        <v>159</v>
      </c>
    </row>
    <row r="495" spans="1:10" x14ac:dyDescent="0.15">
      <c r="A495" s="406" t="str">
        <f t="shared" si="7"/>
        <v>明野北フットボールクラブ_11</v>
      </c>
      <c r="B495" s="218" t="s">
        <v>1081</v>
      </c>
      <c r="C495" s="218" t="str">
        <f>("11")</f>
        <v>11</v>
      </c>
      <c r="D495" s="218" t="s">
        <v>615</v>
      </c>
      <c r="E495" s="218" t="s">
        <v>7607</v>
      </c>
      <c r="F495" s="218" t="s">
        <v>7608</v>
      </c>
      <c r="G495" s="218">
        <v>3</v>
      </c>
      <c r="H495" s="218" t="s">
        <v>614</v>
      </c>
      <c r="I495" s="218" t="str">
        <f>("1606240049")</f>
        <v>1606240049</v>
      </c>
    </row>
    <row r="496" spans="1:10" x14ac:dyDescent="0.15">
      <c r="A496" s="406" t="str">
        <f t="shared" si="7"/>
        <v>明野北フットボールクラブ_12</v>
      </c>
      <c r="B496" s="218" t="s">
        <v>1081</v>
      </c>
      <c r="C496" s="218" t="str">
        <f>("12")</f>
        <v>12</v>
      </c>
      <c r="D496" s="218" t="s">
        <v>611</v>
      </c>
      <c r="E496" s="218" t="s">
        <v>7609</v>
      </c>
      <c r="F496" s="218" t="s">
        <v>7610</v>
      </c>
      <c r="G496" s="218">
        <v>4</v>
      </c>
      <c r="H496" s="218" t="s">
        <v>614</v>
      </c>
      <c r="I496" s="218" t="str">
        <f>("1510220167")</f>
        <v>1510220167</v>
      </c>
    </row>
    <row r="497" spans="1:10" x14ac:dyDescent="0.15">
      <c r="A497" s="406" t="str">
        <f t="shared" si="7"/>
        <v>明野北フットボールクラブ_13</v>
      </c>
      <c r="B497" s="218" t="s">
        <v>1081</v>
      </c>
      <c r="C497" s="218" t="str">
        <f>("13")</f>
        <v>13</v>
      </c>
      <c r="D497" s="218" t="s">
        <v>615</v>
      </c>
      <c r="E497" s="218" t="s">
        <v>7611</v>
      </c>
      <c r="F497" s="218" t="s">
        <v>7612</v>
      </c>
      <c r="G497" s="218">
        <v>4</v>
      </c>
      <c r="H497" s="218" t="s">
        <v>614</v>
      </c>
      <c r="I497" s="218" t="str">
        <f>("1512300103")</f>
        <v>1512300103</v>
      </c>
    </row>
    <row r="498" spans="1:10" x14ac:dyDescent="0.15">
      <c r="A498" s="406" t="str">
        <f t="shared" si="7"/>
        <v>明野北フットボールクラブ_16</v>
      </c>
      <c r="B498" s="218" t="s">
        <v>1081</v>
      </c>
      <c r="C498" s="218" t="str">
        <f>("16")</f>
        <v>16</v>
      </c>
      <c r="D498" s="218" t="s">
        <v>624</v>
      </c>
      <c r="E498" s="218" t="s">
        <v>7613</v>
      </c>
      <c r="F498" s="218" t="s">
        <v>7614</v>
      </c>
      <c r="G498" s="218">
        <v>5</v>
      </c>
      <c r="H498" s="218" t="s">
        <v>614</v>
      </c>
      <c r="I498" s="218" t="str">
        <f>("1409040146")</f>
        <v>1409040146</v>
      </c>
    </row>
    <row r="499" spans="1:10" x14ac:dyDescent="0.15">
      <c r="A499" s="406" t="str">
        <f t="shared" si="7"/>
        <v>明治北ＳＳＣ_1</v>
      </c>
      <c r="B499" s="218" t="s">
        <v>1086</v>
      </c>
      <c r="C499" s="218" t="str">
        <f>("1")</f>
        <v>1</v>
      </c>
      <c r="D499" s="218" t="s">
        <v>624</v>
      </c>
      <c r="E499" s="218" t="s">
        <v>7615</v>
      </c>
      <c r="F499" s="218" t="s">
        <v>7616</v>
      </c>
      <c r="G499" s="218">
        <v>6</v>
      </c>
      <c r="H499" s="218" t="s">
        <v>614</v>
      </c>
      <c r="I499" s="218" t="str">
        <f>("1308070069")</f>
        <v>1308070069</v>
      </c>
    </row>
    <row r="500" spans="1:10" x14ac:dyDescent="0.15">
      <c r="A500" s="406" t="str">
        <f t="shared" si="7"/>
        <v>明治北ＳＳＣ_2</v>
      </c>
      <c r="B500" s="218" t="s">
        <v>1086</v>
      </c>
      <c r="C500" s="218" t="str">
        <f>("2")</f>
        <v>2</v>
      </c>
      <c r="D500" s="218" t="s">
        <v>611</v>
      </c>
      <c r="E500" s="218" t="s">
        <v>1101</v>
      </c>
      <c r="F500" s="218" t="s">
        <v>1102</v>
      </c>
      <c r="G500" s="218">
        <v>6</v>
      </c>
      <c r="H500" s="218" t="s">
        <v>614</v>
      </c>
      <c r="I500" s="218" t="str">
        <f>("1312230044")</f>
        <v>1312230044</v>
      </c>
    </row>
    <row r="501" spans="1:10" x14ac:dyDescent="0.15">
      <c r="A501" s="406" t="str">
        <f t="shared" si="7"/>
        <v>明治北ＳＳＣ_3</v>
      </c>
      <c r="B501" s="218" t="s">
        <v>1086</v>
      </c>
      <c r="C501" s="218" t="str">
        <f>("3")</f>
        <v>3</v>
      </c>
      <c r="D501" s="218" t="s">
        <v>611</v>
      </c>
      <c r="E501" s="218" t="s">
        <v>7617</v>
      </c>
      <c r="F501" s="218" t="s">
        <v>7618</v>
      </c>
      <c r="G501" s="218">
        <v>6</v>
      </c>
      <c r="H501" s="218" t="s">
        <v>614</v>
      </c>
      <c r="I501" s="218" t="str">
        <f>("1309200138")</f>
        <v>1309200138</v>
      </c>
    </row>
    <row r="502" spans="1:10" x14ac:dyDescent="0.15">
      <c r="A502" s="406" t="str">
        <f t="shared" si="7"/>
        <v>明治北ＳＳＣ_4</v>
      </c>
      <c r="B502" s="218" t="s">
        <v>1086</v>
      </c>
      <c r="C502" s="218" t="str">
        <f>("4")</f>
        <v>4</v>
      </c>
      <c r="D502" s="218" t="s">
        <v>611</v>
      </c>
      <c r="E502" s="218" t="s">
        <v>7619</v>
      </c>
      <c r="F502" s="218" t="s">
        <v>7620</v>
      </c>
      <c r="G502" s="218">
        <v>5</v>
      </c>
      <c r="H502" s="218" t="s">
        <v>614</v>
      </c>
      <c r="I502" s="218" t="str">
        <f>("1409090051")</f>
        <v>1409090051</v>
      </c>
    </row>
    <row r="503" spans="1:10" x14ac:dyDescent="0.15">
      <c r="A503" s="406" t="str">
        <f t="shared" si="7"/>
        <v>明治北ＳＳＣ_5</v>
      </c>
      <c r="B503" s="218" t="s">
        <v>1086</v>
      </c>
      <c r="C503" s="218" t="str">
        <f>("5")</f>
        <v>5</v>
      </c>
      <c r="D503" s="218" t="s">
        <v>615</v>
      </c>
      <c r="E503" s="218" t="s">
        <v>1092</v>
      </c>
      <c r="F503" s="218" t="s">
        <v>1093</v>
      </c>
      <c r="G503" s="218">
        <v>6</v>
      </c>
      <c r="H503" s="218" t="s">
        <v>614</v>
      </c>
      <c r="I503" s="218" t="str">
        <f>("1401070064")</f>
        <v>1401070064</v>
      </c>
    </row>
    <row r="504" spans="1:10" x14ac:dyDescent="0.15">
      <c r="A504" s="406" t="str">
        <f t="shared" si="7"/>
        <v>明治北ＳＳＣ_6</v>
      </c>
      <c r="B504" s="218" t="s">
        <v>1086</v>
      </c>
      <c r="C504" s="218" t="str">
        <f>("6")</f>
        <v>6</v>
      </c>
      <c r="D504" s="218" t="s">
        <v>615</v>
      </c>
      <c r="E504" s="218" t="s">
        <v>7621</v>
      </c>
      <c r="F504" s="218" t="s">
        <v>7622</v>
      </c>
      <c r="G504" s="218">
        <v>6</v>
      </c>
      <c r="H504" s="218" t="s">
        <v>614</v>
      </c>
      <c r="I504" s="218" t="str">
        <f>("1310020068")</f>
        <v>1310020068</v>
      </c>
    </row>
    <row r="505" spans="1:10" x14ac:dyDescent="0.15">
      <c r="A505" s="406" t="str">
        <f t="shared" si="7"/>
        <v>明治北ＳＳＣ_7</v>
      </c>
      <c r="B505" s="218" t="s">
        <v>1086</v>
      </c>
      <c r="C505" s="218" t="str">
        <f>("7")</f>
        <v>7</v>
      </c>
      <c r="D505" s="218" t="s">
        <v>615</v>
      </c>
      <c r="E505" s="218" t="s">
        <v>7623</v>
      </c>
      <c r="F505" s="218" t="s">
        <v>7624</v>
      </c>
      <c r="G505" s="218">
        <v>6</v>
      </c>
      <c r="H505" s="218" t="s">
        <v>614</v>
      </c>
      <c r="I505" s="218" t="str">
        <f>("1308030146")</f>
        <v>1308030146</v>
      </c>
      <c r="J505" s="218" t="s">
        <v>159</v>
      </c>
    </row>
    <row r="506" spans="1:10" x14ac:dyDescent="0.15">
      <c r="A506" s="406" t="str">
        <f t="shared" si="7"/>
        <v>明治北ＳＳＣ_8</v>
      </c>
      <c r="B506" s="218" t="s">
        <v>1086</v>
      </c>
      <c r="C506" s="218" t="str">
        <f>("8")</f>
        <v>8</v>
      </c>
      <c r="D506" s="218" t="s">
        <v>611</v>
      </c>
      <c r="E506" s="218" t="s">
        <v>7625</v>
      </c>
      <c r="F506" s="218" t="s">
        <v>7626</v>
      </c>
      <c r="G506" s="218">
        <v>5</v>
      </c>
      <c r="H506" s="218" t="s">
        <v>614</v>
      </c>
      <c r="I506" s="218" t="str">
        <f>("1409160074")</f>
        <v>1409160074</v>
      </c>
    </row>
    <row r="507" spans="1:10" x14ac:dyDescent="0.15">
      <c r="A507" s="406" t="str">
        <f t="shared" si="7"/>
        <v>明治北ＳＳＣ_9</v>
      </c>
      <c r="B507" s="218" t="s">
        <v>1086</v>
      </c>
      <c r="C507" s="218" t="str">
        <f>("9")</f>
        <v>9</v>
      </c>
      <c r="D507" s="218" t="s">
        <v>623</v>
      </c>
      <c r="E507" s="218" t="s">
        <v>1103</v>
      </c>
      <c r="F507" s="218" t="s">
        <v>1104</v>
      </c>
      <c r="G507" s="218">
        <v>6</v>
      </c>
      <c r="H507" s="218" t="s">
        <v>614</v>
      </c>
      <c r="I507" s="218" t="str">
        <f>("1306300080")</f>
        <v>1306300080</v>
      </c>
    </row>
    <row r="508" spans="1:10" x14ac:dyDescent="0.15">
      <c r="A508" s="406" t="str">
        <f t="shared" si="7"/>
        <v>明治北ＳＳＣ_10</v>
      </c>
      <c r="B508" s="218" t="s">
        <v>1086</v>
      </c>
      <c r="C508" s="218" t="str">
        <f>("10")</f>
        <v>10</v>
      </c>
      <c r="D508" s="218" t="s">
        <v>615</v>
      </c>
      <c r="E508" s="218" t="s">
        <v>1087</v>
      </c>
      <c r="F508" s="218" t="s">
        <v>1088</v>
      </c>
      <c r="G508" s="218">
        <v>6</v>
      </c>
      <c r="H508" s="218" t="s">
        <v>614</v>
      </c>
      <c r="I508" s="218" t="str">
        <f>("1312250082")</f>
        <v>1312250082</v>
      </c>
    </row>
    <row r="509" spans="1:10" x14ac:dyDescent="0.15">
      <c r="A509" s="406" t="str">
        <f t="shared" si="7"/>
        <v>明治北ＳＳＣ_11</v>
      </c>
      <c r="B509" s="218" t="s">
        <v>1086</v>
      </c>
      <c r="C509" s="218" t="str">
        <f>("11")</f>
        <v>11</v>
      </c>
      <c r="D509" s="218" t="s">
        <v>623</v>
      </c>
      <c r="E509" s="218" t="s">
        <v>1105</v>
      </c>
      <c r="F509" s="218" t="s">
        <v>1106</v>
      </c>
      <c r="G509" s="218">
        <v>6</v>
      </c>
      <c r="H509" s="218" t="s">
        <v>614</v>
      </c>
      <c r="I509" s="218" t="str">
        <f>("1306300042")</f>
        <v>1306300042</v>
      </c>
    </row>
    <row r="510" spans="1:10" x14ac:dyDescent="0.15">
      <c r="A510" s="406" t="str">
        <f t="shared" si="7"/>
        <v>明治北ＳＳＣ_12</v>
      </c>
      <c r="B510" s="218" t="s">
        <v>1086</v>
      </c>
      <c r="C510" s="218" t="str">
        <f>("12")</f>
        <v>12</v>
      </c>
      <c r="D510" s="218" t="s">
        <v>624</v>
      </c>
      <c r="E510" s="218" t="s">
        <v>7627</v>
      </c>
      <c r="F510" s="218" t="s">
        <v>7628</v>
      </c>
      <c r="G510" s="218">
        <v>5</v>
      </c>
      <c r="H510" s="218" t="s">
        <v>614</v>
      </c>
      <c r="I510" s="218" t="str">
        <f>("1407200035")</f>
        <v>1407200035</v>
      </c>
    </row>
    <row r="511" spans="1:10" x14ac:dyDescent="0.15">
      <c r="A511" s="406" t="str">
        <f t="shared" si="7"/>
        <v>明治北ＳＳＣ_13</v>
      </c>
      <c r="B511" s="218" t="s">
        <v>1086</v>
      </c>
      <c r="C511" s="218" t="str">
        <f>("13")</f>
        <v>13</v>
      </c>
      <c r="D511" s="218" t="s">
        <v>623</v>
      </c>
      <c r="E511" s="218" t="s">
        <v>7629</v>
      </c>
      <c r="F511" s="218" t="s">
        <v>7630</v>
      </c>
      <c r="G511" s="218">
        <v>5</v>
      </c>
      <c r="H511" s="218" t="s">
        <v>614</v>
      </c>
      <c r="I511" s="218" t="str">
        <f>("1411220046")</f>
        <v>1411220046</v>
      </c>
    </row>
    <row r="512" spans="1:10" x14ac:dyDescent="0.15">
      <c r="A512" s="406" t="str">
        <f t="shared" si="7"/>
        <v>明治北ＳＳＣ_14</v>
      </c>
      <c r="B512" s="218" t="s">
        <v>1086</v>
      </c>
      <c r="C512" s="218" t="str">
        <f>("14")</f>
        <v>14</v>
      </c>
      <c r="D512" s="218" t="s">
        <v>615</v>
      </c>
      <c r="E512" s="218" t="s">
        <v>7631</v>
      </c>
      <c r="F512" s="218" t="s">
        <v>7632</v>
      </c>
      <c r="G512" s="218">
        <v>5</v>
      </c>
      <c r="H512" s="218" t="s">
        <v>614</v>
      </c>
      <c r="I512" s="218" t="str">
        <f>("1411210055")</f>
        <v>1411210055</v>
      </c>
    </row>
    <row r="513" spans="1:10" x14ac:dyDescent="0.15">
      <c r="A513" s="406" t="str">
        <f t="shared" ref="A513:A576" si="8">CONCATENATE(B513,"_",C513)</f>
        <v>明治北ＳＳＣ_15</v>
      </c>
      <c r="B513" s="218" t="s">
        <v>1086</v>
      </c>
      <c r="C513" s="218" t="str">
        <f>("15")</f>
        <v>15</v>
      </c>
      <c r="D513" s="218" t="s">
        <v>611</v>
      </c>
      <c r="E513" s="218" t="s">
        <v>7633</v>
      </c>
      <c r="F513" s="218" t="s">
        <v>7634</v>
      </c>
      <c r="G513" s="218">
        <v>5</v>
      </c>
      <c r="H513" s="218" t="s">
        <v>614</v>
      </c>
      <c r="I513" s="218" t="str">
        <f>("1408160088")</f>
        <v>1408160088</v>
      </c>
    </row>
    <row r="514" spans="1:10" x14ac:dyDescent="0.15">
      <c r="A514" s="406" t="str">
        <f t="shared" si="8"/>
        <v>明治北ＳＳＣ_16</v>
      </c>
      <c r="B514" s="218" t="s">
        <v>1086</v>
      </c>
      <c r="C514" s="218" t="str">
        <f>("16")</f>
        <v>16</v>
      </c>
      <c r="D514" s="218" t="s">
        <v>611</v>
      </c>
      <c r="E514" s="218" t="s">
        <v>7635</v>
      </c>
      <c r="F514" s="218" t="s">
        <v>7636</v>
      </c>
      <c r="G514" s="218">
        <v>5</v>
      </c>
      <c r="H514" s="218" t="s">
        <v>614</v>
      </c>
      <c r="I514" s="218" t="str">
        <f>("1409160073")</f>
        <v>1409160073</v>
      </c>
    </row>
    <row r="515" spans="1:10" x14ac:dyDescent="0.15">
      <c r="A515" s="406" t="str">
        <f t="shared" si="8"/>
        <v>明野東サッカースポーツ少年団_1</v>
      </c>
      <c r="B515" s="218" t="s">
        <v>1107</v>
      </c>
      <c r="C515" s="218" t="str">
        <f>("1")</f>
        <v>1</v>
      </c>
      <c r="D515" s="218" t="s">
        <v>624</v>
      </c>
      <c r="E515" s="218" t="s">
        <v>1111</v>
      </c>
      <c r="F515" s="218" t="s">
        <v>1112</v>
      </c>
      <c r="G515" s="218">
        <v>6</v>
      </c>
      <c r="H515" s="218" t="s">
        <v>614</v>
      </c>
      <c r="I515" s="218" t="str">
        <f>("1306300041")</f>
        <v>1306300041</v>
      </c>
    </row>
    <row r="516" spans="1:10" x14ac:dyDescent="0.15">
      <c r="A516" s="406" t="str">
        <f t="shared" si="8"/>
        <v>明野東サッカースポーツ少年団_2</v>
      </c>
      <c r="B516" s="218" t="s">
        <v>1107</v>
      </c>
      <c r="C516" s="218" t="str">
        <f>("2")</f>
        <v>2</v>
      </c>
      <c r="D516" s="218" t="s">
        <v>615</v>
      </c>
      <c r="E516" s="218" t="s">
        <v>1125</v>
      </c>
      <c r="F516" s="218" t="s">
        <v>1126</v>
      </c>
      <c r="G516" s="218">
        <v>6</v>
      </c>
      <c r="H516" s="218" t="s">
        <v>614</v>
      </c>
      <c r="I516" s="218" t="str">
        <f>("1310050073")</f>
        <v>1310050073</v>
      </c>
    </row>
    <row r="517" spans="1:10" x14ac:dyDescent="0.15">
      <c r="A517" s="406" t="str">
        <f t="shared" si="8"/>
        <v>明野東サッカースポーツ少年団_3</v>
      </c>
      <c r="B517" s="218" t="s">
        <v>1107</v>
      </c>
      <c r="C517" s="218" t="str">
        <f>("3")</f>
        <v>3</v>
      </c>
      <c r="D517" s="218" t="s">
        <v>623</v>
      </c>
      <c r="E517" s="218" t="s">
        <v>7637</v>
      </c>
      <c r="F517" s="218" t="s">
        <v>7638</v>
      </c>
      <c r="G517" s="218">
        <v>6</v>
      </c>
      <c r="H517" s="218" t="s">
        <v>616</v>
      </c>
      <c r="I517" s="218" t="str">
        <f>("1309120070")</f>
        <v>1309120070</v>
      </c>
    </row>
    <row r="518" spans="1:10" x14ac:dyDescent="0.15">
      <c r="A518" s="406" t="str">
        <f t="shared" si="8"/>
        <v>明野東サッカースポーツ少年団_4</v>
      </c>
      <c r="B518" s="218" t="s">
        <v>1107</v>
      </c>
      <c r="C518" s="218" t="str">
        <f>("4")</f>
        <v>4</v>
      </c>
      <c r="D518" s="218" t="s">
        <v>611</v>
      </c>
      <c r="E518" s="218" t="s">
        <v>7639</v>
      </c>
      <c r="F518" s="218" t="s">
        <v>1110</v>
      </c>
      <c r="G518" s="218">
        <v>6</v>
      </c>
      <c r="H518" s="218" t="s">
        <v>614</v>
      </c>
      <c r="I518" s="218" t="str">
        <f>("1308160078")</f>
        <v>1308160078</v>
      </c>
    </row>
    <row r="519" spans="1:10" x14ac:dyDescent="0.15">
      <c r="A519" s="406" t="str">
        <f t="shared" si="8"/>
        <v>明野東サッカースポーツ少年団_5</v>
      </c>
      <c r="B519" s="218" t="s">
        <v>1107</v>
      </c>
      <c r="C519" s="218" t="str">
        <f>("5")</f>
        <v>5</v>
      </c>
      <c r="D519" s="218" t="s">
        <v>623</v>
      </c>
      <c r="E519" s="218" t="s">
        <v>7640</v>
      </c>
      <c r="F519" s="218" t="s">
        <v>7641</v>
      </c>
      <c r="G519" s="218">
        <v>4</v>
      </c>
      <c r="H519" s="218" t="s">
        <v>614</v>
      </c>
      <c r="I519" s="218" t="str">
        <f>("1507220085")</f>
        <v>1507220085</v>
      </c>
    </row>
    <row r="520" spans="1:10" x14ac:dyDescent="0.15">
      <c r="A520" s="406" t="str">
        <f t="shared" si="8"/>
        <v>明野東サッカースポーツ少年団_6</v>
      </c>
      <c r="B520" s="218" t="s">
        <v>1107</v>
      </c>
      <c r="C520" s="218" t="str">
        <f>("6")</f>
        <v>6</v>
      </c>
      <c r="D520" s="218" t="s">
        <v>623</v>
      </c>
      <c r="E520" s="218" t="s">
        <v>7642</v>
      </c>
      <c r="F520" s="218" t="s">
        <v>4977</v>
      </c>
      <c r="G520" s="218">
        <v>4</v>
      </c>
      <c r="H520" s="218" t="s">
        <v>614</v>
      </c>
      <c r="I520" s="218" t="str">
        <f>("1601130073")</f>
        <v>1601130073</v>
      </c>
    </row>
    <row r="521" spans="1:10" x14ac:dyDescent="0.15">
      <c r="A521" s="406" t="str">
        <f t="shared" si="8"/>
        <v>明野東サッカースポーツ少年団_7</v>
      </c>
      <c r="B521" s="218" t="s">
        <v>1107</v>
      </c>
      <c r="C521" s="218" t="str">
        <f>("7")</f>
        <v>7</v>
      </c>
      <c r="D521" s="218" t="s">
        <v>623</v>
      </c>
      <c r="E521" s="218" t="s">
        <v>1121</v>
      </c>
      <c r="F521" s="218" t="s">
        <v>1122</v>
      </c>
      <c r="G521" s="218">
        <v>6</v>
      </c>
      <c r="H521" s="218" t="s">
        <v>616</v>
      </c>
      <c r="I521" s="218" t="str">
        <f>("1402100050")</f>
        <v>1402100050</v>
      </c>
    </row>
    <row r="522" spans="1:10" x14ac:dyDescent="0.15">
      <c r="A522" s="406" t="str">
        <f t="shared" si="8"/>
        <v>明野東サッカースポーツ少年団_8</v>
      </c>
      <c r="B522" s="218" t="s">
        <v>1107</v>
      </c>
      <c r="C522" s="218" t="str">
        <f>("8")</f>
        <v>8</v>
      </c>
      <c r="D522" s="218" t="s">
        <v>611</v>
      </c>
      <c r="E522" s="218" t="s">
        <v>1123</v>
      </c>
      <c r="F522" s="218" t="s">
        <v>1124</v>
      </c>
      <c r="G522" s="218">
        <v>6</v>
      </c>
      <c r="H522" s="218" t="s">
        <v>614</v>
      </c>
      <c r="I522" s="218" t="str">
        <f>("1312180077")</f>
        <v>1312180077</v>
      </c>
    </row>
    <row r="523" spans="1:10" x14ac:dyDescent="0.15">
      <c r="A523" s="406" t="str">
        <f t="shared" si="8"/>
        <v>明野東サッカースポーツ少年団_9</v>
      </c>
      <c r="B523" s="218" t="s">
        <v>1107</v>
      </c>
      <c r="C523" s="218" t="str">
        <f>("9")</f>
        <v>9</v>
      </c>
      <c r="D523" s="218" t="s">
        <v>615</v>
      </c>
      <c r="E523" s="218" t="s">
        <v>1117</v>
      </c>
      <c r="F523" s="218" t="s">
        <v>1118</v>
      </c>
      <c r="G523" s="218">
        <v>6</v>
      </c>
      <c r="H523" s="218" t="s">
        <v>614</v>
      </c>
      <c r="I523" s="218" t="str">
        <f>("1403150041")</f>
        <v>1403150041</v>
      </c>
      <c r="J523" s="218" t="s">
        <v>159</v>
      </c>
    </row>
    <row r="524" spans="1:10" x14ac:dyDescent="0.15">
      <c r="A524" s="406" t="str">
        <f t="shared" si="8"/>
        <v>明野東サッカースポーツ少年団_10</v>
      </c>
      <c r="B524" s="218" t="s">
        <v>1107</v>
      </c>
      <c r="C524" s="218" t="str">
        <f>("10")</f>
        <v>10</v>
      </c>
      <c r="D524" s="218" t="s">
        <v>623</v>
      </c>
      <c r="E524" s="218" t="s">
        <v>7643</v>
      </c>
      <c r="F524" s="218" t="s">
        <v>7644</v>
      </c>
      <c r="G524" s="218">
        <v>4</v>
      </c>
      <c r="H524" s="218" t="s">
        <v>614</v>
      </c>
      <c r="I524" s="218" t="str">
        <f>("1508220119")</f>
        <v>1508220119</v>
      </c>
    </row>
    <row r="525" spans="1:10" x14ac:dyDescent="0.15">
      <c r="A525" s="406" t="str">
        <f t="shared" si="8"/>
        <v>明野東サッカースポーツ少年団_11</v>
      </c>
      <c r="B525" s="218" t="s">
        <v>1107</v>
      </c>
      <c r="C525" s="218" t="str">
        <f>("11")</f>
        <v>11</v>
      </c>
      <c r="D525" s="218" t="s">
        <v>611</v>
      </c>
      <c r="E525" s="218" t="s">
        <v>1119</v>
      </c>
      <c r="F525" s="218" t="s">
        <v>1120</v>
      </c>
      <c r="G525" s="218">
        <v>6</v>
      </c>
      <c r="H525" s="218" t="s">
        <v>616</v>
      </c>
      <c r="I525" s="218" t="str">
        <f>("1310100084")</f>
        <v>1310100084</v>
      </c>
    </row>
    <row r="526" spans="1:10" x14ac:dyDescent="0.15">
      <c r="A526" s="406" t="str">
        <f t="shared" si="8"/>
        <v>明野東サッカースポーツ少年団_16</v>
      </c>
      <c r="B526" s="218" t="s">
        <v>1107</v>
      </c>
      <c r="C526" s="218" t="str">
        <f>("16")</f>
        <v>16</v>
      </c>
      <c r="D526" s="218" t="s">
        <v>615</v>
      </c>
      <c r="E526" s="218" t="s">
        <v>7645</v>
      </c>
      <c r="F526" s="218" t="s">
        <v>7646</v>
      </c>
      <c r="G526" s="218">
        <v>6</v>
      </c>
      <c r="H526" s="218" t="s">
        <v>614</v>
      </c>
      <c r="I526" s="218" t="str">
        <f>("1401250104")</f>
        <v>1401250104</v>
      </c>
    </row>
    <row r="527" spans="1:10" x14ac:dyDescent="0.15">
      <c r="A527" s="406" t="str">
        <f t="shared" si="8"/>
        <v>明野東サッカースポーツ少年団_17</v>
      </c>
      <c r="B527" s="218" t="s">
        <v>1107</v>
      </c>
      <c r="C527" s="218" t="str">
        <f>("17")</f>
        <v>17</v>
      </c>
      <c r="D527" s="218" t="s">
        <v>615</v>
      </c>
      <c r="E527" s="218" t="s">
        <v>7647</v>
      </c>
      <c r="F527" s="218" t="s">
        <v>7648</v>
      </c>
      <c r="G527" s="218">
        <v>5</v>
      </c>
      <c r="H527" s="218" t="s">
        <v>614</v>
      </c>
      <c r="I527" s="218" t="str">
        <f>("1502190083")</f>
        <v>1502190083</v>
      </c>
    </row>
    <row r="528" spans="1:10" x14ac:dyDescent="0.15">
      <c r="A528" s="406" t="str">
        <f t="shared" si="8"/>
        <v>大道サッカースポーツ少年団_1</v>
      </c>
      <c r="B528" s="218" t="s">
        <v>1127</v>
      </c>
      <c r="C528" s="218" t="str">
        <f>("1")</f>
        <v>1</v>
      </c>
      <c r="D528" s="218" t="s">
        <v>624</v>
      </c>
      <c r="E528" s="218" t="s">
        <v>7649</v>
      </c>
      <c r="F528" s="218" t="s">
        <v>5439</v>
      </c>
      <c r="G528" s="218">
        <v>5</v>
      </c>
      <c r="H528" s="218" t="s">
        <v>614</v>
      </c>
      <c r="I528" s="218" t="str">
        <f>("1409090182")</f>
        <v>1409090182</v>
      </c>
    </row>
    <row r="529" spans="1:10" x14ac:dyDescent="0.15">
      <c r="A529" s="406" t="str">
        <f t="shared" si="8"/>
        <v>大道サッカースポーツ少年団_2</v>
      </c>
      <c r="B529" s="218" t="s">
        <v>1127</v>
      </c>
      <c r="C529" s="218" t="str">
        <f>("2")</f>
        <v>2</v>
      </c>
      <c r="D529" s="218" t="s">
        <v>611</v>
      </c>
      <c r="E529" s="218" t="s">
        <v>1128</v>
      </c>
      <c r="F529" s="218" t="s">
        <v>1129</v>
      </c>
      <c r="G529" s="218">
        <v>6</v>
      </c>
      <c r="H529" s="218" t="s">
        <v>614</v>
      </c>
      <c r="I529" s="218" t="str">
        <f>("1312040010")</f>
        <v>1312040010</v>
      </c>
      <c r="J529" s="218" t="s">
        <v>159</v>
      </c>
    </row>
    <row r="530" spans="1:10" x14ac:dyDescent="0.15">
      <c r="A530" s="406" t="str">
        <f t="shared" si="8"/>
        <v>大道サッカースポーツ少年団_3</v>
      </c>
      <c r="B530" s="218" t="s">
        <v>1127</v>
      </c>
      <c r="C530" s="218" t="str">
        <f>("3")</f>
        <v>3</v>
      </c>
      <c r="D530" s="218" t="s">
        <v>611</v>
      </c>
      <c r="E530" s="218" t="s">
        <v>7650</v>
      </c>
      <c r="F530" s="218" t="s">
        <v>7651</v>
      </c>
      <c r="G530" s="218">
        <v>5</v>
      </c>
      <c r="H530" s="218" t="s">
        <v>614</v>
      </c>
      <c r="I530" s="218" t="str">
        <f>("1411280111")</f>
        <v>1411280111</v>
      </c>
    </row>
    <row r="531" spans="1:10" x14ac:dyDescent="0.15">
      <c r="A531" s="406" t="str">
        <f t="shared" si="8"/>
        <v>大道サッカースポーツ少年団_4</v>
      </c>
      <c r="B531" s="218" t="s">
        <v>1127</v>
      </c>
      <c r="C531" s="218" t="str">
        <f>("4")</f>
        <v>4</v>
      </c>
      <c r="D531" s="218" t="s">
        <v>615</v>
      </c>
      <c r="E531" s="218" t="s">
        <v>1136</v>
      </c>
      <c r="F531" s="218" t="s">
        <v>1137</v>
      </c>
      <c r="G531" s="218">
        <v>6</v>
      </c>
      <c r="H531" s="218" t="s">
        <v>614</v>
      </c>
      <c r="I531" s="218" t="str">
        <f>("1306150029")</f>
        <v>1306150029</v>
      </c>
    </row>
    <row r="532" spans="1:10" x14ac:dyDescent="0.15">
      <c r="A532" s="406" t="str">
        <f t="shared" si="8"/>
        <v>大道サッカースポーツ少年団_5</v>
      </c>
      <c r="B532" s="218" t="s">
        <v>1127</v>
      </c>
      <c r="C532" s="218" t="str">
        <f>("5")</f>
        <v>5</v>
      </c>
      <c r="D532" s="218" t="s">
        <v>623</v>
      </c>
      <c r="E532" s="218" t="s">
        <v>7652</v>
      </c>
      <c r="F532" s="218" t="s">
        <v>7653</v>
      </c>
      <c r="G532" s="218">
        <v>6</v>
      </c>
      <c r="H532" s="218" t="s">
        <v>614</v>
      </c>
      <c r="I532" s="218" t="str">
        <f>("1304020199")</f>
        <v>1304020199</v>
      </c>
    </row>
    <row r="533" spans="1:10" x14ac:dyDescent="0.15">
      <c r="A533" s="406" t="str">
        <f t="shared" si="8"/>
        <v>大道サッカースポーツ少年団_6</v>
      </c>
      <c r="B533" s="218" t="s">
        <v>1127</v>
      </c>
      <c r="C533" s="218" t="str">
        <f>("6")</f>
        <v>6</v>
      </c>
      <c r="D533" s="218" t="s">
        <v>623</v>
      </c>
      <c r="E533" s="218" t="s">
        <v>1134</v>
      </c>
      <c r="F533" s="218" t="s">
        <v>1135</v>
      </c>
      <c r="G533" s="218">
        <v>6</v>
      </c>
      <c r="H533" s="218" t="s">
        <v>614</v>
      </c>
      <c r="I533" s="218" t="str">
        <f>("1308170010")</f>
        <v>1308170010</v>
      </c>
    </row>
    <row r="534" spans="1:10" x14ac:dyDescent="0.15">
      <c r="A534" s="406" t="str">
        <f t="shared" si="8"/>
        <v>大道サッカースポーツ少年団_7</v>
      </c>
      <c r="B534" s="218" t="s">
        <v>1127</v>
      </c>
      <c r="C534" s="218" t="str">
        <f>("7")</f>
        <v>7</v>
      </c>
      <c r="D534" s="218" t="s">
        <v>623</v>
      </c>
      <c r="E534" s="218" t="s">
        <v>1132</v>
      </c>
      <c r="F534" s="218" t="s">
        <v>1133</v>
      </c>
      <c r="G534" s="218">
        <v>6</v>
      </c>
      <c r="H534" s="218" t="s">
        <v>614</v>
      </c>
      <c r="I534" s="218" t="str">
        <f>("1310030001")</f>
        <v>1310030001</v>
      </c>
    </row>
    <row r="535" spans="1:10" x14ac:dyDescent="0.15">
      <c r="A535" s="406" t="str">
        <f t="shared" si="8"/>
        <v>大道サッカースポーツ少年団_8</v>
      </c>
      <c r="B535" s="218" t="s">
        <v>1127</v>
      </c>
      <c r="C535" s="218" t="str">
        <f>("8")</f>
        <v>8</v>
      </c>
      <c r="D535" s="218" t="s">
        <v>623</v>
      </c>
      <c r="E535" s="218" t="s">
        <v>1130</v>
      </c>
      <c r="F535" s="218" t="s">
        <v>1131</v>
      </c>
      <c r="G535" s="218">
        <v>6</v>
      </c>
      <c r="H535" s="218" t="s">
        <v>614</v>
      </c>
      <c r="I535" s="218" t="str">
        <f>("1311290012")</f>
        <v>1311290012</v>
      </c>
    </row>
    <row r="536" spans="1:10" x14ac:dyDescent="0.15">
      <c r="A536" s="406" t="str">
        <f t="shared" si="8"/>
        <v>大道サッカースポーツ少年団_9</v>
      </c>
      <c r="B536" s="218" t="s">
        <v>1127</v>
      </c>
      <c r="C536" s="218" t="str">
        <f>("9")</f>
        <v>9</v>
      </c>
      <c r="D536" s="218" t="s">
        <v>615</v>
      </c>
      <c r="E536" s="218" t="s">
        <v>1138</v>
      </c>
      <c r="F536" s="218" t="s">
        <v>1139</v>
      </c>
      <c r="G536" s="218">
        <v>5</v>
      </c>
      <c r="H536" s="218" t="s">
        <v>614</v>
      </c>
      <c r="I536" s="218" t="str">
        <f>("1503170005")</f>
        <v>1503170005</v>
      </c>
    </row>
    <row r="537" spans="1:10" x14ac:dyDescent="0.15">
      <c r="A537" s="406" t="str">
        <f t="shared" si="8"/>
        <v>大道サッカースポーツ少年団_10</v>
      </c>
      <c r="B537" s="218" t="s">
        <v>1127</v>
      </c>
      <c r="C537" s="218" t="str">
        <f>("10")</f>
        <v>10</v>
      </c>
      <c r="D537" s="218" t="s">
        <v>623</v>
      </c>
      <c r="E537" s="218" t="s">
        <v>7654</v>
      </c>
      <c r="F537" s="218" t="s">
        <v>7655</v>
      </c>
      <c r="G537" s="218">
        <v>5</v>
      </c>
      <c r="H537" s="218" t="s">
        <v>614</v>
      </c>
      <c r="I537" s="218" t="str">
        <f>("1503040004")</f>
        <v>1503040004</v>
      </c>
    </row>
    <row r="538" spans="1:10" x14ac:dyDescent="0.15">
      <c r="A538" s="406" t="str">
        <f t="shared" si="8"/>
        <v>大道サッカースポーツ少年団_11</v>
      </c>
      <c r="B538" s="218" t="s">
        <v>1127</v>
      </c>
      <c r="C538" s="218" t="str">
        <f>("11")</f>
        <v>11</v>
      </c>
      <c r="D538" s="218" t="s">
        <v>615</v>
      </c>
      <c r="E538" s="218" t="s">
        <v>7656</v>
      </c>
      <c r="F538" s="218" t="s">
        <v>1541</v>
      </c>
      <c r="G538" s="218">
        <v>5</v>
      </c>
      <c r="H538" s="218" t="s">
        <v>614</v>
      </c>
      <c r="I538" s="218" t="str">
        <f>("1412260007")</f>
        <v>1412260007</v>
      </c>
    </row>
    <row r="539" spans="1:10" x14ac:dyDescent="0.15">
      <c r="A539" s="406" t="str">
        <f t="shared" si="8"/>
        <v>大道サッカースポーツ少年団_12</v>
      </c>
      <c r="B539" s="218" t="s">
        <v>1127</v>
      </c>
      <c r="C539" s="218" t="str">
        <f>("12")</f>
        <v>12</v>
      </c>
      <c r="D539" s="218" t="s">
        <v>615</v>
      </c>
      <c r="E539" s="218" t="s">
        <v>1140</v>
      </c>
      <c r="F539" s="218" t="s">
        <v>1141</v>
      </c>
      <c r="G539" s="218">
        <v>5</v>
      </c>
      <c r="H539" s="218" t="s">
        <v>614</v>
      </c>
      <c r="I539" s="218" t="str">
        <f>("1408280002")</f>
        <v>1408280002</v>
      </c>
    </row>
    <row r="540" spans="1:10" x14ac:dyDescent="0.15">
      <c r="A540" s="406" t="str">
        <f t="shared" si="8"/>
        <v>大道サッカースポーツ少年団_13</v>
      </c>
      <c r="B540" s="218" t="s">
        <v>1127</v>
      </c>
      <c r="C540" s="218" t="str">
        <f>("13")</f>
        <v>13</v>
      </c>
      <c r="D540" s="218" t="s">
        <v>623</v>
      </c>
      <c r="E540" s="218" t="s">
        <v>7657</v>
      </c>
      <c r="F540" s="218" t="s">
        <v>7658</v>
      </c>
      <c r="G540" s="218">
        <v>5</v>
      </c>
      <c r="H540" s="218" t="s">
        <v>614</v>
      </c>
      <c r="I540" s="218" t="str">
        <f>("1409010185")</f>
        <v>1409010185</v>
      </c>
    </row>
    <row r="541" spans="1:10" x14ac:dyDescent="0.15">
      <c r="A541" s="406" t="str">
        <f t="shared" si="8"/>
        <v>大道サッカースポーツ少年団_14</v>
      </c>
      <c r="B541" s="218" t="s">
        <v>1127</v>
      </c>
      <c r="C541" s="218" t="str">
        <f>("14")</f>
        <v>14</v>
      </c>
      <c r="D541" s="218" t="s">
        <v>611</v>
      </c>
      <c r="E541" s="218" t="s">
        <v>7659</v>
      </c>
      <c r="F541" s="218" t="s">
        <v>7660</v>
      </c>
      <c r="G541" s="218">
        <v>5</v>
      </c>
      <c r="H541" s="218" t="s">
        <v>614</v>
      </c>
      <c r="I541" s="218" t="str">
        <f>("1405260040")</f>
        <v>1405260040</v>
      </c>
    </row>
    <row r="542" spans="1:10" x14ac:dyDescent="0.15">
      <c r="A542" s="406" t="str">
        <f t="shared" si="8"/>
        <v>大道サッカースポーツ少年団_15</v>
      </c>
      <c r="B542" s="218" t="s">
        <v>1127</v>
      </c>
      <c r="C542" s="218" t="str">
        <f>("15")</f>
        <v>15</v>
      </c>
      <c r="D542" s="218" t="s">
        <v>623</v>
      </c>
      <c r="E542" s="218" t="s">
        <v>7661</v>
      </c>
      <c r="F542" s="218" t="s">
        <v>7662</v>
      </c>
      <c r="G542" s="218">
        <v>5</v>
      </c>
      <c r="H542" s="218" t="s">
        <v>614</v>
      </c>
      <c r="I542" s="218" t="str">
        <f>("1405170007")</f>
        <v>1405170007</v>
      </c>
    </row>
    <row r="543" spans="1:10" x14ac:dyDescent="0.15">
      <c r="A543" s="406" t="str">
        <f t="shared" si="8"/>
        <v>大道サッカースポーツ少年団_16</v>
      </c>
      <c r="B543" s="218" t="s">
        <v>1127</v>
      </c>
      <c r="C543" s="218" t="str">
        <f>("16")</f>
        <v>16</v>
      </c>
      <c r="D543" s="218" t="s">
        <v>615</v>
      </c>
      <c r="E543" s="218" t="s">
        <v>7663</v>
      </c>
      <c r="F543" s="218" t="s">
        <v>7664</v>
      </c>
      <c r="G543" s="218">
        <v>5</v>
      </c>
      <c r="H543" s="218" t="s">
        <v>614</v>
      </c>
      <c r="I543" s="218" t="str">
        <f>("1502150007")</f>
        <v>1502150007</v>
      </c>
    </row>
    <row r="544" spans="1:10" x14ac:dyDescent="0.15">
      <c r="A544" s="406" t="str">
        <f t="shared" si="8"/>
        <v>東稙田サッカースポーツ少年団_2</v>
      </c>
      <c r="B544" s="218" t="s">
        <v>1142</v>
      </c>
      <c r="C544" s="218" t="str">
        <f>("2")</f>
        <v>2</v>
      </c>
      <c r="D544" s="218" t="s">
        <v>611</v>
      </c>
      <c r="E544" s="218" t="s">
        <v>7665</v>
      </c>
      <c r="F544" s="218" t="s">
        <v>3889</v>
      </c>
      <c r="G544" s="218">
        <v>4</v>
      </c>
      <c r="H544" s="218" t="s">
        <v>614</v>
      </c>
      <c r="I544" s="218" t="str">
        <f>("1505150095")</f>
        <v>1505150095</v>
      </c>
    </row>
    <row r="545" spans="1:10" x14ac:dyDescent="0.15">
      <c r="A545" s="406" t="str">
        <f t="shared" si="8"/>
        <v>東稙田サッカースポーツ少年団_3</v>
      </c>
      <c r="B545" s="218" t="s">
        <v>1142</v>
      </c>
      <c r="C545" s="218" t="str">
        <f>("3")</f>
        <v>3</v>
      </c>
      <c r="D545" s="218" t="s">
        <v>611</v>
      </c>
      <c r="E545" s="218" t="s">
        <v>7666</v>
      </c>
      <c r="F545" s="218" t="s">
        <v>7667</v>
      </c>
      <c r="G545" s="218">
        <v>4</v>
      </c>
      <c r="H545" s="218" t="s">
        <v>614</v>
      </c>
      <c r="I545" s="218" t="str">
        <f>("1507280076")</f>
        <v>1507280076</v>
      </c>
    </row>
    <row r="546" spans="1:10" x14ac:dyDescent="0.15">
      <c r="A546" s="406" t="str">
        <f t="shared" si="8"/>
        <v>東稙田サッカースポーツ少年団_5</v>
      </c>
      <c r="B546" s="218" t="s">
        <v>1142</v>
      </c>
      <c r="C546" s="218" t="str">
        <f>("5")</f>
        <v>5</v>
      </c>
      <c r="D546" s="218" t="s">
        <v>611</v>
      </c>
      <c r="E546" s="218" t="s">
        <v>7668</v>
      </c>
      <c r="F546" s="218" t="s">
        <v>7669</v>
      </c>
      <c r="G546" s="218">
        <v>4</v>
      </c>
      <c r="H546" s="218" t="s">
        <v>614</v>
      </c>
      <c r="I546" s="218" t="str">
        <f>("1511220043")</f>
        <v>1511220043</v>
      </c>
    </row>
    <row r="547" spans="1:10" x14ac:dyDescent="0.15">
      <c r="A547" s="406" t="str">
        <f t="shared" si="8"/>
        <v>東稙田サッカースポーツ少年団_6</v>
      </c>
      <c r="B547" s="218" t="s">
        <v>1142</v>
      </c>
      <c r="C547" s="218" t="str">
        <f>("6")</f>
        <v>6</v>
      </c>
      <c r="D547" s="218" t="s">
        <v>615</v>
      </c>
      <c r="E547" s="218" t="s">
        <v>7670</v>
      </c>
      <c r="F547" s="218" t="s">
        <v>7671</v>
      </c>
      <c r="G547" s="218">
        <v>4</v>
      </c>
      <c r="H547" s="218" t="s">
        <v>614</v>
      </c>
      <c r="I547" s="218" t="str">
        <f>("1505060052")</f>
        <v>1505060052</v>
      </c>
    </row>
    <row r="548" spans="1:10" x14ac:dyDescent="0.15">
      <c r="A548" s="406" t="str">
        <f t="shared" si="8"/>
        <v>東稙田サッカースポーツ少年団_7</v>
      </c>
      <c r="B548" s="218" t="s">
        <v>1142</v>
      </c>
      <c r="C548" s="218" t="str">
        <f>("7")</f>
        <v>7</v>
      </c>
      <c r="D548" s="218" t="s">
        <v>615</v>
      </c>
      <c r="E548" s="218" t="s">
        <v>7672</v>
      </c>
      <c r="F548" s="218" t="s">
        <v>7673</v>
      </c>
      <c r="G548" s="218">
        <v>4</v>
      </c>
      <c r="H548" s="218" t="s">
        <v>614</v>
      </c>
      <c r="I548" s="218" t="str">
        <f>("1511010008")</f>
        <v>1511010008</v>
      </c>
    </row>
    <row r="549" spans="1:10" x14ac:dyDescent="0.15">
      <c r="A549" s="406" t="str">
        <f t="shared" si="8"/>
        <v>東稙田サッカースポーツ少年団_8</v>
      </c>
      <c r="B549" s="218" t="s">
        <v>1142</v>
      </c>
      <c r="C549" s="218" t="str">
        <f>("8")</f>
        <v>8</v>
      </c>
      <c r="D549" s="218" t="s">
        <v>615</v>
      </c>
      <c r="E549" s="218" t="s">
        <v>7674</v>
      </c>
      <c r="F549" s="218" t="s">
        <v>1145</v>
      </c>
      <c r="G549" s="218">
        <v>4</v>
      </c>
      <c r="H549" s="218" t="s">
        <v>614</v>
      </c>
      <c r="I549" s="218" t="str">
        <f>("1506040035")</f>
        <v>1506040035</v>
      </c>
    </row>
    <row r="550" spans="1:10" x14ac:dyDescent="0.15">
      <c r="A550" s="406" t="str">
        <f t="shared" si="8"/>
        <v>東稙田サッカースポーツ少年団_9</v>
      </c>
      <c r="B550" s="218" t="s">
        <v>1142</v>
      </c>
      <c r="C550" s="218" t="str">
        <f>("9")</f>
        <v>9</v>
      </c>
      <c r="D550" s="218" t="s">
        <v>615</v>
      </c>
      <c r="E550" s="218" t="s">
        <v>7675</v>
      </c>
      <c r="F550" s="218" t="s">
        <v>7676</v>
      </c>
      <c r="G550" s="218">
        <v>6</v>
      </c>
      <c r="H550" s="218" t="s">
        <v>614</v>
      </c>
      <c r="I550" s="218" t="str">
        <f>("1311040147")</f>
        <v>1311040147</v>
      </c>
      <c r="J550" s="218" t="s">
        <v>159</v>
      </c>
    </row>
    <row r="551" spans="1:10" x14ac:dyDescent="0.15">
      <c r="A551" s="406" t="str">
        <f t="shared" si="8"/>
        <v>東稙田サッカースポーツ少年団_11</v>
      </c>
      <c r="B551" s="218" t="s">
        <v>1142</v>
      </c>
      <c r="C551" s="218" t="str">
        <f>("11")</f>
        <v>11</v>
      </c>
      <c r="D551" s="218" t="s">
        <v>615</v>
      </c>
      <c r="E551" s="218" t="s">
        <v>7677</v>
      </c>
      <c r="F551" s="218" t="s">
        <v>7678</v>
      </c>
      <c r="G551" s="218">
        <v>4</v>
      </c>
      <c r="H551" s="218" t="s">
        <v>614</v>
      </c>
      <c r="I551" s="218" t="str">
        <f>("1506200029")</f>
        <v>1506200029</v>
      </c>
    </row>
    <row r="552" spans="1:10" x14ac:dyDescent="0.15">
      <c r="A552" s="406" t="str">
        <f t="shared" si="8"/>
        <v>東稙田サッカースポーツ少年団_12</v>
      </c>
      <c r="B552" s="218" t="s">
        <v>1142</v>
      </c>
      <c r="C552" s="218" t="str">
        <f>("12")</f>
        <v>12</v>
      </c>
      <c r="D552" s="218" t="s">
        <v>624</v>
      </c>
      <c r="E552" s="218" t="s">
        <v>7679</v>
      </c>
      <c r="F552" s="218" t="s">
        <v>7680</v>
      </c>
      <c r="G552" s="218">
        <v>4</v>
      </c>
      <c r="H552" s="218" t="s">
        <v>614</v>
      </c>
      <c r="I552" s="218" t="str">
        <f>("1603010047")</f>
        <v>1603010047</v>
      </c>
    </row>
    <row r="553" spans="1:10" x14ac:dyDescent="0.15">
      <c r="A553" s="406" t="str">
        <f t="shared" si="8"/>
        <v>東稙田サッカースポーツ少年団_13</v>
      </c>
      <c r="B553" s="218" t="s">
        <v>1142</v>
      </c>
      <c r="C553" s="218" t="str">
        <f>("13")</f>
        <v>13</v>
      </c>
      <c r="D553" s="218" t="s">
        <v>623</v>
      </c>
      <c r="E553" s="218" t="s">
        <v>7681</v>
      </c>
      <c r="F553" s="218" t="s">
        <v>7682</v>
      </c>
      <c r="G553" s="218">
        <v>3</v>
      </c>
      <c r="H553" s="218" t="s">
        <v>614</v>
      </c>
      <c r="I553" s="218" t="str">
        <f>("1612070006")</f>
        <v>1612070006</v>
      </c>
    </row>
    <row r="554" spans="1:10" x14ac:dyDescent="0.15">
      <c r="A554" s="406" t="str">
        <f t="shared" si="8"/>
        <v>東稙田サッカースポーツ少年団_14</v>
      </c>
      <c r="B554" s="218" t="s">
        <v>1142</v>
      </c>
      <c r="C554" s="218" t="str">
        <f>("14")</f>
        <v>14</v>
      </c>
      <c r="D554" s="218" t="s">
        <v>623</v>
      </c>
      <c r="E554" s="218" t="s">
        <v>7683</v>
      </c>
      <c r="F554" s="218" t="s">
        <v>7684</v>
      </c>
      <c r="G554" s="218">
        <v>3</v>
      </c>
      <c r="H554" s="218" t="s">
        <v>614</v>
      </c>
      <c r="I554" s="218" t="str">
        <f>("1606070028")</f>
        <v>1606070028</v>
      </c>
    </row>
    <row r="555" spans="1:10" x14ac:dyDescent="0.15">
      <c r="A555" s="406" t="str">
        <f t="shared" si="8"/>
        <v>東稙田サッカースポーツ少年団_15</v>
      </c>
      <c r="B555" s="218" t="s">
        <v>1142</v>
      </c>
      <c r="C555" s="218" t="str">
        <f>("15")</f>
        <v>15</v>
      </c>
      <c r="D555" s="218" t="s">
        <v>623</v>
      </c>
      <c r="E555" s="218" t="s">
        <v>7685</v>
      </c>
      <c r="F555" s="218" t="s">
        <v>7686</v>
      </c>
      <c r="G555" s="218">
        <v>3</v>
      </c>
      <c r="H555" s="218" t="s">
        <v>614</v>
      </c>
      <c r="I555" s="218" t="str">
        <f>("1612300014")</f>
        <v>1612300014</v>
      </c>
    </row>
    <row r="556" spans="1:10" x14ac:dyDescent="0.15">
      <c r="A556" s="406" t="str">
        <f t="shared" si="8"/>
        <v>東稙田サッカースポーツ少年団_16</v>
      </c>
      <c r="B556" s="218" t="s">
        <v>1142</v>
      </c>
      <c r="C556" s="218" t="str">
        <f>("16")</f>
        <v>16</v>
      </c>
      <c r="D556" s="218" t="s">
        <v>623</v>
      </c>
      <c r="E556" s="218" t="s">
        <v>7687</v>
      </c>
      <c r="F556" s="218" t="s">
        <v>7688</v>
      </c>
      <c r="G556" s="218">
        <v>3</v>
      </c>
      <c r="H556" s="218" t="s">
        <v>614</v>
      </c>
      <c r="I556" s="218" t="str">
        <f>("1606290059")</f>
        <v>1606290059</v>
      </c>
    </row>
    <row r="557" spans="1:10" x14ac:dyDescent="0.15">
      <c r="A557" s="406" t="str">
        <f t="shared" si="8"/>
        <v>寒田．敷戸ＦＣ_2</v>
      </c>
      <c r="B557" s="218" t="s">
        <v>1146</v>
      </c>
      <c r="C557" s="218" t="str">
        <f>("2")</f>
        <v>2</v>
      </c>
      <c r="D557" s="218" t="s">
        <v>615</v>
      </c>
      <c r="E557" s="218" t="s">
        <v>7689</v>
      </c>
      <c r="F557" s="218" t="s">
        <v>7690</v>
      </c>
      <c r="G557" s="218">
        <v>2</v>
      </c>
      <c r="H557" s="218" t="s">
        <v>614</v>
      </c>
      <c r="I557" s="218" t="str">
        <f>("1706120028")</f>
        <v>1706120028</v>
      </c>
    </row>
    <row r="558" spans="1:10" x14ac:dyDescent="0.15">
      <c r="A558" s="406" t="str">
        <f t="shared" si="8"/>
        <v>寒田．敷戸ＦＣ_3</v>
      </c>
      <c r="B558" s="218" t="s">
        <v>1146</v>
      </c>
      <c r="C558" s="218" t="str">
        <f>("3")</f>
        <v>3</v>
      </c>
      <c r="D558" s="218" t="s">
        <v>615</v>
      </c>
      <c r="E558" s="218" t="s">
        <v>7691</v>
      </c>
      <c r="F558" s="218" t="s">
        <v>7692</v>
      </c>
      <c r="G558" s="218">
        <v>5</v>
      </c>
      <c r="H558" s="218" t="s">
        <v>614</v>
      </c>
      <c r="I558" s="218" t="str">
        <f>("1503170106")</f>
        <v>1503170106</v>
      </c>
    </row>
    <row r="559" spans="1:10" x14ac:dyDescent="0.15">
      <c r="A559" s="406" t="str">
        <f t="shared" si="8"/>
        <v>寒田．敷戸ＦＣ_4</v>
      </c>
      <c r="B559" s="218" t="s">
        <v>1146</v>
      </c>
      <c r="C559" s="218" t="str">
        <f>("4")</f>
        <v>4</v>
      </c>
      <c r="D559" s="218" t="s">
        <v>623</v>
      </c>
      <c r="E559" s="218" t="s">
        <v>7693</v>
      </c>
      <c r="F559" s="218" t="s">
        <v>7694</v>
      </c>
      <c r="G559" s="218">
        <v>3</v>
      </c>
      <c r="H559" s="218" t="s">
        <v>614</v>
      </c>
      <c r="I559" s="218" t="str">
        <f>("1701050031")</f>
        <v>1701050031</v>
      </c>
    </row>
    <row r="560" spans="1:10" x14ac:dyDescent="0.15">
      <c r="A560" s="406" t="str">
        <f t="shared" si="8"/>
        <v>寒田．敷戸ＦＣ_5</v>
      </c>
      <c r="B560" s="218" t="s">
        <v>1146</v>
      </c>
      <c r="C560" s="218" t="str">
        <f>("5")</f>
        <v>5</v>
      </c>
      <c r="D560" s="218" t="s">
        <v>611</v>
      </c>
      <c r="E560" s="218" t="s">
        <v>7695</v>
      </c>
      <c r="F560" s="218" t="s">
        <v>7696</v>
      </c>
      <c r="G560" s="218">
        <v>5</v>
      </c>
      <c r="H560" s="218" t="s">
        <v>614</v>
      </c>
      <c r="I560" s="218" t="str">
        <f>("1406180136")</f>
        <v>1406180136</v>
      </c>
    </row>
    <row r="561" spans="1:10" x14ac:dyDescent="0.15">
      <c r="A561" s="406" t="str">
        <f t="shared" si="8"/>
        <v>寒田．敷戸ＦＣ_6</v>
      </c>
      <c r="B561" s="218" t="s">
        <v>1146</v>
      </c>
      <c r="C561" s="218" t="str">
        <f>("6")</f>
        <v>6</v>
      </c>
      <c r="D561" s="218" t="s">
        <v>611</v>
      </c>
      <c r="E561" s="218" t="s">
        <v>7697</v>
      </c>
      <c r="F561" s="218" t="s">
        <v>7698</v>
      </c>
      <c r="G561" s="218">
        <v>5</v>
      </c>
      <c r="H561" s="218" t="s">
        <v>614</v>
      </c>
      <c r="I561" s="218" t="str">
        <f>("1503150103")</f>
        <v>1503150103</v>
      </c>
    </row>
    <row r="562" spans="1:10" x14ac:dyDescent="0.15">
      <c r="A562" s="406" t="str">
        <f t="shared" si="8"/>
        <v>寒田．敷戸ＦＣ_7</v>
      </c>
      <c r="B562" s="218" t="s">
        <v>1146</v>
      </c>
      <c r="C562" s="218" t="str">
        <f>("7")</f>
        <v>7</v>
      </c>
      <c r="D562" s="218" t="s">
        <v>615</v>
      </c>
      <c r="E562" s="218" t="s">
        <v>7699</v>
      </c>
      <c r="F562" s="218" t="s">
        <v>7700</v>
      </c>
      <c r="G562" s="218">
        <v>5</v>
      </c>
      <c r="H562" s="218" t="s">
        <v>614</v>
      </c>
      <c r="I562" s="218" t="str">
        <f>("1406020127")</f>
        <v>1406020127</v>
      </c>
    </row>
    <row r="563" spans="1:10" x14ac:dyDescent="0.15">
      <c r="A563" s="406" t="str">
        <f t="shared" si="8"/>
        <v>寒田．敷戸ＦＣ_8</v>
      </c>
      <c r="B563" s="218" t="s">
        <v>1146</v>
      </c>
      <c r="C563" s="218" t="str">
        <f>("8")</f>
        <v>8</v>
      </c>
      <c r="D563" s="218" t="s">
        <v>623</v>
      </c>
      <c r="E563" s="218" t="s">
        <v>7701</v>
      </c>
      <c r="F563" s="218" t="s">
        <v>7702</v>
      </c>
      <c r="G563" s="218">
        <v>3</v>
      </c>
      <c r="H563" s="218" t="s">
        <v>614</v>
      </c>
      <c r="I563" s="218" t="str">
        <f>("1605290016")</f>
        <v>1605290016</v>
      </c>
    </row>
    <row r="564" spans="1:10" x14ac:dyDescent="0.15">
      <c r="A564" s="406" t="str">
        <f t="shared" si="8"/>
        <v>寒田．敷戸ＦＣ_9</v>
      </c>
      <c r="B564" s="218" t="s">
        <v>1146</v>
      </c>
      <c r="C564" s="218" t="str">
        <f>("9")</f>
        <v>9</v>
      </c>
      <c r="D564" s="218" t="s">
        <v>615</v>
      </c>
      <c r="E564" s="218" t="s">
        <v>7703</v>
      </c>
      <c r="F564" s="218" t="s">
        <v>7704</v>
      </c>
      <c r="G564" s="218">
        <v>6</v>
      </c>
      <c r="H564" s="218" t="s">
        <v>616</v>
      </c>
      <c r="I564" s="218" t="str">
        <f>("1311210182")</f>
        <v>1311210182</v>
      </c>
      <c r="J564" s="218" t="s">
        <v>159</v>
      </c>
    </row>
    <row r="565" spans="1:10" x14ac:dyDescent="0.15">
      <c r="A565" s="406" t="str">
        <f t="shared" si="8"/>
        <v>寒田．敷戸ＦＣ_10</v>
      </c>
      <c r="B565" s="218" t="s">
        <v>1146</v>
      </c>
      <c r="C565" s="218" t="str">
        <f>("10")</f>
        <v>10</v>
      </c>
      <c r="D565" s="218" t="s">
        <v>611</v>
      </c>
      <c r="E565" s="218" t="s">
        <v>7705</v>
      </c>
      <c r="F565" s="218" t="s">
        <v>7706</v>
      </c>
      <c r="G565" s="218">
        <v>6</v>
      </c>
      <c r="H565" s="218" t="s">
        <v>614</v>
      </c>
      <c r="I565" s="218" t="str">
        <f>("1403250003")</f>
        <v>1403250003</v>
      </c>
    </row>
    <row r="566" spans="1:10" x14ac:dyDescent="0.15">
      <c r="A566" s="406" t="str">
        <f t="shared" si="8"/>
        <v>寒田．敷戸ＦＣ_11</v>
      </c>
      <c r="B566" s="218" t="s">
        <v>1146</v>
      </c>
      <c r="C566" s="218" t="str">
        <f>("11")</f>
        <v>11</v>
      </c>
      <c r="D566" s="218" t="s">
        <v>615</v>
      </c>
      <c r="E566" s="218" t="s">
        <v>7707</v>
      </c>
      <c r="F566" s="218" t="s">
        <v>7708</v>
      </c>
      <c r="G566" s="218">
        <v>6</v>
      </c>
      <c r="H566" s="218" t="s">
        <v>616</v>
      </c>
      <c r="I566" s="218" t="str">
        <f>("1305090223")</f>
        <v>1305090223</v>
      </c>
    </row>
    <row r="567" spans="1:10" x14ac:dyDescent="0.15">
      <c r="A567" s="406" t="str">
        <f t="shared" si="8"/>
        <v>寒田．敷戸ＦＣ_12</v>
      </c>
      <c r="B567" s="218" t="s">
        <v>1146</v>
      </c>
      <c r="C567" s="218" t="str">
        <f>("12")</f>
        <v>12</v>
      </c>
      <c r="D567" s="218" t="s">
        <v>615</v>
      </c>
      <c r="E567" s="218" t="s">
        <v>7709</v>
      </c>
      <c r="F567" s="218" t="s">
        <v>7710</v>
      </c>
      <c r="G567" s="218">
        <v>2</v>
      </c>
      <c r="H567" s="218" t="s">
        <v>614</v>
      </c>
      <c r="I567" s="218" t="str">
        <f>("1705310026")</f>
        <v>1705310026</v>
      </c>
    </row>
    <row r="568" spans="1:10" x14ac:dyDescent="0.15">
      <c r="A568" s="406" t="str">
        <f t="shared" si="8"/>
        <v>寒田．敷戸ＦＣ_13</v>
      </c>
      <c r="B568" s="218" t="s">
        <v>1146</v>
      </c>
      <c r="C568" s="218" t="str">
        <f>("13")</f>
        <v>13</v>
      </c>
      <c r="D568" s="218" t="s">
        <v>615</v>
      </c>
      <c r="E568" s="218" t="s">
        <v>7711</v>
      </c>
      <c r="F568" s="218" t="s">
        <v>1420</v>
      </c>
      <c r="G568" s="218">
        <v>5</v>
      </c>
      <c r="H568" s="218" t="s">
        <v>614</v>
      </c>
      <c r="I568" s="218" t="str">
        <f>("1406250265")</f>
        <v>1406250265</v>
      </c>
    </row>
    <row r="569" spans="1:10" x14ac:dyDescent="0.15">
      <c r="A569" s="406" t="str">
        <f t="shared" si="8"/>
        <v>寒田．敷戸ＦＣ_14</v>
      </c>
      <c r="B569" s="218" t="s">
        <v>1146</v>
      </c>
      <c r="C569" s="218" t="str">
        <f>("14")</f>
        <v>14</v>
      </c>
      <c r="D569" s="218" t="s">
        <v>623</v>
      </c>
      <c r="E569" s="218" t="s">
        <v>7712</v>
      </c>
      <c r="F569" s="218" t="s">
        <v>7713</v>
      </c>
      <c r="G569" s="218">
        <v>3</v>
      </c>
      <c r="H569" s="218" t="s">
        <v>614</v>
      </c>
      <c r="I569" s="218" t="str">
        <f>("1605200041")</f>
        <v>1605200041</v>
      </c>
    </row>
    <row r="570" spans="1:10" x14ac:dyDescent="0.15">
      <c r="A570" s="406" t="str">
        <f t="shared" si="8"/>
        <v>寒田．敷戸ＦＣ_15</v>
      </c>
      <c r="B570" s="218" t="s">
        <v>1146</v>
      </c>
      <c r="C570" s="218" t="str">
        <f>("15")</f>
        <v>15</v>
      </c>
      <c r="D570" s="218" t="s">
        <v>624</v>
      </c>
      <c r="E570" s="218" t="s">
        <v>7714</v>
      </c>
      <c r="F570" s="218" t="s">
        <v>7715</v>
      </c>
      <c r="G570" s="218">
        <v>3</v>
      </c>
      <c r="H570" s="218" t="s">
        <v>614</v>
      </c>
      <c r="I570" s="218" t="str">
        <f>("1605060029")</f>
        <v>1605060029</v>
      </c>
    </row>
    <row r="571" spans="1:10" x14ac:dyDescent="0.15">
      <c r="A571" s="406" t="str">
        <f t="shared" si="8"/>
        <v>寒田．敷戸ＦＣ_16</v>
      </c>
      <c r="B571" s="218" t="s">
        <v>1146</v>
      </c>
      <c r="C571" s="218" t="str">
        <f>("16")</f>
        <v>16</v>
      </c>
      <c r="D571" s="218" t="s">
        <v>623</v>
      </c>
      <c r="E571" s="218" t="s">
        <v>7716</v>
      </c>
      <c r="F571" s="218" t="s">
        <v>7717</v>
      </c>
      <c r="G571" s="218">
        <v>2</v>
      </c>
      <c r="H571" s="218" t="s">
        <v>614</v>
      </c>
      <c r="I571" s="218" t="str">
        <f>("1706160023")</f>
        <v>1706160023</v>
      </c>
    </row>
    <row r="572" spans="1:10" x14ac:dyDescent="0.15">
      <c r="A572" s="406" t="str">
        <f t="shared" si="8"/>
        <v>滝尾下郡サッカースポーツ少年団_1</v>
      </c>
      <c r="B572" s="218" t="s">
        <v>1162</v>
      </c>
      <c r="C572" s="218" t="str">
        <f>("1")</f>
        <v>1</v>
      </c>
      <c r="D572" s="218" t="s">
        <v>624</v>
      </c>
      <c r="E572" s="218" t="s">
        <v>7718</v>
      </c>
      <c r="F572" s="218" t="s">
        <v>7719</v>
      </c>
      <c r="G572" s="218">
        <v>6</v>
      </c>
      <c r="H572" s="218" t="s">
        <v>614</v>
      </c>
      <c r="I572" s="218" t="str">
        <f>("1306150023")</f>
        <v>1306150023</v>
      </c>
    </row>
    <row r="573" spans="1:10" x14ac:dyDescent="0.15">
      <c r="A573" s="406" t="str">
        <f t="shared" si="8"/>
        <v>滝尾下郡サッカースポーツ少年団_2</v>
      </c>
      <c r="B573" s="218" t="s">
        <v>1162</v>
      </c>
      <c r="C573" s="218" t="str">
        <f>("2")</f>
        <v>2</v>
      </c>
      <c r="D573" s="218" t="s">
        <v>611</v>
      </c>
      <c r="E573" s="218" t="s">
        <v>1632</v>
      </c>
      <c r="F573" s="218" t="s">
        <v>1633</v>
      </c>
      <c r="G573" s="218">
        <v>6</v>
      </c>
      <c r="H573" s="218" t="s">
        <v>614</v>
      </c>
      <c r="I573" s="218" t="str">
        <f>("1304200100")</f>
        <v>1304200100</v>
      </c>
    </row>
    <row r="574" spans="1:10" x14ac:dyDescent="0.15">
      <c r="A574" s="406" t="str">
        <f t="shared" si="8"/>
        <v>滝尾下郡サッカースポーツ少年団_3</v>
      </c>
      <c r="B574" s="218" t="s">
        <v>1162</v>
      </c>
      <c r="C574" s="218" t="str">
        <f>("3")</f>
        <v>3</v>
      </c>
      <c r="D574" s="218" t="s">
        <v>615</v>
      </c>
      <c r="E574" s="218" t="s">
        <v>7720</v>
      </c>
      <c r="F574" s="218" t="s">
        <v>7721</v>
      </c>
      <c r="G574" s="218">
        <v>6</v>
      </c>
      <c r="H574" s="218" t="s">
        <v>614</v>
      </c>
      <c r="I574" s="218" t="str">
        <f>("1306250130")</f>
        <v>1306250130</v>
      </c>
      <c r="J574" s="218" t="s">
        <v>159</v>
      </c>
    </row>
    <row r="575" spans="1:10" x14ac:dyDescent="0.15">
      <c r="A575" s="406" t="str">
        <f t="shared" si="8"/>
        <v>滝尾下郡サッカースポーツ少年団_4</v>
      </c>
      <c r="B575" s="218" t="s">
        <v>1162</v>
      </c>
      <c r="C575" s="218" t="str">
        <f>("4")</f>
        <v>4</v>
      </c>
      <c r="D575" s="218" t="s">
        <v>615</v>
      </c>
      <c r="E575" s="218" t="s">
        <v>7722</v>
      </c>
      <c r="F575" s="218" t="s">
        <v>7723</v>
      </c>
      <c r="G575" s="218">
        <v>6</v>
      </c>
      <c r="H575" s="218" t="s">
        <v>614</v>
      </c>
      <c r="I575" s="218" t="str">
        <f>("1310220014")</f>
        <v>1310220014</v>
      </c>
    </row>
    <row r="576" spans="1:10" x14ac:dyDescent="0.15">
      <c r="A576" s="406" t="str">
        <f t="shared" si="8"/>
        <v>滝尾下郡サッカースポーツ少年団_5</v>
      </c>
      <c r="B576" s="218" t="s">
        <v>1162</v>
      </c>
      <c r="C576" s="218" t="str">
        <f>("5")</f>
        <v>5</v>
      </c>
      <c r="D576" s="218" t="s">
        <v>615</v>
      </c>
      <c r="E576" s="218" t="s">
        <v>7724</v>
      </c>
      <c r="F576" s="218" t="s">
        <v>7725</v>
      </c>
      <c r="G576" s="218">
        <v>6</v>
      </c>
      <c r="H576" s="218" t="s">
        <v>614</v>
      </c>
      <c r="I576" s="218" t="str">
        <f>("1309070159")</f>
        <v>1309070159</v>
      </c>
    </row>
    <row r="577" spans="1:9" x14ac:dyDescent="0.15">
      <c r="A577" s="406" t="str">
        <f t="shared" ref="A577:A640" si="9">CONCATENATE(B577,"_",C577)</f>
        <v>滝尾下郡サッカースポーツ少年団_6</v>
      </c>
      <c r="B577" s="218" t="s">
        <v>1162</v>
      </c>
      <c r="C577" s="218" t="str">
        <f>("6")</f>
        <v>6</v>
      </c>
      <c r="D577" s="218" t="s">
        <v>611</v>
      </c>
      <c r="E577" s="218" t="s">
        <v>7726</v>
      </c>
      <c r="F577" s="218" t="s">
        <v>3609</v>
      </c>
      <c r="G577" s="218">
        <v>6</v>
      </c>
      <c r="H577" s="218" t="s">
        <v>614</v>
      </c>
      <c r="I577" s="218" t="str">
        <f>("1309190022")</f>
        <v>1309190022</v>
      </c>
    </row>
    <row r="578" spans="1:9" x14ac:dyDescent="0.15">
      <c r="A578" s="406" t="str">
        <f t="shared" si="9"/>
        <v>滝尾下郡サッカースポーツ少年団_7</v>
      </c>
      <c r="B578" s="218" t="s">
        <v>1162</v>
      </c>
      <c r="C578" s="218" t="str">
        <f>("7")</f>
        <v>7</v>
      </c>
      <c r="D578" s="218" t="s">
        <v>623</v>
      </c>
      <c r="E578" s="218" t="s">
        <v>7727</v>
      </c>
      <c r="F578" s="218" t="s">
        <v>7728</v>
      </c>
      <c r="G578" s="218">
        <v>5</v>
      </c>
      <c r="H578" s="218" t="s">
        <v>614</v>
      </c>
      <c r="I578" s="218" t="str">
        <f>("1501150058")</f>
        <v>1501150058</v>
      </c>
    </row>
    <row r="579" spans="1:9" x14ac:dyDescent="0.15">
      <c r="A579" s="406" t="str">
        <f t="shared" si="9"/>
        <v>滝尾下郡サッカースポーツ少年団_8</v>
      </c>
      <c r="B579" s="218" t="s">
        <v>1162</v>
      </c>
      <c r="C579" s="218" t="str">
        <f>("8")</f>
        <v>8</v>
      </c>
      <c r="D579" s="218" t="s">
        <v>623</v>
      </c>
      <c r="E579" s="218" t="s">
        <v>7729</v>
      </c>
      <c r="F579" s="218" t="s">
        <v>7730</v>
      </c>
      <c r="G579" s="218">
        <v>5</v>
      </c>
      <c r="H579" s="218" t="s">
        <v>614</v>
      </c>
      <c r="I579" s="218" t="str">
        <f>("1408240053")</f>
        <v>1408240053</v>
      </c>
    </row>
    <row r="580" spans="1:9" x14ac:dyDescent="0.15">
      <c r="A580" s="406" t="str">
        <f t="shared" si="9"/>
        <v>滝尾下郡サッカースポーツ少年団_9</v>
      </c>
      <c r="B580" s="218" t="s">
        <v>1162</v>
      </c>
      <c r="C580" s="218" t="str">
        <f>("9")</f>
        <v>9</v>
      </c>
      <c r="D580" s="218" t="s">
        <v>611</v>
      </c>
      <c r="E580" s="218" t="s">
        <v>7731</v>
      </c>
      <c r="F580" s="218" t="s">
        <v>7732</v>
      </c>
      <c r="G580" s="218">
        <v>5</v>
      </c>
      <c r="H580" s="218" t="s">
        <v>614</v>
      </c>
      <c r="I580" s="218" t="str">
        <f>("1410030176")</f>
        <v>1410030176</v>
      </c>
    </row>
    <row r="581" spans="1:9" x14ac:dyDescent="0.15">
      <c r="A581" s="406" t="str">
        <f t="shared" si="9"/>
        <v>滝尾下郡サッカースポーツ少年団_10</v>
      </c>
      <c r="B581" s="218" t="s">
        <v>1162</v>
      </c>
      <c r="C581" s="218" t="str">
        <f>("10")</f>
        <v>10</v>
      </c>
      <c r="D581" s="218" t="s">
        <v>615</v>
      </c>
      <c r="E581" s="218" t="s">
        <v>1165</v>
      </c>
      <c r="F581" s="218" t="s">
        <v>1166</v>
      </c>
      <c r="G581" s="218">
        <v>6</v>
      </c>
      <c r="H581" s="218" t="s">
        <v>614</v>
      </c>
      <c r="I581" s="218" t="str">
        <f>("1305160015")</f>
        <v>1305160015</v>
      </c>
    </row>
    <row r="582" spans="1:9" x14ac:dyDescent="0.15">
      <c r="A582" s="406" t="str">
        <f t="shared" si="9"/>
        <v>滝尾下郡サッカースポーツ少年団_12</v>
      </c>
      <c r="B582" s="218" t="s">
        <v>1162</v>
      </c>
      <c r="C582" s="218" t="str">
        <f>("12")</f>
        <v>12</v>
      </c>
      <c r="D582" s="218" t="s">
        <v>611</v>
      </c>
      <c r="E582" s="218" t="s">
        <v>7733</v>
      </c>
      <c r="F582" s="218" t="s">
        <v>7734</v>
      </c>
      <c r="G582" s="218">
        <v>5</v>
      </c>
      <c r="H582" s="218" t="s">
        <v>614</v>
      </c>
      <c r="I582" s="218" t="str">
        <f>("1405120172")</f>
        <v>1405120172</v>
      </c>
    </row>
    <row r="583" spans="1:9" x14ac:dyDescent="0.15">
      <c r="A583" s="406" t="str">
        <f t="shared" si="9"/>
        <v>滝尾下郡サッカースポーツ少年団_13</v>
      </c>
      <c r="B583" s="218" t="s">
        <v>1162</v>
      </c>
      <c r="C583" s="218" t="str">
        <f>("13")</f>
        <v>13</v>
      </c>
      <c r="D583" s="218" t="s">
        <v>623</v>
      </c>
      <c r="E583" s="218" t="s">
        <v>7735</v>
      </c>
      <c r="F583" s="218" t="s">
        <v>7736</v>
      </c>
      <c r="G583" s="218">
        <v>4</v>
      </c>
      <c r="H583" s="218" t="s">
        <v>614</v>
      </c>
      <c r="I583" s="218" t="str">
        <f>("1602020088")</f>
        <v>1602020088</v>
      </c>
    </row>
    <row r="584" spans="1:9" x14ac:dyDescent="0.15">
      <c r="A584" s="406" t="str">
        <f t="shared" si="9"/>
        <v>滝尾下郡サッカースポーツ少年団_14</v>
      </c>
      <c r="B584" s="218" t="s">
        <v>1162</v>
      </c>
      <c r="C584" s="218" t="str">
        <f>("14")</f>
        <v>14</v>
      </c>
      <c r="D584" s="218" t="s">
        <v>615</v>
      </c>
      <c r="E584" s="218" t="s">
        <v>7737</v>
      </c>
      <c r="F584" s="218" t="s">
        <v>7738</v>
      </c>
      <c r="G584" s="218">
        <v>3</v>
      </c>
      <c r="H584" s="218" t="s">
        <v>614</v>
      </c>
      <c r="I584" s="218" t="str">
        <f>("1701130019")</f>
        <v>1701130019</v>
      </c>
    </row>
    <row r="585" spans="1:9" x14ac:dyDescent="0.15">
      <c r="A585" s="406" t="str">
        <f t="shared" si="9"/>
        <v>滝尾下郡サッカースポーツ少年団_30</v>
      </c>
      <c r="B585" s="218" t="s">
        <v>1162</v>
      </c>
      <c r="C585" s="218" t="str">
        <f>("30")</f>
        <v>30</v>
      </c>
      <c r="D585" s="218" t="s">
        <v>624</v>
      </c>
      <c r="E585" s="218" t="s">
        <v>7739</v>
      </c>
      <c r="F585" s="218" t="s">
        <v>7740</v>
      </c>
      <c r="G585" s="218">
        <v>5</v>
      </c>
      <c r="H585" s="218" t="s">
        <v>614</v>
      </c>
      <c r="I585" s="218" t="str">
        <f>("1408060222")</f>
        <v>1408060222</v>
      </c>
    </row>
    <row r="586" spans="1:9" x14ac:dyDescent="0.15">
      <c r="A586" s="406" t="str">
        <f t="shared" si="9"/>
        <v>豊府サッカースポーツ少年団_1</v>
      </c>
      <c r="B586" s="218" t="s">
        <v>1167</v>
      </c>
      <c r="C586" s="218" t="str">
        <f>("1")</f>
        <v>1</v>
      </c>
      <c r="D586" s="218" t="s">
        <v>624</v>
      </c>
      <c r="E586" s="218" t="s">
        <v>7741</v>
      </c>
      <c r="F586" s="218" t="s">
        <v>7742</v>
      </c>
      <c r="G586" s="218">
        <v>6</v>
      </c>
      <c r="H586" s="218" t="s">
        <v>614</v>
      </c>
      <c r="I586" s="218" t="str">
        <f>("1306080125")</f>
        <v>1306080125</v>
      </c>
    </row>
    <row r="587" spans="1:9" x14ac:dyDescent="0.15">
      <c r="A587" s="406" t="str">
        <f t="shared" si="9"/>
        <v>豊府サッカースポーツ少年団_3</v>
      </c>
      <c r="B587" s="218" t="s">
        <v>1167</v>
      </c>
      <c r="C587" s="218" t="str">
        <f>("3")</f>
        <v>3</v>
      </c>
      <c r="D587" s="218" t="s">
        <v>615</v>
      </c>
      <c r="E587" s="218" t="s">
        <v>7743</v>
      </c>
      <c r="F587" s="218" t="s">
        <v>7744</v>
      </c>
      <c r="G587" s="218">
        <v>6</v>
      </c>
      <c r="H587" s="218" t="s">
        <v>614</v>
      </c>
      <c r="I587" s="218" t="str">
        <f>("1312290132")</f>
        <v>1312290132</v>
      </c>
    </row>
    <row r="588" spans="1:9" x14ac:dyDescent="0.15">
      <c r="A588" s="406" t="str">
        <f t="shared" si="9"/>
        <v>豊府サッカースポーツ少年団_4</v>
      </c>
      <c r="B588" s="218" t="s">
        <v>1167</v>
      </c>
      <c r="C588" s="218" t="str">
        <f>("4")</f>
        <v>4</v>
      </c>
      <c r="D588" s="218" t="s">
        <v>611</v>
      </c>
      <c r="E588" s="218" t="s">
        <v>7745</v>
      </c>
      <c r="F588" s="218" t="s">
        <v>7092</v>
      </c>
      <c r="G588" s="218">
        <v>5</v>
      </c>
      <c r="H588" s="218" t="s">
        <v>614</v>
      </c>
      <c r="I588" s="218" t="str">
        <f>("1408130163")</f>
        <v>1408130163</v>
      </c>
    </row>
    <row r="589" spans="1:9" x14ac:dyDescent="0.15">
      <c r="A589" s="406" t="str">
        <f t="shared" si="9"/>
        <v>豊府サッカースポーツ少年団_5</v>
      </c>
      <c r="B589" s="218" t="s">
        <v>1167</v>
      </c>
      <c r="C589" s="218" t="str">
        <f>("5")</f>
        <v>5</v>
      </c>
      <c r="D589" s="218" t="s">
        <v>611</v>
      </c>
      <c r="E589" s="218" t="s">
        <v>7746</v>
      </c>
      <c r="F589" s="218" t="s">
        <v>7747</v>
      </c>
      <c r="G589" s="218">
        <v>6</v>
      </c>
      <c r="H589" s="218" t="s">
        <v>614</v>
      </c>
      <c r="I589" s="218" t="str">
        <f>("1401220121")</f>
        <v>1401220121</v>
      </c>
    </row>
    <row r="590" spans="1:9" x14ac:dyDescent="0.15">
      <c r="A590" s="406" t="str">
        <f t="shared" si="9"/>
        <v>豊府サッカースポーツ少年団_6</v>
      </c>
      <c r="B590" s="218" t="s">
        <v>1167</v>
      </c>
      <c r="C590" s="218" t="str">
        <f>("6")</f>
        <v>6</v>
      </c>
      <c r="D590" s="218" t="s">
        <v>615</v>
      </c>
      <c r="E590" s="218" t="s">
        <v>7748</v>
      </c>
      <c r="F590" s="218" t="s">
        <v>7749</v>
      </c>
      <c r="G590" s="218">
        <v>6</v>
      </c>
      <c r="H590" s="218" t="s">
        <v>614</v>
      </c>
      <c r="I590" s="218" t="str">
        <f>("1403290118")</f>
        <v>1403290118</v>
      </c>
    </row>
    <row r="591" spans="1:9" x14ac:dyDescent="0.15">
      <c r="A591" s="406" t="str">
        <f t="shared" si="9"/>
        <v>豊府サッカースポーツ少年団_7</v>
      </c>
      <c r="B591" s="218" t="s">
        <v>1167</v>
      </c>
      <c r="C591" s="218" t="str">
        <f>("7")</f>
        <v>7</v>
      </c>
      <c r="D591" s="218" t="s">
        <v>611</v>
      </c>
      <c r="E591" s="218" t="s">
        <v>7750</v>
      </c>
      <c r="F591" s="218" t="s">
        <v>7751</v>
      </c>
      <c r="G591" s="218">
        <v>5</v>
      </c>
      <c r="H591" s="218" t="s">
        <v>614</v>
      </c>
      <c r="I591" s="218" t="str">
        <f>("1410060135")</f>
        <v>1410060135</v>
      </c>
    </row>
    <row r="592" spans="1:9" x14ac:dyDescent="0.15">
      <c r="A592" s="406" t="str">
        <f t="shared" si="9"/>
        <v>豊府サッカースポーツ少年団_8</v>
      </c>
      <c r="B592" s="218" t="s">
        <v>1167</v>
      </c>
      <c r="C592" s="218" t="str">
        <f>("8")</f>
        <v>8</v>
      </c>
      <c r="D592" s="218" t="s">
        <v>623</v>
      </c>
      <c r="E592" s="218" t="s">
        <v>7752</v>
      </c>
      <c r="F592" s="218" t="s">
        <v>7753</v>
      </c>
      <c r="G592" s="218">
        <v>5</v>
      </c>
      <c r="H592" s="218" t="s">
        <v>614</v>
      </c>
      <c r="I592" s="218" t="str">
        <f>("1407180185")</f>
        <v>1407180185</v>
      </c>
    </row>
    <row r="593" spans="1:10" x14ac:dyDescent="0.15">
      <c r="A593" s="406" t="str">
        <f t="shared" si="9"/>
        <v>豊府サッカースポーツ少年団_9</v>
      </c>
      <c r="B593" s="218" t="s">
        <v>1167</v>
      </c>
      <c r="C593" s="218" t="str">
        <f>("9")</f>
        <v>9</v>
      </c>
      <c r="D593" s="218" t="s">
        <v>623</v>
      </c>
      <c r="E593" s="218" t="s">
        <v>7754</v>
      </c>
      <c r="F593" s="218" t="s">
        <v>4853</v>
      </c>
      <c r="G593" s="218">
        <v>5</v>
      </c>
      <c r="H593" s="218" t="s">
        <v>614</v>
      </c>
      <c r="I593" s="218" t="str">
        <f>("1407250184")</f>
        <v>1407250184</v>
      </c>
    </row>
    <row r="594" spans="1:10" x14ac:dyDescent="0.15">
      <c r="A594" s="406" t="str">
        <f t="shared" si="9"/>
        <v>豊府サッカースポーツ少年団_10</v>
      </c>
      <c r="B594" s="218" t="s">
        <v>1167</v>
      </c>
      <c r="C594" s="218" t="str">
        <f>("10")</f>
        <v>10</v>
      </c>
      <c r="D594" s="218" t="s">
        <v>615</v>
      </c>
      <c r="E594" s="218" t="s">
        <v>7755</v>
      </c>
      <c r="F594" s="218" t="s">
        <v>7756</v>
      </c>
      <c r="G594" s="218">
        <v>6</v>
      </c>
      <c r="H594" s="218" t="s">
        <v>614</v>
      </c>
      <c r="I594" s="218" t="str">
        <f>("1310240211")</f>
        <v>1310240211</v>
      </c>
      <c r="J594" s="218" t="s">
        <v>159</v>
      </c>
    </row>
    <row r="595" spans="1:10" x14ac:dyDescent="0.15">
      <c r="A595" s="406" t="str">
        <f t="shared" si="9"/>
        <v>豊府サッカースポーツ少年団_11</v>
      </c>
      <c r="B595" s="218" t="s">
        <v>1167</v>
      </c>
      <c r="C595" s="218" t="str">
        <f>("11")</f>
        <v>11</v>
      </c>
      <c r="D595" s="218" t="s">
        <v>615</v>
      </c>
      <c r="E595" s="218" t="s">
        <v>7757</v>
      </c>
      <c r="F595" s="218" t="s">
        <v>7758</v>
      </c>
      <c r="G595" s="218">
        <v>6</v>
      </c>
      <c r="H595" s="218" t="s">
        <v>614</v>
      </c>
      <c r="I595" s="218" t="str">
        <f>("1403110098")</f>
        <v>1403110098</v>
      </c>
    </row>
    <row r="596" spans="1:10" x14ac:dyDescent="0.15">
      <c r="A596" s="406" t="str">
        <f t="shared" si="9"/>
        <v>豊府サッカースポーツ少年団_12</v>
      </c>
      <c r="B596" s="218" t="s">
        <v>1167</v>
      </c>
      <c r="C596" s="218" t="str">
        <f>("12")</f>
        <v>12</v>
      </c>
      <c r="D596" s="218" t="s">
        <v>624</v>
      </c>
      <c r="E596" s="218" t="s">
        <v>7759</v>
      </c>
      <c r="F596" s="218" t="s">
        <v>7760</v>
      </c>
      <c r="G596" s="218">
        <v>5</v>
      </c>
      <c r="H596" s="218" t="s">
        <v>614</v>
      </c>
      <c r="I596" s="218" t="str">
        <f>("1407010176")</f>
        <v>1407010176</v>
      </c>
    </row>
    <row r="597" spans="1:10" x14ac:dyDescent="0.15">
      <c r="A597" s="406" t="str">
        <f t="shared" si="9"/>
        <v>豊府サッカースポーツ少年団_14</v>
      </c>
      <c r="B597" s="218" t="s">
        <v>1167</v>
      </c>
      <c r="C597" s="218" t="str">
        <f>("14")</f>
        <v>14</v>
      </c>
      <c r="D597" s="218" t="s">
        <v>615</v>
      </c>
      <c r="E597" s="218" t="s">
        <v>7761</v>
      </c>
      <c r="F597" s="218" t="s">
        <v>7762</v>
      </c>
      <c r="G597" s="218">
        <v>5</v>
      </c>
      <c r="H597" s="218" t="s">
        <v>614</v>
      </c>
      <c r="I597" s="218" t="str">
        <f>("1502140109")</f>
        <v>1502140109</v>
      </c>
    </row>
    <row r="598" spans="1:10" x14ac:dyDescent="0.15">
      <c r="A598" s="406" t="str">
        <f t="shared" si="9"/>
        <v>豊府サッカースポーツ少年団_15</v>
      </c>
      <c r="B598" s="218" t="s">
        <v>1167</v>
      </c>
      <c r="C598" s="218" t="str">
        <f>("15")</f>
        <v>15</v>
      </c>
      <c r="D598" s="218" t="s">
        <v>623</v>
      </c>
      <c r="E598" s="218" t="s">
        <v>7763</v>
      </c>
      <c r="F598" s="218" t="s">
        <v>7364</v>
      </c>
      <c r="G598" s="218">
        <v>5</v>
      </c>
      <c r="H598" s="218" t="s">
        <v>614</v>
      </c>
      <c r="I598" s="218" t="str">
        <f>("1412250164")</f>
        <v>1412250164</v>
      </c>
    </row>
    <row r="599" spans="1:10" x14ac:dyDescent="0.15">
      <c r="A599" s="406" t="str">
        <f t="shared" si="9"/>
        <v>明治サッカースポーツ少年団_1</v>
      </c>
      <c r="B599" s="218" t="s">
        <v>1186</v>
      </c>
      <c r="C599" s="218" t="str">
        <f>("1")</f>
        <v>1</v>
      </c>
      <c r="D599" s="218" t="s">
        <v>624</v>
      </c>
      <c r="E599" s="218" t="s">
        <v>7764</v>
      </c>
      <c r="F599" s="218" t="s">
        <v>7765</v>
      </c>
      <c r="G599" s="218">
        <v>5</v>
      </c>
      <c r="H599" s="218" t="s">
        <v>614</v>
      </c>
      <c r="I599" s="218" t="str">
        <f>("1406200076")</f>
        <v>1406200076</v>
      </c>
    </row>
    <row r="600" spans="1:10" x14ac:dyDescent="0.15">
      <c r="A600" s="406" t="str">
        <f t="shared" si="9"/>
        <v>明治サッカースポーツ少年団_3</v>
      </c>
      <c r="B600" s="218" t="s">
        <v>1186</v>
      </c>
      <c r="C600" s="218" t="str">
        <f>("3")</f>
        <v>3</v>
      </c>
      <c r="D600" s="218" t="s">
        <v>611</v>
      </c>
      <c r="E600" s="218" t="s">
        <v>7766</v>
      </c>
      <c r="F600" s="218" t="s">
        <v>7767</v>
      </c>
      <c r="G600" s="218">
        <v>5</v>
      </c>
      <c r="H600" s="218" t="s">
        <v>614</v>
      </c>
      <c r="I600" s="218" t="str">
        <f>("1408270069")</f>
        <v>1408270069</v>
      </c>
    </row>
    <row r="601" spans="1:10" x14ac:dyDescent="0.15">
      <c r="A601" s="406" t="str">
        <f t="shared" si="9"/>
        <v>明治サッカースポーツ少年団_4</v>
      </c>
      <c r="B601" s="218" t="s">
        <v>1186</v>
      </c>
      <c r="C601" s="218" t="str">
        <f>("4")</f>
        <v>4</v>
      </c>
      <c r="D601" s="218" t="s">
        <v>611</v>
      </c>
      <c r="E601" s="218" t="s">
        <v>7768</v>
      </c>
      <c r="F601" s="218" t="s">
        <v>7769</v>
      </c>
      <c r="G601" s="218">
        <v>5</v>
      </c>
      <c r="H601" s="218" t="s">
        <v>614</v>
      </c>
      <c r="I601" s="218" t="str">
        <f>("1410080068")</f>
        <v>1410080068</v>
      </c>
    </row>
    <row r="602" spans="1:10" x14ac:dyDescent="0.15">
      <c r="A602" s="406" t="str">
        <f t="shared" si="9"/>
        <v>明治サッカースポーツ少年団_5</v>
      </c>
      <c r="B602" s="218" t="s">
        <v>1186</v>
      </c>
      <c r="C602" s="218" t="str">
        <f>("5")</f>
        <v>5</v>
      </c>
      <c r="D602" s="218" t="s">
        <v>615</v>
      </c>
      <c r="E602" s="218" t="s">
        <v>7770</v>
      </c>
      <c r="F602" s="218" t="s">
        <v>7771</v>
      </c>
      <c r="G602" s="218">
        <v>5</v>
      </c>
      <c r="H602" s="218" t="s">
        <v>614</v>
      </c>
      <c r="I602" s="218" t="str">
        <f>("1410250055")</f>
        <v>1410250055</v>
      </c>
    </row>
    <row r="603" spans="1:10" x14ac:dyDescent="0.15">
      <c r="A603" s="406" t="str">
        <f t="shared" si="9"/>
        <v>明治サッカースポーツ少年団_6</v>
      </c>
      <c r="B603" s="218" t="s">
        <v>1186</v>
      </c>
      <c r="C603" s="218" t="str">
        <f>("6")</f>
        <v>6</v>
      </c>
      <c r="D603" s="218" t="s">
        <v>615</v>
      </c>
      <c r="E603" s="218" t="s">
        <v>7772</v>
      </c>
      <c r="F603" s="218" t="s">
        <v>7773</v>
      </c>
      <c r="G603" s="218">
        <v>5</v>
      </c>
      <c r="H603" s="218" t="s">
        <v>614</v>
      </c>
      <c r="I603" s="218" t="str">
        <f>("1407180083")</f>
        <v>1407180083</v>
      </c>
    </row>
    <row r="604" spans="1:10" x14ac:dyDescent="0.15">
      <c r="A604" s="406" t="str">
        <f t="shared" si="9"/>
        <v>明治サッカースポーツ少年団_7</v>
      </c>
      <c r="B604" s="218" t="s">
        <v>1186</v>
      </c>
      <c r="C604" s="218" t="str">
        <f>("7")</f>
        <v>7</v>
      </c>
      <c r="D604" s="218" t="s">
        <v>615</v>
      </c>
      <c r="E604" s="218" t="s">
        <v>7774</v>
      </c>
      <c r="F604" s="218" t="s">
        <v>986</v>
      </c>
      <c r="G604" s="218">
        <v>5</v>
      </c>
      <c r="H604" s="218" t="s">
        <v>614</v>
      </c>
      <c r="I604" s="218" t="str">
        <f>("1409140055")</f>
        <v>1409140055</v>
      </c>
    </row>
    <row r="605" spans="1:10" x14ac:dyDescent="0.15">
      <c r="A605" s="406" t="str">
        <f t="shared" si="9"/>
        <v>明治サッカースポーツ少年団_8</v>
      </c>
      <c r="B605" s="218" t="s">
        <v>1186</v>
      </c>
      <c r="C605" s="218" t="str">
        <f>("8")</f>
        <v>8</v>
      </c>
      <c r="D605" s="218" t="s">
        <v>615</v>
      </c>
      <c r="E605" s="218" t="s">
        <v>7775</v>
      </c>
      <c r="F605" s="218" t="s">
        <v>7776</v>
      </c>
      <c r="G605" s="218">
        <v>6</v>
      </c>
      <c r="H605" s="218" t="s">
        <v>614</v>
      </c>
      <c r="I605" s="218" t="str">
        <f>("1308110041")</f>
        <v>1308110041</v>
      </c>
      <c r="J605" s="218" t="s">
        <v>159</v>
      </c>
    </row>
    <row r="606" spans="1:10" x14ac:dyDescent="0.15">
      <c r="A606" s="406" t="str">
        <f t="shared" si="9"/>
        <v>明治サッカースポーツ少年団_9</v>
      </c>
      <c r="B606" s="218" t="s">
        <v>1186</v>
      </c>
      <c r="C606" s="218" t="str">
        <f>("9")</f>
        <v>9</v>
      </c>
      <c r="D606" s="218" t="s">
        <v>615</v>
      </c>
      <c r="E606" s="218" t="s">
        <v>7777</v>
      </c>
      <c r="F606" s="218" t="s">
        <v>7778</v>
      </c>
      <c r="G606" s="218">
        <v>5</v>
      </c>
      <c r="H606" s="218" t="s">
        <v>614</v>
      </c>
      <c r="I606" s="218" t="str">
        <f>("1411270184")</f>
        <v>1411270184</v>
      </c>
    </row>
    <row r="607" spans="1:10" x14ac:dyDescent="0.15">
      <c r="A607" s="406" t="str">
        <f t="shared" si="9"/>
        <v>明治サッカースポーツ少年団_10</v>
      </c>
      <c r="B607" s="218" t="s">
        <v>1186</v>
      </c>
      <c r="C607" s="218" t="str">
        <f>("10")</f>
        <v>10</v>
      </c>
      <c r="D607" s="218" t="s">
        <v>615</v>
      </c>
      <c r="E607" s="218" t="s">
        <v>1199</v>
      </c>
      <c r="F607" s="218" t="s">
        <v>1200</v>
      </c>
      <c r="G607" s="218">
        <v>5</v>
      </c>
      <c r="H607" s="218" t="s">
        <v>614</v>
      </c>
      <c r="I607" s="218" t="str">
        <f>("1407240068")</f>
        <v>1407240068</v>
      </c>
    </row>
    <row r="608" spans="1:10" x14ac:dyDescent="0.15">
      <c r="A608" s="406" t="str">
        <f t="shared" si="9"/>
        <v>明治サッカースポーツ少年団_11</v>
      </c>
      <c r="B608" s="218" t="s">
        <v>1186</v>
      </c>
      <c r="C608" s="218" t="str">
        <f>("11")</f>
        <v>11</v>
      </c>
      <c r="D608" s="218" t="s">
        <v>623</v>
      </c>
      <c r="E608" s="218" t="s">
        <v>7779</v>
      </c>
      <c r="F608" s="218" t="s">
        <v>7780</v>
      </c>
      <c r="G608" s="218">
        <v>5</v>
      </c>
      <c r="H608" s="218" t="s">
        <v>614</v>
      </c>
      <c r="I608" s="218" t="str">
        <f>("1404120061")</f>
        <v>1404120061</v>
      </c>
    </row>
    <row r="609" spans="1:10" x14ac:dyDescent="0.15">
      <c r="A609" s="406" t="str">
        <f t="shared" si="9"/>
        <v>明治サッカースポーツ少年団_12</v>
      </c>
      <c r="B609" s="218" t="s">
        <v>1186</v>
      </c>
      <c r="C609" s="218" t="str">
        <f>("12")</f>
        <v>12</v>
      </c>
      <c r="D609" s="218" t="s">
        <v>623</v>
      </c>
      <c r="E609" s="218" t="s">
        <v>7781</v>
      </c>
      <c r="F609" s="218" t="s">
        <v>7782</v>
      </c>
      <c r="G609" s="218">
        <v>5</v>
      </c>
      <c r="H609" s="218" t="s">
        <v>616</v>
      </c>
      <c r="I609" s="218" t="str">
        <f>("1407170068")</f>
        <v>1407170068</v>
      </c>
    </row>
    <row r="610" spans="1:10" x14ac:dyDescent="0.15">
      <c r="A610" s="406" t="str">
        <f t="shared" si="9"/>
        <v>明治サッカースポーツ少年団_13</v>
      </c>
      <c r="B610" s="218" t="s">
        <v>1186</v>
      </c>
      <c r="C610" s="218" t="str">
        <f>("13")</f>
        <v>13</v>
      </c>
      <c r="D610" s="218" t="s">
        <v>615</v>
      </c>
      <c r="E610" s="218" t="s">
        <v>7783</v>
      </c>
      <c r="F610" s="218" t="s">
        <v>7784</v>
      </c>
      <c r="G610" s="218">
        <v>5</v>
      </c>
      <c r="H610" s="218" t="s">
        <v>614</v>
      </c>
      <c r="I610" s="218" t="str">
        <f>("1409290072")</f>
        <v>1409290072</v>
      </c>
    </row>
    <row r="611" spans="1:10" x14ac:dyDescent="0.15">
      <c r="A611" s="406" t="str">
        <f t="shared" si="9"/>
        <v>明治サッカースポーツ少年団_14</v>
      </c>
      <c r="B611" s="218" t="s">
        <v>1186</v>
      </c>
      <c r="C611" s="218" t="str">
        <f>("14")</f>
        <v>14</v>
      </c>
      <c r="D611" s="218" t="s">
        <v>615</v>
      </c>
      <c r="E611" s="218" t="s">
        <v>7785</v>
      </c>
      <c r="F611" s="218" t="s">
        <v>7786</v>
      </c>
      <c r="G611" s="218">
        <v>5</v>
      </c>
      <c r="H611" s="218" t="s">
        <v>614</v>
      </c>
      <c r="I611" s="218" t="str">
        <f>("1408260080")</f>
        <v>1408260080</v>
      </c>
    </row>
    <row r="612" spans="1:10" x14ac:dyDescent="0.15">
      <c r="A612" s="406" t="str">
        <f t="shared" si="9"/>
        <v>明治サッカースポーツ少年団_15</v>
      </c>
      <c r="B612" s="218" t="s">
        <v>1186</v>
      </c>
      <c r="C612" s="218" t="str">
        <f>("15")</f>
        <v>15</v>
      </c>
      <c r="D612" s="218" t="s">
        <v>611</v>
      </c>
      <c r="E612" s="218" t="s">
        <v>7787</v>
      </c>
      <c r="F612" s="218" t="s">
        <v>7788</v>
      </c>
      <c r="G612" s="218">
        <v>5</v>
      </c>
      <c r="H612" s="218" t="s">
        <v>614</v>
      </c>
      <c r="I612" s="218" t="str">
        <f>("1408070077")</f>
        <v>1408070077</v>
      </c>
    </row>
    <row r="613" spans="1:10" x14ac:dyDescent="0.15">
      <c r="A613" s="406" t="str">
        <f t="shared" si="9"/>
        <v>明治サッカースポーツ少年団_16</v>
      </c>
      <c r="B613" s="218" t="s">
        <v>1186</v>
      </c>
      <c r="C613" s="218" t="str">
        <f>("16")</f>
        <v>16</v>
      </c>
      <c r="D613" s="218" t="s">
        <v>623</v>
      </c>
      <c r="E613" s="218" t="s">
        <v>7789</v>
      </c>
      <c r="F613" s="218" t="s">
        <v>7790</v>
      </c>
      <c r="G613" s="218">
        <v>5</v>
      </c>
      <c r="H613" s="218" t="s">
        <v>614</v>
      </c>
      <c r="I613" s="218" t="str">
        <f>("1501200058")</f>
        <v>1501200058</v>
      </c>
    </row>
    <row r="614" spans="1:10" x14ac:dyDescent="0.15">
      <c r="A614" s="406" t="str">
        <f t="shared" si="9"/>
        <v>明治サッカースポーツ少年団_18</v>
      </c>
      <c r="B614" s="218" t="s">
        <v>1186</v>
      </c>
      <c r="C614" s="218" t="str">
        <f>("18")</f>
        <v>18</v>
      </c>
      <c r="D614" s="218" t="s">
        <v>624</v>
      </c>
      <c r="E614" s="218" t="s">
        <v>7791</v>
      </c>
      <c r="F614" s="218" t="s">
        <v>7792</v>
      </c>
      <c r="G614" s="218">
        <v>5</v>
      </c>
      <c r="H614" s="218" t="s">
        <v>614</v>
      </c>
      <c r="I614" s="218" t="str">
        <f>("1405120082")</f>
        <v>1405120082</v>
      </c>
    </row>
    <row r="615" spans="1:10" x14ac:dyDescent="0.15">
      <c r="A615" s="406" t="str">
        <f t="shared" si="9"/>
        <v>明野西ＪＦＣ_1</v>
      </c>
      <c r="B615" s="218" t="s">
        <v>1206</v>
      </c>
      <c r="C615" s="218" t="str">
        <f>("1")</f>
        <v>1</v>
      </c>
      <c r="D615" s="218" t="s">
        <v>624</v>
      </c>
      <c r="E615" s="218" t="s">
        <v>1211</v>
      </c>
      <c r="F615" s="218" t="s">
        <v>1212</v>
      </c>
      <c r="G615" s="218">
        <v>6</v>
      </c>
      <c r="H615" s="218" t="s">
        <v>614</v>
      </c>
      <c r="I615" s="218" t="str">
        <f>("1311200009")</f>
        <v>1311200009</v>
      </c>
    </row>
    <row r="616" spans="1:10" x14ac:dyDescent="0.15">
      <c r="A616" s="406" t="str">
        <f t="shared" si="9"/>
        <v>明野西ＪＦＣ_2</v>
      </c>
      <c r="B616" s="218" t="s">
        <v>1206</v>
      </c>
      <c r="C616" s="218" t="str">
        <f>("2")</f>
        <v>2</v>
      </c>
      <c r="D616" s="218" t="s">
        <v>611</v>
      </c>
      <c r="E616" s="218" t="s">
        <v>7793</v>
      </c>
      <c r="F616" s="218" t="s">
        <v>7794</v>
      </c>
      <c r="G616" s="218">
        <v>5</v>
      </c>
      <c r="H616" s="218" t="s">
        <v>614</v>
      </c>
      <c r="I616" s="218" t="str">
        <f>("1502240012")</f>
        <v>1502240012</v>
      </c>
    </row>
    <row r="617" spans="1:10" x14ac:dyDescent="0.15">
      <c r="A617" s="406" t="str">
        <f t="shared" si="9"/>
        <v>明野西ＪＦＣ_4</v>
      </c>
      <c r="B617" s="218" t="s">
        <v>1206</v>
      </c>
      <c r="C617" s="218" t="str">
        <f>("4")</f>
        <v>4</v>
      </c>
      <c r="D617" s="218" t="s">
        <v>611</v>
      </c>
      <c r="E617" s="218" t="s">
        <v>7795</v>
      </c>
      <c r="F617" s="218" t="s">
        <v>7796</v>
      </c>
      <c r="G617" s="218">
        <v>5</v>
      </c>
      <c r="H617" s="218" t="s">
        <v>614</v>
      </c>
      <c r="I617" s="218" t="str">
        <f>("1502240011")</f>
        <v>1502240011</v>
      </c>
    </row>
    <row r="618" spans="1:10" x14ac:dyDescent="0.15">
      <c r="A618" s="406" t="str">
        <f t="shared" si="9"/>
        <v>明野西ＪＦＣ_5</v>
      </c>
      <c r="B618" s="218" t="s">
        <v>1206</v>
      </c>
      <c r="C618" s="218" t="str">
        <f>("5")</f>
        <v>5</v>
      </c>
      <c r="D618" s="218" t="s">
        <v>611</v>
      </c>
      <c r="E618" s="218" t="s">
        <v>7797</v>
      </c>
      <c r="F618" s="218" t="s">
        <v>7798</v>
      </c>
      <c r="G618" s="218">
        <v>6</v>
      </c>
      <c r="H618" s="218" t="s">
        <v>614</v>
      </c>
      <c r="I618" s="218" t="str">
        <f>("1304160039")</f>
        <v>1304160039</v>
      </c>
    </row>
    <row r="619" spans="1:10" x14ac:dyDescent="0.15">
      <c r="A619" s="406" t="str">
        <f t="shared" si="9"/>
        <v>明野西ＪＦＣ_6</v>
      </c>
      <c r="B619" s="218" t="s">
        <v>1206</v>
      </c>
      <c r="C619" s="218" t="str">
        <f>("6")</f>
        <v>6</v>
      </c>
      <c r="D619" s="218" t="s">
        <v>615</v>
      </c>
      <c r="E619" s="218" t="s">
        <v>1214</v>
      </c>
      <c r="F619" s="218" t="s">
        <v>1215</v>
      </c>
      <c r="G619" s="218">
        <v>6</v>
      </c>
      <c r="H619" s="218" t="s">
        <v>614</v>
      </c>
      <c r="I619" s="218" t="str">
        <f>("1311210019")</f>
        <v>1311210019</v>
      </c>
    </row>
    <row r="620" spans="1:10" x14ac:dyDescent="0.15">
      <c r="A620" s="406" t="str">
        <f t="shared" si="9"/>
        <v>明野西ＪＦＣ_7</v>
      </c>
      <c r="B620" s="218" t="s">
        <v>1206</v>
      </c>
      <c r="C620" s="218" t="str">
        <f>("7")</f>
        <v>7</v>
      </c>
      <c r="D620" s="218" t="s">
        <v>623</v>
      </c>
      <c r="E620" s="218" t="s">
        <v>7799</v>
      </c>
      <c r="F620" s="218" t="s">
        <v>1213</v>
      </c>
      <c r="G620" s="218">
        <v>6</v>
      </c>
      <c r="H620" s="218" t="s">
        <v>614</v>
      </c>
      <c r="I620" s="218" t="str">
        <f>("1311250019")</f>
        <v>1311250019</v>
      </c>
    </row>
    <row r="621" spans="1:10" x14ac:dyDescent="0.15">
      <c r="A621" s="406" t="str">
        <f t="shared" si="9"/>
        <v>明野西ＪＦＣ_8</v>
      </c>
      <c r="B621" s="218" t="s">
        <v>1206</v>
      </c>
      <c r="C621" s="218" t="str">
        <f>("8")</f>
        <v>8</v>
      </c>
      <c r="D621" s="218" t="s">
        <v>611</v>
      </c>
      <c r="E621" s="218" t="s">
        <v>7800</v>
      </c>
      <c r="F621" s="218" t="s">
        <v>7801</v>
      </c>
      <c r="G621" s="218">
        <v>6</v>
      </c>
      <c r="H621" s="218" t="s">
        <v>614</v>
      </c>
      <c r="I621" s="218" t="str">
        <f>("1311280101")</f>
        <v>1311280101</v>
      </c>
    </row>
    <row r="622" spans="1:10" x14ac:dyDescent="0.15">
      <c r="A622" s="406" t="str">
        <f t="shared" si="9"/>
        <v>明野西ＪＦＣ_9</v>
      </c>
      <c r="B622" s="218" t="s">
        <v>1206</v>
      </c>
      <c r="C622" s="218" t="str">
        <f>("9")</f>
        <v>9</v>
      </c>
      <c r="D622" s="218" t="s">
        <v>615</v>
      </c>
      <c r="E622" s="218" t="s">
        <v>7802</v>
      </c>
      <c r="F622" s="218" t="s">
        <v>7803</v>
      </c>
      <c r="G622" s="218">
        <v>5</v>
      </c>
      <c r="H622" s="218" t="s">
        <v>614</v>
      </c>
      <c r="I622" s="218" t="str">
        <f>("1502200038")</f>
        <v>1502200038</v>
      </c>
    </row>
    <row r="623" spans="1:10" x14ac:dyDescent="0.15">
      <c r="A623" s="406" t="str">
        <f t="shared" si="9"/>
        <v>明野西ＪＦＣ_10</v>
      </c>
      <c r="B623" s="218" t="s">
        <v>1206</v>
      </c>
      <c r="C623" s="218" t="str">
        <f>("10")</f>
        <v>10</v>
      </c>
      <c r="D623" s="218" t="s">
        <v>623</v>
      </c>
      <c r="E623" s="218" t="s">
        <v>7804</v>
      </c>
      <c r="F623" s="218" t="s">
        <v>1210</v>
      </c>
      <c r="G623" s="218">
        <v>6</v>
      </c>
      <c r="H623" s="218" t="s">
        <v>614</v>
      </c>
      <c r="I623" s="218" t="str">
        <f>("1309230009")</f>
        <v>1309230009</v>
      </c>
      <c r="J623" s="218" t="s">
        <v>159</v>
      </c>
    </row>
    <row r="624" spans="1:10" x14ac:dyDescent="0.15">
      <c r="A624" s="406" t="str">
        <f t="shared" si="9"/>
        <v>明野西ＪＦＣ_11</v>
      </c>
      <c r="B624" s="218" t="s">
        <v>1206</v>
      </c>
      <c r="C624" s="218" t="str">
        <f>("11")</f>
        <v>11</v>
      </c>
      <c r="D624" s="218" t="s">
        <v>615</v>
      </c>
      <c r="E624" s="218" t="s">
        <v>5886</v>
      </c>
      <c r="F624" s="218" t="s">
        <v>7805</v>
      </c>
      <c r="G624" s="218">
        <v>6</v>
      </c>
      <c r="H624" s="218" t="s">
        <v>614</v>
      </c>
      <c r="I624" s="218" t="str">
        <f>("1403110025")</f>
        <v>1403110025</v>
      </c>
    </row>
    <row r="625" spans="1:10" x14ac:dyDescent="0.15">
      <c r="A625" s="406" t="str">
        <f t="shared" si="9"/>
        <v>明野西ＪＦＣ_12</v>
      </c>
      <c r="B625" s="218" t="s">
        <v>1206</v>
      </c>
      <c r="C625" s="218" t="str">
        <f>("12")</f>
        <v>12</v>
      </c>
      <c r="D625" s="218" t="s">
        <v>624</v>
      </c>
      <c r="E625" s="218" t="s">
        <v>7806</v>
      </c>
      <c r="F625" s="218" t="s">
        <v>7807</v>
      </c>
      <c r="G625" s="218">
        <v>4</v>
      </c>
      <c r="H625" s="218" t="s">
        <v>614</v>
      </c>
      <c r="I625" s="218" t="str">
        <f>("1602060012")</f>
        <v>1602060012</v>
      </c>
    </row>
    <row r="626" spans="1:10" x14ac:dyDescent="0.15">
      <c r="A626" s="406" t="str">
        <f t="shared" si="9"/>
        <v>明野西ＪＦＣ_13</v>
      </c>
      <c r="B626" s="218" t="s">
        <v>1206</v>
      </c>
      <c r="C626" s="218" t="str">
        <f>("13")</f>
        <v>13</v>
      </c>
      <c r="D626" s="218" t="s">
        <v>615</v>
      </c>
      <c r="E626" s="218" t="s">
        <v>7808</v>
      </c>
      <c r="F626" s="218" t="s">
        <v>7809</v>
      </c>
      <c r="G626" s="218">
        <v>5</v>
      </c>
      <c r="H626" s="218" t="s">
        <v>614</v>
      </c>
      <c r="I626" s="218" t="str">
        <f>("1503130057")</f>
        <v>1503130057</v>
      </c>
    </row>
    <row r="627" spans="1:10" x14ac:dyDescent="0.15">
      <c r="A627" s="406" t="str">
        <f t="shared" si="9"/>
        <v>明野西ＪＦＣ_14</v>
      </c>
      <c r="B627" s="218" t="s">
        <v>1206</v>
      </c>
      <c r="C627" s="218" t="str">
        <f>("14")</f>
        <v>14</v>
      </c>
      <c r="D627" s="218" t="s">
        <v>615</v>
      </c>
      <c r="E627" s="218" t="s">
        <v>7810</v>
      </c>
      <c r="F627" s="218" t="s">
        <v>7811</v>
      </c>
      <c r="G627" s="218">
        <v>5</v>
      </c>
      <c r="H627" s="218" t="s">
        <v>614</v>
      </c>
      <c r="I627" s="218" t="str">
        <f>("1501140115")</f>
        <v>1501140115</v>
      </c>
    </row>
    <row r="628" spans="1:10" x14ac:dyDescent="0.15">
      <c r="A628" s="406" t="str">
        <f t="shared" si="9"/>
        <v>明野西ＪＦＣ_15</v>
      </c>
      <c r="B628" s="218" t="s">
        <v>1206</v>
      </c>
      <c r="C628" s="218" t="str">
        <f>("15")</f>
        <v>15</v>
      </c>
      <c r="D628" s="218" t="s">
        <v>615</v>
      </c>
      <c r="E628" s="218" t="s">
        <v>7812</v>
      </c>
      <c r="F628" s="218" t="s">
        <v>7813</v>
      </c>
      <c r="G628" s="218">
        <v>4</v>
      </c>
      <c r="H628" s="218" t="s">
        <v>614</v>
      </c>
      <c r="I628" s="218" t="str">
        <f>("1602090019")</f>
        <v>1602090019</v>
      </c>
    </row>
    <row r="629" spans="1:10" x14ac:dyDescent="0.15">
      <c r="A629" s="406" t="str">
        <f t="shared" si="9"/>
        <v>明野西ＪＦＣ_16</v>
      </c>
      <c r="B629" s="218" t="s">
        <v>1206</v>
      </c>
      <c r="C629" s="218" t="str">
        <f>("16")</f>
        <v>16</v>
      </c>
      <c r="D629" s="218" t="s">
        <v>615</v>
      </c>
      <c r="E629" s="218" t="s">
        <v>7814</v>
      </c>
      <c r="F629" s="218" t="s">
        <v>7815</v>
      </c>
      <c r="G629" s="218">
        <v>4</v>
      </c>
      <c r="H629" s="218" t="s">
        <v>614</v>
      </c>
      <c r="I629" s="218" t="str">
        <f>("1510240076")</f>
        <v>1510240076</v>
      </c>
    </row>
    <row r="630" spans="1:10" x14ac:dyDescent="0.15">
      <c r="A630" s="406" t="str">
        <f t="shared" si="9"/>
        <v>金池長浜サッカースポーツ少年団_1</v>
      </c>
      <c r="B630" s="218" t="s">
        <v>1216</v>
      </c>
      <c r="C630" s="218" t="str">
        <f>("1")</f>
        <v>1</v>
      </c>
      <c r="D630" s="218" t="s">
        <v>624</v>
      </c>
      <c r="E630" s="218" t="s">
        <v>7816</v>
      </c>
      <c r="F630" s="218" t="s">
        <v>7817</v>
      </c>
      <c r="G630" s="218">
        <v>6</v>
      </c>
      <c r="H630" s="218" t="s">
        <v>614</v>
      </c>
      <c r="I630" s="218" t="str">
        <f>("1305200129")</f>
        <v>1305200129</v>
      </c>
      <c r="J630" s="218" t="s">
        <v>159</v>
      </c>
    </row>
    <row r="631" spans="1:10" x14ac:dyDescent="0.15">
      <c r="A631" s="406" t="str">
        <f t="shared" si="9"/>
        <v>金池長浜サッカースポーツ少年団_2</v>
      </c>
      <c r="B631" s="218" t="s">
        <v>1216</v>
      </c>
      <c r="C631" s="218" t="str">
        <f>("2")</f>
        <v>2</v>
      </c>
      <c r="D631" s="218" t="s">
        <v>611</v>
      </c>
      <c r="E631" s="218" t="s">
        <v>7818</v>
      </c>
      <c r="F631" s="218" t="s">
        <v>7819</v>
      </c>
      <c r="G631" s="218">
        <v>6</v>
      </c>
      <c r="H631" s="218" t="s">
        <v>614</v>
      </c>
      <c r="I631" s="218" t="str">
        <f>("1310050095")</f>
        <v>1310050095</v>
      </c>
    </row>
    <row r="632" spans="1:10" x14ac:dyDescent="0.15">
      <c r="A632" s="406" t="str">
        <f t="shared" si="9"/>
        <v>金池長浜サッカースポーツ少年団_3</v>
      </c>
      <c r="B632" s="218" t="s">
        <v>1216</v>
      </c>
      <c r="C632" s="218" t="str">
        <f>("3")</f>
        <v>3</v>
      </c>
      <c r="D632" s="218" t="s">
        <v>611</v>
      </c>
      <c r="E632" s="218" t="s">
        <v>7820</v>
      </c>
      <c r="F632" s="218" t="s">
        <v>7821</v>
      </c>
      <c r="G632" s="218">
        <v>6</v>
      </c>
      <c r="H632" s="218" t="s">
        <v>614</v>
      </c>
      <c r="I632" s="218" t="str">
        <f>("1311090152")</f>
        <v>1311090152</v>
      </c>
    </row>
    <row r="633" spans="1:10" x14ac:dyDescent="0.15">
      <c r="A633" s="406" t="str">
        <f t="shared" si="9"/>
        <v>金池長浜サッカースポーツ少年団_4</v>
      </c>
      <c r="B633" s="218" t="s">
        <v>1216</v>
      </c>
      <c r="C633" s="218" t="str">
        <f>("4")</f>
        <v>4</v>
      </c>
      <c r="D633" s="218" t="s">
        <v>615</v>
      </c>
      <c r="E633" s="218" t="s">
        <v>7822</v>
      </c>
      <c r="F633" s="218" t="s">
        <v>7823</v>
      </c>
      <c r="G633" s="218">
        <v>6</v>
      </c>
      <c r="H633" s="218" t="s">
        <v>614</v>
      </c>
      <c r="I633" s="218" t="str">
        <f>("1307190278")</f>
        <v>1307190278</v>
      </c>
    </row>
    <row r="634" spans="1:10" x14ac:dyDescent="0.15">
      <c r="A634" s="406" t="str">
        <f t="shared" si="9"/>
        <v>金池長浜サッカースポーツ少年団_5</v>
      </c>
      <c r="B634" s="218" t="s">
        <v>1216</v>
      </c>
      <c r="C634" s="218" t="str">
        <f>("5")</f>
        <v>5</v>
      </c>
      <c r="D634" s="218" t="s">
        <v>615</v>
      </c>
      <c r="E634" s="218" t="s">
        <v>7824</v>
      </c>
      <c r="F634" s="218" t="s">
        <v>7825</v>
      </c>
      <c r="G634" s="218">
        <v>6</v>
      </c>
      <c r="H634" s="218" t="s">
        <v>614</v>
      </c>
      <c r="I634" s="218" t="str">
        <f>("1304150047")</f>
        <v>1304150047</v>
      </c>
    </row>
    <row r="635" spans="1:10" x14ac:dyDescent="0.15">
      <c r="A635" s="406" t="str">
        <f t="shared" si="9"/>
        <v>金池長浜サッカースポーツ少年団_6</v>
      </c>
      <c r="B635" s="218" t="s">
        <v>1216</v>
      </c>
      <c r="C635" s="218" t="str">
        <f>("6")</f>
        <v>6</v>
      </c>
      <c r="D635" s="218" t="s">
        <v>615</v>
      </c>
      <c r="E635" s="218" t="s">
        <v>1227</v>
      </c>
      <c r="F635" s="218" t="s">
        <v>1228</v>
      </c>
      <c r="G635" s="218">
        <v>6</v>
      </c>
      <c r="H635" s="218" t="s">
        <v>614</v>
      </c>
      <c r="I635" s="218" t="str">
        <f>("1310120007")</f>
        <v>1310120007</v>
      </c>
    </row>
    <row r="636" spans="1:10" x14ac:dyDescent="0.15">
      <c r="A636" s="406" t="str">
        <f t="shared" si="9"/>
        <v>金池長浜サッカースポーツ少年団_7</v>
      </c>
      <c r="B636" s="218" t="s">
        <v>1216</v>
      </c>
      <c r="C636" s="218" t="str">
        <f>("7")</f>
        <v>7</v>
      </c>
      <c r="D636" s="218" t="s">
        <v>611</v>
      </c>
      <c r="E636" s="218" t="s">
        <v>1217</v>
      </c>
      <c r="F636" s="218" t="s">
        <v>1218</v>
      </c>
      <c r="G636" s="218">
        <v>6</v>
      </c>
      <c r="H636" s="218" t="s">
        <v>614</v>
      </c>
      <c r="I636" s="218" t="str">
        <f>("1402140011")</f>
        <v>1402140011</v>
      </c>
    </row>
    <row r="637" spans="1:10" x14ac:dyDescent="0.15">
      <c r="A637" s="406" t="str">
        <f t="shared" si="9"/>
        <v>金池長浜サッカースポーツ少年団_8</v>
      </c>
      <c r="B637" s="218" t="s">
        <v>1216</v>
      </c>
      <c r="C637" s="218" t="str">
        <f>("8")</f>
        <v>8</v>
      </c>
      <c r="D637" s="218" t="s">
        <v>615</v>
      </c>
      <c r="E637" s="218" t="s">
        <v>7826</v>
      </c>
      <c r="F637" s="218" t="s">
        <v>7827</v>
      </c>
      <c r="G637" s="218">
        <v>6</v>
      </c>
      <c r="H637" s="218" t="s">
        <v>614</v>
      </c>
      <c r="I637" s="218" t="str">
        <f>("1312160014")</f>
        <v>1312160014</v>
      </c>
    </row>
    <row r="638" spans="1:10" x14ac:dyDescent="0.15">
      <c r="A638" s="406" t="str">
        <f t="shared" si="9"/>
        <v>金池長浜サッカースポーツ少年団_9</v>
      </c>
      <c r="B638" s="218" t="s">
        <v>1216</v>
      </c>
      <c r="C638" s="218" t="str">
        <f>("9")</f>
        <v>9</v>
      </c>
      <c r="D638" s="218" t="s">
        <v>623</v>
      </c>
      <c r="E638" s="218" t="s">
        <v>1225</v>
      </c>
      <c r="F638" s="218" t="s">
        <v>1226</v>
      </c>
      <c r="G638" s="218">
        <v>6</v>
      </c>
      <c r="H638" s="218" t="s">
        <v>614</v>
      </c>
      <c r="I638" s="218" t="str">
        <f>("1312310016")</f>
        <v>1312310016</v>
      </c>
    </row>
    <row r="639" spans="1:10" x14ac:dyDescent="0.15">
      <c r="A639" s="406" t="str">
        <f t="shared" si="9"/>
        <v>金池長浜サッカースポーツ少年団_10</v>
      </c>
      <c r="B639" s="218" t="s">
        <v>1216</v>
      </c>
      <c r="C639" s="218" t="str">
        <f>("10")</f>
        <v>10</v>
      </c>
      <c r="D639" s="218" t="s">
        <v>611</v>
      </c>
      <c r="E639" s="218" t="s">
        <v>1223</v>
      </c>
      <c r="F639" s="218" t="s">
        <v>1224</v>
      </c>
      <c r="G639" s="218">
        <v>6</v>
      </c>
      <c r="H639" s="218" t="s">
        <v>614</v>
      </c>
      <c r="I639" s="218" t="str">
        <f>("1402140032")</f>
        <v>1402140032</v>
      </c>
    </row>
    <row r="640" spans="1:10" x14ac:dyDescent="0.15">
      <c r="A640" s="406" t="str">
        <f t="shared" si="9"/>
        <v>金池長浜サッカースポーツ少年団_11</v>
      </c>
      <c r="B640" s="218" t="s">
        <v>1216</v>
      </c>
      <c r="C640" s="218" t="str">
        <f>("11")</f>
        <v>11</v>
      </c>
      <c r="D640" s="218" t="s">
        <v>623</v>
      </c>
      <c r="E640" s="218" t="s">
        <v>7828</v>
      </c>
      <c r="F640" s="218" t="s">
        <v>7829</v>
      </c>
      <c r="G640" s="218">
        <v>5</v>
      </c>
      <c r="H640" s="218" t="s">
        <v>614</v>
      </c>
      <c r="I640" s="218" t="str">
        <f>("1409050011")</f>
        <v>1409050011</v>
      </c>
    </row>
    <row r="641" spans="1:10" x14ac:dyDescent="0.15">
      <c r="A641" s="406" t="str">
        <f t="shared" ref="A641:A704" si="10">CONCATENATE(B641,"_",C641)</f>
        <v>金池長浜サッカースポーツ少年団_12</v>
      </c>
      <c r="B641" s="218" t="s">
        <v>1216</v>
      </c>
      <c r="C641" s="218" t="str">
        <f>("12")</f>
        <v>12</v>
      </c>
      <c r="D641" s="218" t="s">
        <v>623</v>
      </c>
      <c r="E641" s="218" t="s">
        <v>7830</v>
      </c>
      <c r="F641" s="218" t="s">
        <v>7831</v>
      </c>
      <c r="G641" s="218">
        <v>5</v>
      </c>
      <c r="H641" s="218" t="s">
        <v>614</v>
      </c>
      <c r="I641" s="218" t="str">
        <f>("1612100015")</f>
        <v>1612100015</v>
      </c>
    </row>
    <row r="642" spans="1:10" x14ac:dyDescent="0.15">
      <c r="A642" s="406" t="str">
        <f t="shared" si="10"/>
        <v>金池長浜サッカースポーツ少年団_13</v>
      </c>
      <c r="B642" s="218" t="s">
        <v>1216</v>
      </c>
      <c r="C642" s="218" t="str">
        <f>("13")</f>
        <v>13</v>
      </c>
      <c r="D642" s="218" t="s">
        <v>615</v>
      </c>
      <c r="E642" s="218" t="s">
        <v>7832</v>
      </c>
      <c r="F642" s="218" t="s">
        <v>7833</v>
      </c>
      <c r="G642" s="218">
        <v>5</v>
      </c>
      <c r="H642" s="218" t="s">
        <v>614</v>
      </c>
      <c r="I642" s="218" t="str">
        <f>("1404030065")</f>
        <v>1404030065</v>
      </c>
    </row>
    <row r="643" spans="1:10" x14ac:dyDescent="0.15">
      <c r="A643" s="406" t="str">
        <f t="shared" si="10"/>
        <v>金池長浜サッカースポーツ少年団_15</v>
      </c>
      <c r="B643" s="218" t="s">
        <v>1216</v>
      </c>
      <c r="C643" s="218" t="str">
        <f>("15")</f>
        <v>15</v>
      </c>
      <c r="D643" s="218" t="s">
        <v>615</v>
      </c>
      <c r="E643" s="218" t="s">
        <v>7834</v>
      </c>
      <c r="F643" s="218" t="s">
        <v>7835</v>
      </c>
      <c r="G643" s="218">
        <v>5</v>
      </c>
      <c r="H643" s="218" t="s">
        <v>614</v>
      </c>
      <c r="I643" s="218" t="str">
        <f>("1406190118")</f>
        <v>1406190118</v>
      </c>
    </row>
    <row r="644" spans="1:10" x14ac:dyDescent="0.15">
      <c r="A644" s="406" t="str">
        <f t="shared" si="10"/>
        <v>金池長浜サッカースポーツ少年団_16</v>
      </c>
      <c r="B644" s="218" t="s">
        <v>1216</v>
      </c>
      <c r="C644" s="218" t="str">
        <f>("16")</f>
        <v>16</v>
      </c>
      <c r="D644" s="218" t="s">
        <v>624</v>
      </c>
      <c r="E644" s="218" t="s">
        <v>7836</v>
      </c>
      <c r="F644" s="218" t="s">
        <v>7837</v>
      </c>
      <c r="G644" s="218">
        <v>5</v>
      </c>
      <c r="H644" s="218" t="s">
        <v>614</v>
      </c>
      <c r="I644" s="218" t="str">
        <f>("1411160126")</f>
        <v>1411160126</v>
      </c>
    </row>
    <row r="645" spans="1:10" x14ac:dyDescent="0.15">
      <c r="A645" s="406" t="str">
        <f t="shared" si="10"/>
        <v>金池長浜サッカースポーツ少年団_20</v>
      </c>
      <c r="B645" s="218" t="s">
        <v>1216</v>
      </c>
      <c r="C645" s="218" t="str">
        <f>("20")</f>
        <v>20</v>
      </c>
      <c r="D645" s="218" t="s">
        <v>611</v>
      </c>
      <c r="E645" s="218" t="s">
        <v>7838</v>
      </c>
      <c r="F645" s="218" t="s">
        <v>7839</v>
      </c>
      <c r="G645" s="218">
        <v>5</v>
      </c>
      <c r="H645" s="218" t="s">
        <v>614</v>
      </c>
      <c r="I645" s="218" t="str">
        <f>("1408260031")</f>
        <v>1408260031</v>
      </c>
    </row>
    <row r="646" spans="1:10" x14ac:dyDescent="0.15">
      <c r="A646" s="406" t="str">
        <f t="shared" si="10"/>
        <v>八幡サッカースポーツ少年団_1</v>
      </c>
      <c r="B646" s="218" t="s">
        <v>1229</v>
      </c>
      <c r="C646" s="218" t="str">
        <f>("1")</f>
        <v>1</v>
      </c>
      <c r="D646" s="218" t="s">
        <v>615</v>
      </c>
      <c r="E646" s="218" t="s">
        <v>7840</v>
      </c>
      <c r="F646" s="218" t="s">
        <v>7841</v>
      </c>
      <c r="G646" s="218">
        <v>4</v>
      </c>
      <c r="H646" s="218" t="s">
        <v>614</v>
      </c>
      <c r="I646" s="218" t="str">
        <f>("1507120078")</f>
        <v>1507120078</v>
      </c>
    </row>
    <row r="647" spans="1:10" x14ac:dyDescent="0.15">
      <c r="A647" s="406" t="str">
        <f t="shared" si="10"/>
        <v>八幡サッカースポーツ少年団_2</v>
      </c>
      <c r="B647" s="218" t="s">
        <v>1229</v>
      </c>
      <c r="C647" s="218" t="str">
        <f>("2")</f>
        <v>2</v>
      </c>
      <c r="D647" s="218" t="s">
        <v>615</v>
      </c>
      <c r="E647" s="218" t="s">
        <v>7842</v>
      </c>
      <c r="F647" s="218" t="s">
        <v>7843</v>
      </c>
      <c r="G647" s="218">
        <v>5</v>
      </c>
      <c r="H647" s="218" t="s">
        <v>614</v>
      </c>
      <c r="I647" s="218" t="str">
        <f>("1502250170")</f>
        <v>1502250170</v>
      </c>
    </row>
    <row r="648" spans="1:10" x14ac:dyDescent="0.15">
      <c r="A648" s="406" t="str">
        <f t="shared" si="10"/>
        <v>八幡サッカースポーツ少年団_3</v>
      </c>
      <c r="B648" s="218" t="s">
        <v>1229</v>
      </c>
      <c r="C648" s="218" t="str">
        <f>("3")</f>
        <v>3</v>
      </c>
      <c r="D648" s="218" t="s">
        <v>615</v>
      </c>
      <c r="E648" s="218" t="s">
        <v>7844</v>
      </c>
      <c r="F648" s="218" t="s">
        <v>4973</v>
      </c>
      <c r="G648" s="218">
        <v>3</v>
      </c>
      <c r="H648" s="218" t="s">
        <v>614</v>
      </c>
      <c r="I648" s="218" t="str">
        <f>("1407210143")</f>
        <v>1407210143</v>
      </c>
    </row>
    <row r="649" spans="1:10" x14ac:dyDescent="0.15">
      <c r="A649" s="406" t="str">
        <f t="shared" si="10"/>
        <v>八幡サッカースポーツ少年団_4</v>
      </c>
      <c r="B649" s="218" t="s">
        <v>1229</v>
      </c>
      <c r="C649" s="218" t="str">
        <f>("4")</f>
        <v>4</v>
      </c>
      <c r="D649" s="218" t="s">
        <v>615</v>
      </c>
      <c r="E649" s="218" t="s">
        <v>7845</v>
      </c>
      <c r="F649" s="218" t="s">
        <v>7846</v>
      </c>
      <c r="G649" s="218">
        <v>6</v>
      </c>
      <c r="H649" s="218" t="s">
        <v>614</v>
      </c>
      <c r="I649" s="218" t="str">
        <f>("1312260229")</f>
        <v>1312260229</v>
      </c>
    </row>
    <row r="650" spans="1:10" x14ac:dyDescent="0.15">
      <c r="A650" s="406" t="str">
        <f t="shared" si="10"/>
        <v>八幡サッカースポーツ少年団_5</v>
      </c>
      <c r="B650" s="218" t="s">
        <v>1229</v>
      </c>
      <c r="C650" s="218" t="str">
        <f>("5")</f>
        <v>5</v>
      </c>
      <c r="D650" s="218" t="s">
        <v>615</v>
      </c>
      <c r="E650" s="218" t="s">
        <v>7847</v>
      </c>
      <c r="F650" s="218" t="s">
        <v>7848</v>
      </c>
      <c r="G650" s="218">
        <v>4</v>
      </c>
      <c r="H650" s="218" t="s">
        <v>614</v>
      </c>
      <c r="I650" s="218" t="str">
        <f>("1601220127")</f>
        <v>1601220127</v>
      </c>
    </row>
    <row r="651" spans="1:10" x14ac:dyDescent="0.15">
      <c r="A651" s="406" t="str">
        <f t="shared" si="10"/>
        <v>八幡サッカースポーツ少年団_6</v>
      </c>
      <c r="B651" s="218" t="s">
        <v>1229</v>
      </c>
      <c r="C651" s="218" t="str">
        <f>("6")</f>
        <v>6</v>
      </c>
      <c r="D651" s="218" t="s">
        <v>611</v>
      </c>
      <c r="E651" s="218" t="s">
        <v>1230</v>
      </c>
      <c r="F651" s="218" t="s">
        <v>1231</v>
      </c>
      <c r="G651" s="218">
        <v>4</v>
      </c>
      <c r="H651" s="218" t="s">
        <v>614</v>
      </c>
      <c r="I651" s="218" t="str">
        <f>("1504220025")</f>
        <v>1504220025</v>
      </c>
    </row>
    <row r="652" spans="1:10" x14ac:dyDescent="0.15">
      <c r="A652" s="406" t="str">
        <f t="shared" si="10"/>
        <v>八幡サッカースポーツ少年団_7</v>
      </c>
      <c r="B652" s="218" t="s">
        <v>1229</v>
      </c>
      <c r="C652" s="218" t="str">
        <f>("7")</f>
        <v>7</v>
      </c>
      <c r="D652" s="218" t="s">
        <v>611</v>
      </c>
      <c r="E652" s="218" t="s">
        <v>1232</v>
      </c>
      <c r="F652" s="218" t="s">
        <v>1233</v>
      </c>
      <c r="G652" s="218">
        <v>4</v>
      </c>
      <c r="H652" s="218" t="s">
        <v>614</v>
      </c>
      <c r="I652" s="218" t="str">
        <f>("1511050007")</f>
        <v>1511050007</v>
      </c>
    </row>
    <row r="653" spans="1:10" x14ac:dyDescent="0.15">
      <c r="A653" s="406" t="str">
        <f t="shared" si="10"/>
        <v>八幡サッカースポーツ少年団_8</v>
      </c>
      <c r="B653" s="218" t="s">
        <v>1229</v>
      </c>
      <c r="C653" s="218" t="str">
        <f>("8")</f>
        <v>8</v>
      </c>
      <c r="D653" s="218" t="s">
        <v>611</v>
      </c>
      <c r="E653" s="218" t="s">
        <v>1234</v>
      </c>
      <c r="F653" s="218" t="s">
        <v>1235</v>
      </c>
      <c r="G653" s="218">
        <v>6</v>
      </c>
      <c r="H653" s="218" t="s">
        <v>614</v>
      </c>
      <c r="I653" s="218" t="str">
        <f>("1309050027")</f>
        <v>1309050027</v>
      </c>
      <c r="J653" s="218" t="s">
        <v>159</v>
      </c>
    </row>
    <row r="654" spans="1:10" x14ac:dyDescent="0.15">
      <c r="A654" s="406" t="str">
        <f t="shared" si="10"/>
        <v>八幡サッカースポーツ少年団_9</v>
      </c>
      <c r="B654" s="218" t="s">
        <v>1229</v>
      </c>
      <c r="C654" s="218" t="str">
        <f>("9")</f>
        <v>9</v>
      </c>
      <c r="D654" s="218" t="s">
        <v>615</v>
      </c>
      <c r="E654" s="218" t="s">
        <v>7849</v>
      </c>
      <c r="F654" s="218" t="s">
        <v>7850</v>
      </c>
      <c r="G654" s="218">
        <v>6</v>
      </c>
      <c r="H654" s="218" t="s">
        <v>614</v>
      </c>
      <c r="I654" s="218" t="str">
        <f>("1305290237")</f>
        <v>1305290237</v>
      </c>
    </row>
    <row r="655" spans="1:10" x14ac:dyDescent="0.15">
      <c r="A655" s="406" t="str">
        <f t="shared" si="10"/>
        <v>八幡サッカースポーツ少年団_11</v>
      </c>
      <c r="B655" s="218" t="s">
        <v>1229</v>
      </c>
      <c r="C655" s="218" t="str">
        <f>("11")</f>
        <v>11</v>
      </c>
      <c r="D655" s="218" t="s">
        <v>615</v>
      </c>
      <c r="E655" s="218" t="s">
        <v>1236</v>
      </c>
      <c r="F655" s="218" t="s">
        <v>1237</v>
      </c>
      <c r="G655" s="218">
        <v>4</v>
      </c>
      <c r="H655" s="218" t="s">
        <v>614</v>
      </c>
      <c r="I655" s="218" t="str">
        <f>("1510030001")</f>
        <v>1510030001</v>
      </c>
    </row>
    <row r="656" spans="1:10" x14ac:dyDescent="0.15">
      <c r="A656" s="406" t="str">
        <f t="shared" si="10"/>
        <v>八幡サッカースポーツ少年団_13</v>
      </c>
      <c r="B656" s="218" t="s">
        <v>1229</v>
      </c>
      <c r="C656" s="218" t="str">
        <f>("13")</f>
        <v>13</v>
      </c>
      <c r="D656" s="218" t="s">
        <v>615</v>
      </c>
      <c r="E656" s="218" t="s">
        <v>7851</v>
      </c>
      <c r="F656" s="218" t="s">
        <v>7852</v>
      </c>
      <c r="G656" s="218">
        <v>2</v>
      </c>
      <c r="H656" s="218" t="s">
        <v>614</v>
      </c>
      <c r="I656" s="218" t="str">
        <f>("1709260014")</f>
        <v>1709260014</v>
      </c>
    </row>
    <row r="657" spans="1:10" x14ac:dyDescent="0.15">
      <c r="A657" s="406" t="str">
        <f t="shared" si="10"/>
        <v>八幡サッカースポーツ少年団_14</v>
      </c>
      <c r="B657" s="218" t="s">
        <v>1229</v>
      </c>
      <c r="C657" s="218" t="str">
        <f>("14")</f>
        <v>14</v>
      </c>
      <c r="D657" s="218" t="s">
        <v>615</v>
      </c>
      <c r="E657" s="218" t="s">
        <v>7853</v>
      </c>
      <c r="F657" s="218" t="s">
        <v>7854</v>
      </c>
      <c r="G657" s="218">
        <v>1</v>
      </c>
      <c r="H657" s="218" t="s">
        <v>614</v>
      </c>
      <c r="I657" s="218" t="str">
        <f>("1809300002")</f>
        <v>1809300002</v>
      </c>
    </row>
    <row r="658" spans="1:10" x14ac:dyDescent="0.15">
      <c r="A658" s="406" t="str">
        <f t="shared" si="10"/>
        <v>八幡サッカースポーツ少年団_15</v>
      </c>
      <c r="B658" s="218" t="s">
        <v>1229</v>
      </c>
      <c r="C658" s="218" t="str">
        <f>("15")</f>
        <v>15</v>
      </c>
      <c r="D658" s="218" t="s">
        <v>615</v>
      </c>
      <c r="E658" s="218" t="s">
        <v>7855</v>
      </c>
      <c r="F658" s="218" t="s">
        <v>7856</v>
      </c>
      <c r="G658" s="218">
        <v>3</v>
      </c>
      <c r="H658" s="218" t="s">
        <v>614</v>
      </c>
      <c r="I658" s="218" t="str">
        <f>("1702020072")</f>
        <v>1702020072</v>
      </c>
    </row>
    <row r="659" spans="1:10" x14ac:dyDescent="0.15">
      <c r="A659" s="406" t="str">
        <f t="shared" si="10"/>
        <v>八幡サッカースポーツ少年団_16</v>
      </c>
      <c r="B659" s="218" t="s">
        <v>1229</v>
      </c>
      <c r="C659" s="218" t="str">
        <f>("16")</f>
        <v>16</v>
      </c>
      <c r="D659" s="218" t="s">
        <v>615</v>
      </c>
      <c r="E659" s="218" t="s">
        <v>7857</v>
      </c>
      <c r="F659" s="218" t="s">
        <v>7858</v>
      </c>
      <c r="G659" s="218">
        <v>2</v>
      </c>
      <c r="H659" s="218" t="s">
        <v>614</v>
      </c>
      <c r="I659" s="218" t="str">
        <f>("1709180016")</f>
        <v>1709180016</v>
      </c>
    </row>
    <row r="660" spans="1:10" x14ac:dyDescent="0.15">
      <c r="A660" s="406" t="str">
        <f t="shared" si="10"/>
        <v>八幡サッカースポーツ少年団_17</v>
      </c>
      <c r="B660" s="218" t="s">
        <v>1229</v>
      </c>
      <c r="C660" s="218" t="str">
        <f>("17")</f>
        <v>17</v>
      </c>
      <c r="D660" s="218" t="s">
        <v>624</v>
      </c>
      <c r="E660" s="218" t="s">
        <v>7859</v>
      </c>
      <c r="F660" s="218" t="s">
        <v>7860</v>
      </c>
      <c r="G660" s="218">
        <v>3</v>
      </c>
      <c r="H660" s="218" t="s">
        <v>614</v>
      </c>
      <c r="I660" s="218" t="str">
        <f>("1702240008")</f>
        <v>1702240008</v>
      </c>
    </row>
    <row r="661" spans="1:10" x14ac:dyDescent="0.15">
      <c r="A661" s="406" t="str">
        <f t="shared" si="10"/>
        <v>稙田ＦＣサッカースポーツ少年団_1</v>
      </c>
      <c r="B661" s="218" t="s">
        <v>1244</v>
      </c>
      <c r="C661" s="218" t="str">
        <f>("1")</f>
        <v>1</v>
      </c>
      <c r="D661" s="218" t="s">
        <v>624</v>
      </c>
      <c r="E661" s="218" t="s">
        <v>7861</v>
      </c>
      <c r="F661" s="218" t="s">
        <v>7862</v>
      </c>
      <c r="G661" s="218">
        <v>6</v>
      </c>
      <c r="H661" s="218" t="s">
        <v>614</v>
      </c>
      <c r="I661" s="218" t="str">
        <f>("1304160148")</f>
        <v>1304160148</v>
      </c>
    </row>
    <row r="662" spans="1:10" x14ac:dyDescent="0.15">
      <c r="A662" s="406" t="str">
        <f t="shared" si="10"/>
        <v>稙田ＦＣサッカースポーツ少年団_2</v>
      </c>
      <c r="B662" s="218" t="s">
        <v>1244</v>
      </c>
      <c r="C662" s="218" t="str">
        <f>("2")</f>
        <v>2</v>
      </c>
      <c r="D662" s="218" t="s">
        <v>611</v>
      </c>
      <c r="E662" s="218" t="s">
        <v>7863</v>
      </c>
      <c r="F662" s="218" t="s">
        <v>7864</v>
      </c>
      <c r="G662" s="218">
        <v>6</v>
      </c>
      <c r="H662" s="218" t="s">
        <v>614</v>
      </c>
      <c r="I662" s="218" t="str">
        <f>("1306150218")</f>
        <v>1306150218</v>
      </c>
    </row>
    <row r="663" spans="1:10" x14ac:dyDescent="0.15">
      <c r="A663" s="406" t="str">
        <f t="shared" si="10"/>
        <v>稙田ＦＣサッカースポーツ少年団_3</v>
      </c>
      <c r="B663" s="218" t="s">
        <v>1244</v>
      </c>
      <c r="C663" s="218" t="str">
        <f>("3")</f>
        <v>3</v>
      </c>
      <c r="D663" s="218" t="s">
        <v>611</v>
      </c>
      <c r="E663" s="218" t="s">
        <v>7865</v>
      </c>
      <c r="F663" s="218" t="s">
        <v>7866</v>
      </c>
      <c r="G663" s="218">
        <v>6</v>
      </c>
      <c r="H663" s="218" t="s">
        <v>614</v>
      </c>
      <c r="I663" s="218" t="str">
        <f>("1403270101")</f>
        <v>1403270101</v>
      </c>
    </row>
    <row r="664" spans="1:10" x14ac:dyDescent="0.15">
      <c r="A664" s="406" t="str">
        <f t="shared" si="10"/>
        <v>稙田ＦＣサッカースポーツ少年団_5</v>
      </c>
      <c r="B664" s="218" t="s">
        <v>1244</v>
      </c>
      <c r="C664" s="218" t="str">
        <f>("5")</f>
        <v>5</v>
      </c>
      <c r="D664" s="218" t="s">
        <v>615</v>
      </c>
      <c r="E664" s="218" t="s">
        <v>7867</v>
      </c>
      <c r="F664" s="218" t="s">
        <v>7868</v>
      </c>
      <c r="G664" s="218">
        <v>6</v>
      </c>
      <c r="H664" s="218" t="s">
        <v>614</v>
      </c>
      <c r="I664" s="218" t="str">
        <f>("1308040141")</f>
        <v>1308040141</v>
      </c>
    </row>
    <row r="665" spans="1:10" x14ac:dyDescent="0.15">
      <c r="A665" s="406" t="str">
        <f t="shared" si="10"/>
        <v>稙田ＦＣサッカースポーツ少年団_6</v>
      </c>
      <c r="B665" s="218" t="s">
        <v>1244</v>
      </c>
      <c r="C665" s="218" t="str">
        <f>("6")</f>
        <v>6</v>
      </c>
      <c r="D665" s="218" t="s">
        <v>623</v>
      </c>
      <c r="E665" s="218" t="s">
        <v>7869</v>
      </c>
      <c r="F665" s="218" t="s">
        <v>7870</v>
      </c>
      <c r="G665" s="218">
        <v>6</v>
      </c>
      <c r="H665" s="218" t="s">
        <v>614</v>
      </c>
      <c r="I665" s="218" t="str">
        <f>("1309300243")</f>
        <v>1309300243</v>
      </c>
    </row>
    <row r="666" spans="1:10" x14ac:dyDescent="0.15">
      <c r="A666" s="406" t="str">
        <f t="shared" si="10"/>
        <v>稙田ＦＣサッカースポーツ少年団_7</v>
      </c>
      <c r="B666" s="218" t="s">
        <v>1244</v>
      </c>
      <c r="C666" s="218" t="str">
        <f>("7")</f>
        <v>7</v>
      </c>
      <c r="D666" s="218" t="s">
        <v>615</v>
      </c>
      <c r="E666" s="218" t="s">
        <v>1247</v>
      </c>
      <c r="F666" s="218" t="s">
        <v>1248</v>
      </c>
      <c r="G666" s="218">
        <v>6</v>
      </c>
      <c r="H666" s="218" t="s">
        <v>614</v>
      </c>
      <c r="I666" s="218" t="str">
        <f>("1312100111")</f>
        <v>1312100111</v>
      </c>
      <c r="J666" s="218" t="s">
        <v>159</v>
      </c>
    </row>
    <row r="667" spans="1:10" x14ac:dyDescent="0.15">
      <c r="A667" s="406" t="str">
        <f t="shared" si="10"/>
        <v>稙田ＦＣサッカースポーツ少年団_8</v>
      </c>
      <c r="B667" s="218" t="s">
        <v>1244</v>
      </c>
      <c r="C667" s="218" t="str">
        <f>("8")</f>
        <v>8</v>
      </c>
      <c r="D667" s="218" t="s">
        <v>615</v>
      </c>
      <c r="E667" s="218" t="s">
        <v>7871</v>
      </c>
      <c r="F667" s="218" t="s">
        <v>7872</v>
      </c>
      <c r="G667" s="218">
        <v>6</v>
      </c>
      <c r="H667" s="218" t="s">
        <v>614</v>
      </c>
      <c r="I667" s="218" t="str">
        <f>("1403180208")</f>
        <v>1403180208</v>
      </c>
    </row>
    <row r="668" spans="1:10" x14ac:dyDescent="0.15">
      <c r="A668" s="406" t="str">
        <f t="shared" si="10"/>
        <v>稙田ＦＣサッカースポーツ少年団_9</v>
      </c>
      <c r="B668" s="218" t="s">
        <v>1244</v>
      </c>
      <c r="C668" s="218" t="str">
        <f>("9")</f>
        <v>9</v>
      </c>
      <c r="D668" s="218" t="s">
        <v>623</v>
      </c>
      <c r="E668" s="218" t="s">
        <v>7873</v>
      </c>
      <c r="F668" s="218" t="s">
        <v>7874</v>
      </c>
      <c r="G668" s="218">
        <v>6</v>
      </c>
      <c r="H668" s="218" t="s">
        <v>614</v>
      </c>
      <c r="I668" s="218" t="str">
        <f>("1402030115")</f>
        <v>1402030115</v>
      </c>
    </row>
    <row r="669" spans="1:10" x14ac:dyDescent="0.15">
      <c r="A669" s="406" t="str">
        <f t="shared" si="10"/>
        <v>稙田ＦＣサッカースポーツ少年団_11</v>
      </c>
      <c r="B669" s="218" t="s">
        <v>1244</v>
      </c>
      <c r="C669" s="218" t="str">
        <f>("11")</f>
        <v>11</v>
      </c>
      <c r="D669" s="218" t="s">
        <v>611</v>
      </c>
      <c r="E669" s="218" t="s">
        <v>7875</v>
      </c>
      <c r="F669" s="218" t="s">
        <v>7876</v>
      </c>
      <c r="G669" s="218">
        <v>6</v>
      </c>
      <c r="H669" s="218" t="s">
        <v>614</v>
      </c>
      <c r="I669" s="218" t="str">
        <f>("1310050196")</f>
        <v>1310050196</v>
      </c>
    </row>
    <row r="670" spans="1:10" x14ac:dyDescent="0.15">
      <c r="A670" s="406" t="str">
        <f t="shared" si="10"/>
        <v>稙田ＦＣサッカースポーツ少年団_12</v>
      </c>
      <c r="B670" s="218" t="s">
        <v>1244</v>
      </c>
      <c r="C670" s="218" t="str">
        <f>("12")</f>
        <v>12</v>
      </c>
      <c r="D670" s="218" t="s">
        <v>624</v>
      </c>
      <c r="E670" s="218" t="s">
        <v>7877</v>
      </c>
      <c r="F670" s="218" t="s">
        <v>7878</v>
      </c>
      <c r="G670" s="218">
        <v>5</v>
      </c>
      <c r="H670" s="218" t="s">
        <v>614</v>
      </c>
      <c r="I670" s="218" t="str">
        <f>("1404210194")</f>
        <v>1404210194</v>
      </c>
    </row>
    <row r="671" spans="1:10" x14ac:dyDescent="0.15">
      <c r="A671" s="406" t="str">
        <f t="shared" si="10"/>
        <v>稙田ＦＣサッカースポーツ少年団_13</v>
      </c>
      <c r="B671" s="218" t="s">
        <v>1244</v>
      </c>
      <c r="C671" s="218" t="str">
        <f>("13")</f>
        <v>13</v>
      </c>
      <c r="D671" s="218" t="s">
        <v>615</v>
      </c>
      <c r="E671" s="218" t="s">
        <v>7879</v>
      </c>
      <c r="F671" s="218" t="s">
        <v>7880</v>
      </c>
      <c r="G671" s="218">
        <v>4</v>
      </c>
      <c r="H671" s="218" t="s">
        <v>614</v>
      </c>
      <c r="I671" s="218" t="str">
        <f>("1508250099")</f>
        <v>1508250099</v>
      </c>
    </row>
    <row r="672" spans="1:10" x14ac:dyDescent="0.15">
      <c r="A672" s="406" t="str">
        <f t="shared" si="10"/>
        <v>稙田ＦＣサッカースポーツ少年団_14</v>
      </c>
      <c r="B672" s="218" t="s">
        <v>1244</v>
      </c>
      <c r="C672" s="218" t="str">
        <f>("14")</f>
        <v>14</v>
      </c>
      <c r="D672" s="218" t="s">
        <v>624</v>
      </c>
      <c r="E672" s="218" t="s">
        <v>7881</v>
      </c>
      <c r="F672" s="218" t="s">
        <v>7882</v>
      </c>
      <c r="G672" s="218">
        <v>4</v>
      </c>
      <c r="H672" s="218" t="s">
        <v>614</v>
      </c>
      <c r="I672" s="218" t="str">
        <f>("1511250188")</f>
        <v>1511250188</v>
      </c>
    </row>
    <row r="673" spans="1:10" x14ac:dyDescent="0.15">
      <c r="A673" s="406" t="str">
        <f t="shared" si="10"/>
        <v>稙田ＦＣサッカースポーツ少年団_15</v>
      </c>
      <c r="B673" s="218" t="s">
        <v>1244</v>
      </c>
      <c r="C673" s="218" t="str">
        <f>("15")</f>
        <v>15</v>
      </c>
      <c r="D673" s="218" t="s">
        <v>611</v>
      </c>
      <c r="E673" s="218" t="s">
        <v>7883</v>
      </c>
      <c r="F673" s="218" t="s">
        <v>7884</v>
      </c>
      <c r="G673" s="218">
        <v>4</v>
      </c>
      <c r="H673" s="218" t="s">
        <v>614</v>
      </c>
      <c r="I673" s="218" t="str">
        <f>("1601010050")</f>
        <v>1601010050</v>
      </c>
    </row>
    <row r="674" spans="1:10" x14ac:dyDescent="0.15">
      <c r="A674" s="406" t="str">
        <f t="shared" si="10"/>
        <v>稙田ＦＣサッカースポーツ少年団_16</v>
      </c>
      <c r="B674" s="218" t="s">
        <v>1244</v>
      </c>
      <c r="C674" s="218" t="str">
        <f>("16")</f>
        <v>16</v>
      </c>
      <c r="D674" s="218" t="s">
        <v>611</v>
      </c>
      <c r="E674" s="218" t="s">
        <v>7885</v>
      </c>
      <c r="F674" s="218" t="s">
        <v>7886</v>
      </c>
      <c r="G674" s="218">
        <v>4</v>
      </c>
      <c r="H674" s="218" t="s">
        <v>614</v>
      </c>
      <c r="I674" s="218" t="str">
        <f>("1512220173")</f>
        <v>1512220173</v>
      </c>
    </row>
    <row r="675" spans="1:10" x14ac:dyDescent="0.15">
      <c r="A675" s="406" t="str">
        <f t="shared" si="10"/>
        <v>稙田ＦＣサッカースポーツ少年団_17</v>
      </c>
      <c r="B675" s="218" t="s">
        <v>1244</v>
      </c>
      <c r="C675" s="218" t="str">
        <f>("17")</f>
        <v>17</v>
      </c>
      <c r="D675" s="218" t="s">
        <v>615</v>
      </c>
      <c r="E675" s="218" t="s">
        <v>7887</v>
      </c>
      <c r="F675" s="218" t="s">
        <v>7888</v>
      </c>
      <c r="G675" s="218">
        <v>3</v>
      </c>
      <c r="H675" s="218" t="s">
        <v>614</v>
      </c>
      <c r="I675" s="218" t="str">
        <f>("1701260089")</f>
        <v>1701260089</v>
      </c>
    </row>
    <row r="676" spans="1:10" x14ac:dyDescent="0.15">
      <c r="A676" s="406" t="str">
        <f t="shared" si="10"/>
        <v>稙田ＦＣサッカースポーツ少年団_18</v>
      </c>
      <c r="B676" s="218" t="s">
        <v>1244</v>
      </c>
      <c r="C676" s="218" t="str">
        <f>("18")</f>
        <v>18</v>
      </c>
      <c r="D676" s="218" t="s">
        <v>615</v>
      </c>
      <c r="E676" s="218" t="s">
        <v>7889</v>
      </c>
      <c r="F676" s="218" t="s">
        <v>7890</v>
      </c>
      <c r="G676" s="218">
        <v>3</v>
      </c>
      <c r="H676" s="218" t="s">
        <v>614</v>
      </c>
      <c r="I676" s="218" t="str">
        <f>("1606180074")</f>
        <v>1606180074</v>
      </c>
    </row>
    <row r="677" spans="1:10" x14ac:dyDescent="0.15">
      <c r="A677" s="406" t="str">
        <f t="shared" si="10"/>
        <v>北郡坂ノ市サッカースポーツ少年団_1</v>
      </c>
      <c r="B677" s="218" t="s">
        <v>1249</v>
      </c>
      <c r="C677" s="218" t="str">
        <f>("1")</f>
        <v>1</v>
      </c>
      <c r="D677" s="218" t="s">
        <v>624</v>
      </c>
      <c r="E677" s="218" t="s">
        <v>7891</v>
      </c>
      <c r="F677" s="218" t="s">
        <v>7892</v>
      </c>
      <c r="G677" s="218">
        <v>6</v>
      </c>
      <c r="H677" s="218" t="s">
        <v>614</v>
      </c>
      <c r="I677" s="218" t="str">
        <f>("1402080152")</f>
        <v>1402080152</v>
      </c>
    </row>
    <row r="678" spans="1:10" x14ac:dyDescent="0.15">
      <c r="A678" s="406" t="str">
        <f t="shared" si="10"/>
        <v>北郡坂ノ市サッカースポーツ少年団_2</v>
      </c>
      <c r="B678" s="218" t="s">
        <v>1249</v>
      </c>
      <c r="C678" s="218" t="str">
        <f>("2")</f>
        <v>2</v>
      </c>
      <c r="D678" s="218" t="s">
        <v>611</v>
      </c>
      <c r="E678" s="218" t="s">
        <v>7893</v>
      </c>
      <c r="F678" s="218" t="s">
        <v>7894</v>
      </c>
      <c r="G678" s="218">
        <v>6</v>
      </c>
      <c r="H678" s="218" t="s">
        <v>616</v>
      </c>
      <c r="I678" s="218" t="str">
        <f>("1304260267")</f>
        <v>1304260267</v>
      </c>
    </row>
    <row r="679" spans="1:10" x14ac:dyDescent="0.15">
      <c r="A679" s="406" t="str">
        <f t="shared" si="10"/>
        <v>北郡坂ノ市サッカースポーツ少年団_3</v>
      </c>
      <c r="B679" s="218" t="s">
        <v>1249</v>
      </c>
      <c r="C679" s="218" t="str">
        <f>("3")</f>
        <v>3</v>
      </c>
      <c r="D679" s="218" t="s">
        <v>623</v>
      </c>
      <c r="E679" s="218" t="s">
        <v>7895</v>
      </c>
      <c r="F679" s="218" t="s">
        <v>7896</v>
      </c>
      <c r="G679" s="218">
        <v>6</v>
      </c>
      <c r="H679" s="218" t="s">
        <v>614</v>
      </c>
      <c r="I679" s="218" t="str">
        <f>("1402240166")</f>
        <v>1402240166</v>
      </c>
    </row>
    <row r="680" spans="1:10" x14ac:dyDescent="0.15">
      <c r="A680" s="406" t="str">
        <f t="shared" si="10"/>
        <v>北郡坂ノ市サッカースポーツ少年団_4</v>
      </c>
      <c r="B680" s="218" t="s">
        <v>1249</v>
      </c>
      <c r="C680" s="218" t="str">
        <f>("4")</f>
        <v>4</v>
      </c>
      <c r="D680" s="218" t="s">
        <v>611</v>
      </c>
      <c r="E680" s="218" t="s">
        <v>7897</v>
      </c>
      <c r="F680" s="218" t="s">
        <v>7898</v>
      </c>
      <c r="G680" s="218">
        <v>5</v>
      </c>
      <c r="H680" s="218" t="s">
        <v>614</v>
      </c>
      <c r="I680" s="218" t="str">
        <f>("1408280201")</f>
        <v>1408280201</v>
      </c>
    </row>
    <row r="681" spans="1:10" x14ac:dyDescent="0.15">
      <c r="A681" s="406" t="str">
        <f t="shared" si="10"/>
        <v>北郡坂ノ市サッカースポーツ少年団_5</v>
      </c>
      <c r="B681" s="218" t="s">
        <v>1249</v>
      </c>
      <c r="C681" s="218" t="str">
        <f>("5")</f>
        <v>5</v>
      </c>
      <c r="D681" s="218" t="s">
        <v>611</v>
      </c>
      <c r="E681" s="218" t="s">
        <v>7899</v>
      </c>
      <c r="F681" s="218" t="s">
        <v>7900</v>
      </c>
      <c r="G681" s="218">
        <v>6</v>
      </c>
      <c r="H681" s="218" t="s">
        <v>614</v>
      </c>
      <c r="I681" s="218" t="str">
        <f>("1402270136")</f>
        <v>1402270136</v>
      </c>
    </row>
    <row r="682" spans="1:10" x14ac:dyDescent="0.15">
      <c r="A682" s="406" t="str">
        <f t="shared" si="10"/>
        <v>北郡坂ノ市サッカースポーツ少年団_6</v>
      </c>
      <c r="B682" s="218" t="s">
        <v>1249</v>
      </c>
      <c r="C682" s="218" t="str">
        <f>("6")</f>
        <v>6</v>
      </c>
      <c r="D682" s="218" t="s">
        <v>611</v>
      </c>
      <c r="E682" s="218" t="s">
        <v>7901</v>
      </c>
      <c r="F682" s="218" t="s">
        <v>7902</v>
      </c>
      <c r="G682" s="218">
        <v>6</v>
      </c>
      <c r="H682" s="218" t="s">
        <v>616</v>
      </c>
      <c r="I682" s="218" t="str">
        <f>("1602190055")</f>
        <v>1602190055</v>
      </c>
    </row>
    <row r="683" spans="1:10" x14ac:dyDescent="0.15">
      <c r="A683" s="406" t="str">
        <f t="shared" si="10"/>
        <v>北郡坂ノ市サッカースポーツ少年団_7</v>
      </c>
      <c r="B683" s="218" t="s">
        <v>1249</v>
      </c>
      <c r="C683" s="218" t="str">
        <f>("7")</f>
        <v>7</v>
      </c>
      <c r="D683" s="218" t="s">
        <v>611</v>
      </c>
      <c r="E683" s="218" t="s">
        <v>7903</v>
      </c>
      <c r="F683" s="218" t="s">
        <v>7904</v>
      </c>
      <c r="G683" s="218">
        <v>6</v>
      </c>
      <c r="H683" s="218" t="s">
        <v>616</v>
      </c>
      <c r="I683" s="218" t="str">
        <f>("1403240158")</f>
        <v>1403240158</v>
      </c>
    </row>
    <row r="684" spans="1:10" x14ac:dyDescent="0.15">
      <c r="A684" s="406" t="str">
        <f t="shared" si="10"/>
        <v>北郡坂ノ市サッカースポーツ少年団_8</v>
      </c>
      <c r="B684" s="218" t="s">
        <v>1249</v>
      </c>
      <c r="C684" s="218" t="str">
        <f>("8")</f>
        <v>8</v>
      </c>
      <c r="D684" s="218" t="s">
        <v>615</v>
      </c>
      <c r="E684" s="218" t="s">
        <v>7905</v>
      </c>
      <c r="F684" s="218" t="s">
        <v>7906</v>
      </c>
      <c r="G684" s="218">
        <v>5</v>
      </c>
      <c r="H684" s="218" t="s">
        <v>614</v>
      </c>
      <c r="I684" s="218" t="str">
        <f>("1411150041")</f>
        <v>1411150041</v>
      </c>
    </row>
    <row r="685" spans="1:10" x14ac:dyDescent="0.15">
      <c r="A685" s="406" t="str">
        <f t="shared" si="10"/>
        <v>北郡坂ノ市サッカースポーツ少年団_9</v>
      </c>
      <c r="B685" s="218" t="s">
        <v>1249</v>
      </c>
      <c r="C685" s="218" t="str">
        <f>("9")</f>
        <v>9</v>
      </c>
      <c r="D685" s="218" t="s">
        <v>623</v>
      </c>
      <c r="E685" s="218" t="s">
        <v>7907</v>
      </c>
      <c r="F685" s="218" t="s">
        <v>7908</v>
      </c>
      <c r="G685" s="218">
        <v>5</v>
      </c>
      <c r="H685" s="218" t="s">
        <v>614</v>
      </c>
      <c r="I685" s="218" t="str">
        <f>("1411110204")</f>
        <v>1411110204</v>
      </c>
    </row>
    <row r="686" spans="1:10" x14ac:dyDescent="0.15">
      <c r="A686" s="406" t="str">
        <f t="shared" si="10"/>
        <v>北郡坂ノ市サッカースポーツ少年団_11</v>
      </c>
      <c r="B686" s="218" t="s">
        <v>1249</v>
      </c>
      <c r="C686" s="218" t="str">
        <f>("11")</f>
        <v>11</v>
      </c>
      <c r="D686" s="218" t="s">
        <v>615</v>
      </c>
      <c r="E686" s="218" t="s">
        <v>7909</v>
      </c>
      <c r="F686" s="218" t="s">
        <v>7910</v>
      </c>
      <c r="G686" s="218">
        <v>6</v>
      </c>
      <c r="H686" s="218" t="s">
        <v>614</v>
      </c>
      <c r="I686" s="218" t="str">
        <f>("1402140183")</f>
        <v>1402140183</v>
      </c>
      <c r="J686" s="218" t="s">
        <v>159</v>
      </c>
    </row>
    <row r="687" spans="1:10" x14ac:dyDescent="0.15">
      <c r="A687" s="406" t="str">
        <f t="shared" si="10"/>
        <v>北郡坂ノ市サッカースポーツ少年団_12</v>
      </c>
      <c r="B687" s="218" t="s">
        <v>1249</v>
      </c>
      <c r="C687" s="218" t="str">
        <f>("12")</f>
        <v>12</v>
      </c>
      <c r="D687" s="218" t="s">
        <v>615</v>
      </c>
      <c r="E687" s="218" t="s">
        <v>7911</v>
      </c>
      <c r="F687" s="218" t="s">
        <v>7912</v>
      </c>
      <c r="G687" s="218">
        <v>5</v>
      </c>
      <c r="H687" s="218" t="s">
        <v>614</v>
      </c>
      <c r="I687" s="218" t="str">
        <f>("1412020218")</f>
        <v>1412020218</v>
      </c>
    </row>
    <row r="688" spans="1:10" x14ac:dyDescent="0.15">
      <c r="A688" s="406" t="str">
        <f t="shared" si="10"/>
        <v>北郡坂ノ市サッカースポーツ少年団_13</v>
      </c>
      <c r="B688" s="218" t="s">
        <v>1249</v>
      </c>
      <c r="C688" s="218" t="str">
        <f>("13")</f>
        <v>13</v>
      </c>
      <c r="D688" s="218" t="s">
        <v>611</v>
      </c>
      <c r="E688" s="218" t="s">
        <v>7913</v>
      </c>
      <c r="F688" s="218" t="s">
        <v>1235</v>
      </c>
      <c r="G688" s="218">
        <v>5</v>
      </c>
      <c r="H688" s="218" t="s">
        <v>614</v>
      </c>
      <c r="I688" s="218" t="str">
        <f>("1405120221")</f>
        <v>1405120221</v>
      </c>
    </row>
    <row r="689" spans="1:10" x14ac:dyDescent="0.15">
      <c r="A689" s="406" t="str">
        <f t="shared" si="10"/>
        <v>北郡坂ノ市サッカースポーツ少年団_14</v>
      </c>
      <c r="B689" s="218" t="s">
        <v>1249</v>
      </c>
      <c r="C689" s="218" t="str">
        <f>("14")</f>
        <v>14</v>
      </c>
      <c r="D689" s="218" t="s">
        <v>615</v>
      </c>
      <c r="E689" s="218" t="s">
        <v>7914</v>
      </c>
      <c r="F689" s="218" t="s">
        <v>7915</v>
      </c>
      <c r="G689" s="218">
        <v>4</v>
      </c>
      <c r="H689" s="218" t="s">
        <v>614</v>
      </c>
      <c r="I689" s="218" t="str">
        <f>("1504220146")</f>
        <v>1504220146</v>
      </c>
    </row>
    <row r="690" spans="1:10" x14ac:dyDescent="0.15">
      <c r="A690" s="406" t="str">
        <f t="shared" si="10"/>
        <v>北郡坂ノ市サッカースポーツ少年団_15</v>
      </c>
      <c r="B690" s="218" t="s">
        <v>1249</v>
      </c>
      <c r="C690" s="218" t="str">
        <f>("15")</f>
        <v>15</v>
      </c>
      <c r="D690" s="218" t="s">
        <v>615</v>
      </c>
      <c r="E690" s="218" t="s">
        <v>7916</v>
      </c>
      <c r="F690" s="218" t="s">
        <v>7917</v>
      </c>
      <c r="G690" s="218">
        <v>4</v>
      </c>
      <c r="H690" s="218" t="s">
        <v>614</v>
      </c>
      <c r="I690" s="218" t="str">
        <f>("1504080154")</f>
        <v>1504080154</v>
      </c>
    </row>
    <row r="691" spans="1:10" x14ac:dyDescent="0.15">
      <c r="A691" s="406" t="str">
        <f t="shared" si="10"/>
        <v>北郡坂ノ市サッカースポーツ少年団_18</v>
      </c>
      <c r="B691" s="218" t="s">
        <v>1249</v>
      </c>
      <c r="C691" s="218" t="str">
        <f>("18")</f>
        <v>18</v>
      </c>
      <c r="D691" s="218" t="s">
        <v>615</v>
      </c>
      <c r="E691" s="218" t="s">
        <v>7918</v>
      </c>
      <c r="F691" s="218" t="s">
        <v>7919</v>
      </c>
      <c r="G691" s="218">
        <v>5</v>
      </c>
      <c r="H691" s="218" t="s">
        <v>614</v>
      </c>
      <c r="I691" s="218" t="str">
        <f>("1501120087")</f>
        <v>1501120087</v>
      </c>
    </row>
    <row r="692" spans="1:10" x14ac:dyDescent="0.15">
      <c r="A692" s="406" t="str">
        <f t="shared" si="10"/>
        <v>北郡坂ノ市サッカースポーツ少年団_19</v>
      </c>
      <c r="B692" s="218" t="s">
        <v>1249</v>
      </c>
      <c r="C692" s="218" t="str">
        <f>("19")</f>
        <v>19</v>
      </c>
      <c r="D692" s="218" t="s">
        <v>624</v>
      </c>
      <c r="E692" s="218" t="s">
        <v>7920</v>
      </c>
      <c r="F692" s="218" t="s">
        <v>7921</v>
      </c>
      <c r="G692" s="218">
        <v>4</v>
      </c>
      <c r="H692" s="218" t="s">
        <v>616</v>
      </c>
      <c r="I692" s="218" t="str">
        <f>("1510170106")</f>
        <v>1510170106</v>
      </c>
    </row>
    <row r="693" spans="1:10" x14ac:dyDescent="0.15">
      <c r="A693" s="406" t="str">
        <f t="shared" si="10"/>
        <v>田尻サッカースポーツ少年団_1</v>
      </c>
      <c r="B693" s="218" t="s">
        <v>1259</v>
      </c>
      <c r="C693" s="218" t="str">
        <f>("1")</f>
        <v>1</v>
      </c>
      <c r="D693" s="218" t="s">
        <v>624</v>
      </c>
      <c r="E693" s="218" t="s">
        <v>1267</v>
      </c>
      <c r="F693" s="218" t="s">
        <v>1268</v>
      </c>
      <c r="G693" s="218">
        <v>6</v>
      </c>
      <c r="H693" s="218" t="s">
        <v>614</v>
      </c>
      <c r="I693" s="218" t="str">
        <f>("1403210077")</f>
        <v>1403210077</v>
      </c>
    </row>
    <row r="694" spans="1:10" x14ac:dyDescent="0.15">
      <c r="A694" s="406" t="str">
        <f t="shared" si="10"/>
        <v>田尻サッカースポーツ少年団_2</v>
      </c>
      <c r="B694" s="218" t="s">
        <v>1259</v>
      </c>
      <c r="C694" s="218" t="str">
        <f>("2")</f>
        <v>2</v>
      </c>
      <c r="D694" s="218" t="s">
        <v>611</v>
      </c>
      <c r="E694" s="218" t="s">
        <v>7922</v>
      </c>
      <c r="F694" s="218" t="s">
        <v>7923</v>
      </c>
      <c r="G694" s="218">
        <v>5</v>
      </c>
      <c r="H694" s="218" t="s">
        <v>616</v>
      </c>
      <c r="I694" s="218" t="str">
        <f>("1409050059")</f>
        <v>1409050059</v>
      </c>
    </row>
    <row r="695" spans="1:10" x14ac:dyDescent="0.15">
      <c r="A695" s="406" t="str">
        <f t="shared" si="10"/>
        <v>田尻サッカースポーツ少年団_3</v>
      </c>
      <c r="B695" s="218" t="s">
        <v>1259</v>
      </c>
      <c r="C695" s="218" t="str">
        <f>("3")</f>
        <v>3</v>
      </c>
      <c r="D695" s="218" t="s">
        <v>611</v>
      </c>
      <c r="E695" s="218" t="s">
        <v>7924</v>
      </c>
      <c r="F695" s="218" t="s">
        <v>7925</v>
      </c>
      <c r="G695" s="218">
        <v>5</v>
      </c>
      <c r="H695" s="218" t="s">
        <v>616</v>
      </c>
      <c r="I695" s="218" t="str">
        <f>("1412140029")</f>
        <v>1412140029</v>
      </c>
    </row>
    <row r="696" spans="1:10" x14ac:dyDescent="0.15">
      <c r="A696" s="406" t="str">
        <f t="shared" si="10"/>
        <v>田尻サッカースポーツ少年団_4</v>
      </c>
      <c r="B696" s="218" t="s">
        <v>1259</v>
      </c>
      <c r="C696" s="218" t="str">
        <f>("4")</f>
        <v>4</v>
      </c>
      <c r="D696" s="218" t="s">
        <v>611</v>
      </c>
      <c r="E696" s="218" t="s">
        <v>7926</v>
      </c>
      <c r="F696" s="218" t="s">
        <v>7927</v>
      </c>
      <c r="G696" s="218">
        <v>6</v>
      </c>
      <c r="H696" s="218" t="s">
        <v>616</v>
      </c>
      <c r="I696" s="218" t="str">
        <f>("1307170121")</f>
        <v>1307170121</v>
      </c>
    </row>
    <row r="697" spans="1:10" x14ac:dyDescent="0.15">
      <c r="A697" s="406" t="str">
        <f t="shared" si="10"/>
        <v>田尻サッカースポーツ少年団_5</v>
      </c>
      <c r="B697" s="218" t="s">
        <v>1259</v>
      </c>
      <c r="C697" s="218" t="str">
        <f>("5")</f>
        <v>5</v>
      </c>
      <c r="D697" s="218" t="s">
        <v>615</v>
      </c>
      <c r="E697" s="218" t="s">
        <v>7928</v>
      </c>
      <c r="F697" s="218" t="s">
        <v>7929</v>
      </c>
      <c r="G697" s="218">
        <v>6</v>
      </c>
      <c r="H697" s="218" t="s">
        <v>616</v>
      </c>
      <c r="I697" s="218" t="str">
        <f>("1402050035")</f>
        <v>1402050035</v>
      </c>
    </row>
    <row r="698" spans="1:10" x14ac:dyDescent="0.15">
      <c r="A698" s="406" t="str">
        <f t="shared" si="10"/>
        <v>田尻サッカースポーツ少年団_6</v>
      </c>
      <c r="B698" s="218" t="s">
        <v>1259</v>
      </c>
      <c r="C698" s="218" t="str">
        <f>("6")</f>
        <v>6</v>
      </c>
      <c r="D698" s="218" t="s">
        <v>611</v>
      </c>
      <c r="E698" s="218" t="s">
        <v>7930</v>
      </c>
      <c r="F698" s="218" t="s">
        <v>7931</v>
      </c>
      <c r="G698" s="218">
        <v>6</v>
      </c>
      <c r="H698" s="218" t="s">
        <v>614</v>
      </c>
      <c r="I698" s="218" t="str">
        <f>("1306030186")</f>
        <v>1306030186</v>
      </c>
    </row>
    <row r="699" spans="1:10" x14ac:dyDescent="0.15">
      <c r="A699" s="406" t="str">
        <f t="shared" si="10"/>
        <v>田尻サッカースポーツ少年団_7</v>
      </c>
      <c r="B699" s="218" t="s">
        <v>1259</v>
      </c>
      <c r="C699" s="218" t="str">
        <f>("7")</f>
        <v>7</v>
      </c>
      <c r="D699" s="218" t="s">
        <v>615</v>
      </c>
      <c r="E699" s="218" t="s">
        <v>1277</v>
      </c>
      <c r="F699" s="218" t="s">
        <v>1278</v>
      </c>
      <c r="G699" s="218">
        <v>6</v>
      </c>
      <c r="H699" s="218" t="s">
        <v>616</v>
      </c>
      <c r="I699" s="218" t="str">
        <f>("1401260014")</f>
        <v>1401260014</v>
      </c>
    </row>
    <row r="700" spans="1:10" x14ac:dyDescent="0.15">
      <c r="A700" s="406" t="str">
        <f t="shared" si="10"/>
        <v>田尻サッカースポーツ少年団_8</v>
      </c>
      <c r="B700" s="218" t="s">
        <v>1259</v>
      </c>
      <c r="C700" s="218" t="str">
        <f>("8")</f>
        <v>8</v>
      </c>
      <c r="D700" s="218" t="s">
        <v>615</v>
      </c>
      <c r="E700" s="218" t="s">
        <v>1275</v>
      </c>
      <c r="F700" s="218" t="s">
        <v>1276</v>
      </c>
      <c r="G700" s="218">
        <v>6</v>
      </c>
      <c r="H700" s="218" t="s">
        <v>614</v>
      </c>
      <c r="I700" s="218" t="str">
        <f>("1311230069")</f>
        <v>1311230069</v>
      </c>
    </row>
    <row r="701" spans="1:10" x14ac:dyDescent="0.15">
      <c r="A701" s="406" t="str">
        <f t="shared" si="10"/>
        <v>田尻サッカースポーツ少年団_9</v>
      </c>
      <c r="B701" s="218" t="s">
        <v>1259</v>
      </c>
      <c r="C701" s="218" t="str">
        <f>("9")</f>
        <v>9</v>
      </c>
      <c r="D701" s="218" t="s">
        <v>623</v>
      </c>
      <c r="E701" s="218" t="s">
        <v>1271</v>
      </c>
      <c r="F701" s="218" t="s">
        <v>1272</v>
      </c>
      <c r="G701" s="218">
        <v>6</v>
      </c>
      <c r="H701" s="218" t="s">
        <v>614</v>
      </c>
      <c r="I701" s="218" t="str">
        <f>("1312280023")</f>
        <v>1312280023</v>
      </c>
    </row>
    <row r="702" spans="1:10" x14ac:dyDescent="0.15">
      <c r="A702" s="406" t="str">
        <f t="shared" si="10"/>
        <v>田尻サッカースポーツ少年団_10</v>
      </c>
      <c r="B702" s="218" t="s">
        <v>1259</v>
      </c>
      <c r="C702" s="218" t="str">
        <f>("10")</f>
        <v>10</v>
      </c>
      <c r="D702" s="218" t="s">
        <v>611</v>
      </c>
      <c r="E702" s="218" t="s">
        <v>1273</v>
      </c>
      <c r="F702" s="218" t="s">
        <v>1274</v>
      </c>
      <c r="G702" s="218">
        <v>6</v>
      </c>
      <c r="H702" s="218" t="s">
        <v>614</v>
      </c>
      <c r="I702" s="218" t="str">
        <f>("1310100033")</f>
        <v>1310100033</v>
      </c>
      <c r="J702" s="218" t="s">
        <v>159</v>
      </c>
    </row>
    <row r="703" spans="1:10" x14ac:dyDescent="0.15">
      <c r="A703" s="406" t="str">
        <f t="shared" si="10"/>
        <v>田尻サッカースポーツ少年団_11</v>
      </c>
      <c r="B703" s="218" t="s">
        <v>1259</v>
      </c>
      <c r="C703" s="218" t="str">
        <f>("11")</f>
        <v>11</v>
      </c>
      <c r="D703" s="218" t="s">
        <v>611</v>
      </c>
      <c r="E703" s="218" t="s">
        <v>1264</v>
      </c>
      <c r="F703" s="218" t="s">
        <v>1265</v>
      </c>
      <c r="G703" s="218">
        <v>6</v>
      </c>
      <c r="H703" s="218" t="s">
        <v>614</v>
      </c>
      <c r="I703" s="218" t="str">
        <f>("1312270086")</f>
        <v>1312270086</v>
      </c>
    </row>
    <row r="704" spans="1:10" x14ac:dyDescent="0.15">
      <c r="A704" s="406" t="str">
        <f t="shared" si="10"/>
        <v>田尻サッカースポーツ少年団_12</v>
      </c>
      <c r="B704" s="218" t="s">
        <v>1259</v>
      </c>
      <c r="C704" s="218" t="str">
        <f>("12")</f>
        <v>12</v>
      </c>
      <c r="D704" s="218" t="s">
        <v>623</v>
      </c>
      <c r="E704" s="218" t="s">
        <v>7932</v>
      </c>
      <c r="F704" s="218" t="s">
        <v>7933</v>
      </c>
      <c r="G704" s="218">
        <v>3</v>
      </c>
      <c r="H704" s="218" t="s">
        <v>614</v>
      </c>
      <c r="I704" s="218" t="str">
        <f>("1605220024")</f>
        <v>1605220024</v>
      </c>
    </row>
    <row r="705" spans="1:10" x14ac:dyDescent="0.15">
      <c r="A705" s="406" t="str">
        <f t="shared" ref="A705:A768" si="11">CONCATENATE(B705,"_",C705)</f>
        <v>田尻サッカースポーツ少年団_13</v>
      </c>
      <c r="B705" s="218" t="s">
        <v>1259</v>
      </c>
      <c r="C705" s="218" t="str">
        <f>("13")</f>
        <v>13</v>
      </c>
      <c r="D705" s="218" t="s">
        <v>611</v>
      </c>
      <c r="E705" s="218" t="s">
        <v>7934</v>
      </c>
      <c r="F705" s="218" t="s">
        <v>7935</v>
      </c>
      <c r="G705" s="218">
        <v>3</v>
      </c>
      <c r="H705" s="218" t="s">
        <v>614</v>
      </c>
      <c r="I705" s="218" t="str">
        <f>("1702160027")</f>
        <v>1702160027</v>
      </c>
    </row>
    <row r="706" spans="1:10" x14ac:dyDescent="0.15">
      <c r="A706" s="406" t="str">
        <f t="shared" si="11"/>
        <v>田尻サッカースポーツ少年団_14</v>
      </c>
      <c r="B706" s="218" t="s">
        <v>1259</v>
      </c>
      <c r="C706" s="218" t="str">
        <f>("14")</f>
        <v>14</v>
      </c>
      <c r="D706" s="218" t="s">
        <v>615</v>
      </c>
      <c r="E706" s="218" t="s">
        <v>7936</v>
      </c>
      <c r="F706" s="218" t="s">
        <v>7937</v>
      </c>
      <c r="G706" s="218">
        <v>3</v>
      </c>
      <c r="H706" s="218" t="s">
        <v>614</v>
      </c>
      <c r="I706" s="218" t="str">
        <f>("1703250018")</f>
        <v>1703250018</v>
      </c>
    </row>
    <row r="707" spans="1:10" x14ac:dyDescent="0.15">
      <c r="A707" s="406" t="str">
        <f t="shared" si="11"/>
        <v>田尻サッカースポーツ少年団_16</v>
      </c>
      <c r="B707" s="218" t="s">
        <v>1259</v>
      </c>
      <c r="C707" s="218" t="str">
        <f>("16")</f>
        <v>16</v>
      </c>
      <c r="D707" s="218" t="s">
        <v>624</v>
      </c>
      <c r="E707" s="218" t="s">
        <v>1279</v>
      </c>
      <c r="F707" s="218" t="s">
        <v>1280</v>
      </c>
      <c r="G707" s="218">
        <v>6</v>
      </c>
      <c r="H707" s="218" t="s">
        <v>614</v>
      </c>
      <c r="I707" s="218" t="str">
        <f>("1310030053")</f>
        <v>1310030053</v>
      </c>
    </row>
    <row r="708" spans="1:10" x14ac:dyDescent="0.15">
      <c r="A708" s="406" t="str">
        <f t="shared" si="11"/>
        <v>田尻サッカースポーツ少年団_17</v>
      </c>
      <c r="B708" s="218" t="s">
        <v>1259</v>
      </c>
      <c r="C708" s="218" t="str">
        <f>("17")</f>
        <v>17</v>
      </c>
      <c r="D708" s="218" t="s">
        <v>611</v>
      </c>
      <c r="E708" s="218" t="s">
        <v>1262</v>
      </c>
      <c r="F708" s="218" t="s">
        <v>1263</v>
      </c>
      <c r="G708" s="218">
        <v>6</v>
      </c>
      <c r="H708" s="218" t="s">
        <v>614</v>
      </c>
      <c r="I708" s="218" t="str">
        <f>("1310030021")</f>
        <v>1310030021</v>
      </c>
    </row>
    <row r="709" spans="1:10" x14ac:dyDescent="0.15">
      <c r="A709" s="406" t="str">
        <f t="shared" si="11"/>
        <v>桃園サッカースポーツ少年団_1</v>
      </c>
      <c r="B709" s="218" t="s">
        <v>1283</v>
      </c>
      <c r="C709" s="218" t="str">
        <f>("1")</f>
        <v>1</v>
      </c>
      <c r="D709" s="218" t="s">
        <v>624</v>
      </c>
      <c r="E709" s="218" t="s">
        <v>1294</v>
      </c>
      <c r="F709" s="218" t="s">
        <v>1295</v>
      </c>
      <c r="G709" s="218">
        <v>6</v>
      </c>
      <c r="H709" s="218" t="s">
        <v>614</v>
      </c>
      <c r="I709" s="218" t="str">
        <f>("1403120004")</f>
        <v>1403120004</v>
      </c>
    </row>
    <row r="710" spans="1:10" x14ac:dyDescent="0.15">
      <c r="A710" s="406" t="str">
        <f t="shared" si="11"/>
        <v>桃園サッカースポーツ少年団_2</v>
      </c>
      <c r="B710" s="218" t="s">
        <v>1283</v>
      </c>
      <c r="C710" s="218" t="str">
        <f>("2")</f>
        <v>2</v>
      </c>
      <c r="D710" s="218" t="s">
        <v>615</v>
      </c>
      <c r="E710" s="218" t="s">
        <v>7938</v>
      </c>
      <c r="F710" s="218" t="s">
        <v>7939</v>
      </c>
      <c r="G710" s="218">
        <v>6</v>
      </c>
      <c r="H710" s="218" t="s">
        <v>614</v>
      </c>
      <c r="I710" s="218" t="str">
        <f>("1304070004")</f>
        <v>1304070004</v>
      </c>
    </row>
    <row r="711" spans="1:10" x14ac:dyDescent="0.15">
      <c r="A711" s="406" t="str">
        <f t="shared" si="11"/>
        <v>桃園サッカースポーツ少年団_3</v>
      </c>
      <c r="B711" s="218" t="s">
        <v>1283</v>
      </c>
      <c r="C711" s="218" t="str">
        <f>("3")</f>
        <v>3</v>
      </c>
      <c r="D711" s="218" t="s">
        <v>615</v>
      </c>
      <c r="E711" s="218" t="s">
        <v>7940</v>
      </c>
      <c r="F711" s="218" t="s">
        <v>1246</v>
      </c>
      <c r="G711" s="218">
        <v>6</v>
      </c>
      <c r="H711" s="218" t="s">
        <v>614</v>
      </c>
      <c r="I711" s="218" t="str">
        <f>("1401170035")</f>
        <v>1401170035</v>
      </c>
    </row>
    <row r="712" spans="1:10" x14ac:dyDescent="0.15">
      <c r="A712" s="406" t="str">
        <f t="shared" si="11"/>
        <v>桃園サッカースポーツ少年団_4</v>
      </c>
      <c r="B712" s="218" t="s">
        <v>1283</v>
      </c>
      <c r="C712" s="218" t="str">
        <f>("4")</f>
        <v>4</v>
      </c>
      <c r="D712" s="218" t="s">
        <v>611</v>
      </c>
      <c r="E712" s="218" t="s">
        <v>7941</v>
      </c>
      <c r="F712" s="218" t="s">
        <v>7942</v>
      </c>
      <c r="G712" s="218">
        <v>6</v>
      </c>
      <c r="H712" s="218" t="s">
        <v>614</v>
      </c>
      <c r="I712" s="218" t="str">
        <f>("1401210008")</f>
        <v>1401210008</v>
      </c>
    </row>
    <row r="713" spans="1:10" x14ac:dyDescent="0.15">
      <c r="A713" s="406" t="str">
        <f t="shared" si="11"/>
        <v>桃園サッカースポーツ少年団_5</v>
      </c>
      <c r="B713" s="218" t="s">
        <v>1283</v>
      </c>
      <c r="C713" s="218" t="str">
        <f>("5")</f>
        <v>5</v>
      </c>
      <c r="D713" s="218" t="s">
        <v>615</v>
      </c>
      <c r="E713" s="218" t="s">
        <v>7943</v>
      </c>
      <c r="F713" s="218" t="s">
        <v>7944</v>
      </c>
      <c r="G713" s="218">
        <v>6</v>
      </c>
      <c r="H713" s="218" t="s">
        <v>614</v>
      </c>
      <c r="I713" s="218" t="str">
        <f>("1512200001")</f>
        <v>1512200001</v>
      </c>
    </row>
    <row r="714" spans="1:10" x14ac:dyDescent="0.15">
      <c r="A714" s="406" t="str">
        <f t="shared" si="11"/>
        <v>桃園サッカースポーツ少年団_6</v>
      </c>
      <c r="B714" s="218" t="s">
        <v>1283</v>
      </c>
      <c r="C714" s="218" t="str">
        <f>("6")</f>
        <v>6</v>
      </c>
      <c r="D714" s="218" t="s">
        <v>611</v>
      </c>
      <c r="E714" s="218" t="s">
        <v>7945</v>
      </c>
      <c r="F714" s="218" t="s">
        <v>7946</v>
      </c>
      <c r="G714" s="218">
        <v>6</v>
      </c>
      <c r="H714" s="218" t="s">
        <v>614</v>
      </c>
      <c r="I714" s="218" t="str">
        <f>("1403120027")</f>
        <v>1403120027</v>
      </c>
    </row>
    <row r="715" spans="1:10" x14ac:dyDescent="0.15">
      <c r="A715" s="406" t="str">
        <f t="shared" si="11"/>
        <v>桃園サッカースポーツ少年団_7</v>
      </c>
      <c r="B715" s="218" t="s">
        <v>1283</v>
      </c>
      <c r="C715" s="218" t="str">
        <f>("7")</f>
        <v>7</v>
      </c>
      <c r="D715" s="218" t="s">
        <v>611</v>
      </c>
      <c r="E715" s="218" t="s">
        <v>1296</v>
      </c>
      <c r="F715" s="218" t="s">
        <v>1297</v>
      </c>
      <c r="G715" s="218">
        <v>6</v>
      </c>
      <c r="H715" s="218" t="s">
        <v>614</v>
      </c>
      <c r="I715" s="218" t="str">
        <f>("1306110007")</f>
        <v>1306110007</v>
      </c>
      <c r="J715" s="218" t="s">
        <v>159</v>
      </c>
    </row>
    <row r="716" spans="1:10" x14ac:dyDescent="0.15">
      <c r="A716" s="406" t="str">
        <f t="shared" si="11"/>
        <v>桃園サッカースポーツ少年団_8</v>
      </c>
      <c r="B716" s="218" t="s">
        <v>1283</v>
      </c>
      <c r="C716" s="218" t="str">
        <f>("8")</f>
        <v>8</v>
      </c>
      <c r="D716" s="218" t="s">
        <v>623</v>
      </c>
      <c r="E716" s="218" t="s">
        <v>7947</v>
      </c>
      <c r="F716" s="218" t="s">
        <v>7948</v>
      </c>
      <c r="G716" s="218">
        <v>6</v>
      </c>
      <c r="H716" s="218" t="s">
        <v>614</v>
      </c>
      <c r="I716" s="218" t="str">
        <f>("1310040255")</f>
        <v>1310040255</v>
      </c>
    </row>
    <row r="717" spans="1:10" x14ac:dyDescent="0.15">
      <c r="A717" s="406" t="str">
        <f t="shared" si="11"/>
        <v>桃園サッカースポーツ少年団_9</v>
      </c>
      <c r="B717" s="218" t="s">
        <v>1283</v>
      </c>
      <c r="C717" s="218" t="str">
        <f>("9")</f>
        <v>9</v>
      </c>
      <c r="D717" s="218" t="s">
        <v>623</v>
      </c>
      <c r="E717" s="218" t="s">
        <v>7949</v>
      </c>
      <c r="F717" s="218" t="s">
        <v>7950</v>
      </c>
      <c r="G717" s="218">
        <v>6</v>
      </c>
      <c r="H717" s="218" t="s">
        <v>614</v>
      </c>
      <c r="I717" s="218" t="str">
        <f>("1309070144")</f>
        <v>1309070144</v>
      </c>
    </row>
    <row r="718" spans="1:10" x14ac:dyDescent="0.15">
      <c r="A718" s="406" t="str">
        <f t="shared" si="11"/>
        <v>桃園サッカースポーツ少年団_10</v>
      </c>
      <c r="B718" s="218" t="s">
        <v>1283</v>
      </c>
      <c r="C718" s="218" t="str">
        <f>("10")</f>
        <v>10</v>
      </c>
      <c r="D718" s="218" t="s">
        <v>623</v>
      </c>
      <c r="E718" s="218" t="s">
        <v>7951</v>
      </c>
      <c r="F718" s="218" t="s">
        <v>7952</v>
      </c>
      <c r="G718" s="218">
        <v>6</v>
      </c>
      <c r="H718" s="218" t="s">
        <v>614</v>
      </c>
      <c r="I718" s="218" t="str">
        <f>("1403100014")</f>
        <v>1403100014</v>
      </c>
    </row>
    <row r="719" spans="1:10" x14ac:dyDescent="0.15">
      <c r="A719" s="406" t="str">
        <f t="shared" si="11"/>
        <v>桃園サッカースポーツ少年団_11</v>
      </c>
      <c r="B719" s="218" t="s">
        <v>1283</v>
      </c>
      <c r="C719" s="218" t="str">
        <f>("11")</f>
        <v>11</v>
      </c>
      <c r="D719" s="218" t="s">
        <v>615</v>
      </c>
      <c r="E719" s="218" t="s">
        <v>7953</v>
      </c>
      <c r="F719" s="218" t="s">
        <v>7954</v>
      </c>
      <c r="G719" s="218">
        <v>5</v>
      </c>
      <c r="H719" s="218" t="s">
        <v>614</v>
      </c>
      <c r="I719" s="218" t="str">
        <f>("1512300001")</f>
        <v>1512300001</v>
      </c>
    </row>
    <row r="720" spans="1:10" x14ac:dyDescent="0.15">
      <c r="A720" s="406" t="str">
        <f t="shared" si="11"/>
        <v>桃園サッカースポーツ少年団_12</v>
      </c>
      <c r="B720" s="218" t="s">
        <v>1283</v>
      </c>
      <c r="C720" s="218" t="str">
        <f>("12")</f>
        <v>12</v>
      </c>
      <c r="D720" s="218" t="s">
        <v>624</v>
      </c>
      <c r="E720" s="218" t="s">
        <v>7955</v>
      </c>
      <c r="F720" s="218" t="s">
        <v>7956</v>
      </c>
      <c r="G720" s="218">
        <v>5</v>
      </c>
      <c r="H720" s="218" t="s">
        <v>614</v>
      </c>
      <c r="I720" s="218" t="str">
        <f>("1411100130")</f>
        <v>1411100130</v>
      </c>
    </row>
    <row r="721" spans="1:10" x14ac:dyDescent="0.15">
      <c r="A721" s="406" t="str">
        <f t="shared" si="11"/>
        <v>桃園サッカースポーツ少年団_13</v>
      </c>
      <c r="B721" s="218" t="s">
        <v>1283</v>
      </c>
      <c r="C721" s="218" t="str">
        <f>("13")</f>
        <v>13</v>
      </c>
      <c r="D721" s="218" t="s">
        <v>611</v>
      </c>
      <c r="E721" s="218" t="s">
        <v>7957</v>
      </c>
      <c r="F721" s="218" t="s">
        <v>7958</v>
      </c>
      <c r="G721" s="218">
        <v>5</v>
      </c>
      <c r="H721" s="218" t="s">
        <v>614</v>
      </c>
      <c r="I721" s="218" t="str">
        <f>("1405160136")</f>
        <v>1405160136</v>
      </c>
    </row>
    <row r="722" spans="1:10" x14ac:dyDescent="0.15">
      <c r="A722" s="406" t="str">
        <f t="shared" si="11"/>
        <v>桃園サッカースポーツ少年団_14</v>
      </c>
      <c r="B722" s="218" t="s">
        <v>1283</v>
      </c>
      <c r="C722" s="218" t="str">
        <f>("14")</f>
        <v>14</v>
      </c>
      <c r="D722" s="218" t="s">
        <v>611</v>
      </c>
      <c r="E722" s="218" t="s">
        <v>7959</v>
      </c>
      <c r="F722" s="218" t="s">
        <v>7960</v>
      </c>
      <c r="G722" s="218">
        <v>5</v>
      </c>
      <c r="H722" s="218" t="s">
        <v>614</v>
      </c>
      <c r="I722" s="218" t="str">
        <f>("1404110126")</f>
        <v>1404110126</v>
      </c>
    </row>
    <row r="723" spans="1:10" x14ac:dyDescent="0.15">
      <c r="A723" s="406" t="str">
        <f t="shared" si="11"/>
        <v>桃園サッカースポーツ少年団_15</v>
      </c>
      <c r="B723" s="218" t="s">
        <v>1283</v>
      </c>
      <c r="C723" s="218" t="str">
        <f>("15")</f>
        <v>15</v>
      </c>
      <c r="D723" s="218" t="s">
        <v>623</v>
      </c>
      <c r="E723" s="218" t="s">
        <v>7961</v>
      </c>
      <c r="F723" s="218" t="s">
        <v>7962</v>
      </c>
      <c r="G723" s="218">
        <v>5</v>
      </c>
      <c r="H723" s="218" t="s">
        <v>614</v>
      </c>
      <c r="I723" s="218" t="str">
        <f>("1405010168")</f>
        <v>1405010168</v>
      </c>
    </row>
    <row r="724" spans="1:10" x14ac:dyDescent="0.15">
      <c r="A724" s="406" t="str">
        <f t="shared" si="11"/>
        <v>桃園サッカースポーツ少年団_16</v>
      </c>
      <c r="B724" s="218" t="s">
        <v>1283</v>
      </c>
      <c r="C724" s="218" t="str">
        <f>("16")</f>
        <v>16</v>
      </c>
      <c r="D724" s="218" t="s">
        <v>623</v>
      </c>
      <c r="E724" s="218" t="s">
        <v>7963</v>
      </c>
      <c r="F724" s="218" t="s">
        <v>7964</v>
      </c>
      <c r="G724" s="218">
        <v>5</v>
      </c>
      <c r="H724" s="218" t="s">
        <v>614</v>
      </c>
      <c r="I724" s="218" t="str">
        <f>("1406290079")</f>
        <v>1406290079</v>
      </c>
    </row>
    <row r="725" spans="1:10" x14ac:dyDescent="0.15">
      <c r="A725" s="406" t="str">
        <f t="shared" si="11"/>
        <v>日出ＳＳＳ_1</v>
      </c>
      <c r="B725" s="218" t="s">
        <v>7965</v>
      </c>
      <c r="C725" s="218" t="str">
        <f>("1")</f>
        <v>1</v>
      </c>
      <c r="D725" s="218" t="s">
        <v>624</v>
      </c>
      <c r="E725" s="218" t="s">
        <v>7966</v>
      </c>
      <c r="F725" s="218" t="s">
        <v>7967</v>
      </c>
      <c r="G725" s="218">
        <v>6</v>
      </c>
      <c r="H725" s="218" t="s">
        <v>614</v>
      </c>
      <c r="I725" s="218" t="str">
        <f>("1307020033")</f>
        <v>1307020033</v>
      </c>
    </row>
    <row r="726" spans="1:10" x14ac:dyDescent="0.15">
      <c r="A726" s="406" t="str">
        <f t="shared" si="11"/>
        <v>日出ＳＳＳ_2</v>
      </c>
      <c r="B726" s="218" t="s">
        <v>7965</v>
      </c>
      <c r="C726" s="218" t="str">
        <f>("2")</f>
        <v>2</v>
      </c>
      <c r="D726" s="218" t="s">
        <v>615</v>
      </c>
      <c r="E726" s="218" t="s">
        <v>7968</v>
      </c>
      <c r="F726" s="218" t="s">
        <v>7969</v>
      </c>
      <c r="G726" s="218">
        <v>6</v>
      </c>
      <c r="H726" s="218" t="s">
        <v>616</v>
      </c>
      <c r="I726" s="218" t="str">
        <f>("1312260083")</f>
        <v>1312260083</v>
      </c>
    </row>
    <row r="727" spans="1:10" x14ac:dyDescent="0.15">
      <c r="A727" s="406" t="str">
        <f t="shared" si="11"/>
        <v>日出ＳＳＳ_3</v>
      </c>
      <c r="B727" s="218" t="s">
        <v>7965</v>
      </c>
      <c r="C727" s="218" t="str">
        <f>("3")</f>
        <v>3</v>
      </c>
      <c r="D727" s="218" t="s">
        <v>611</v>
      </c>
      <c r="E727" s="218" t="s">
        <v>7970</v>
      </c>
      <c r="F727" s="218" t="s">
        <v>7971</v>
      </c>
      <c r="G727" s="218">
        <v>6</v>
      </c>
      <c r="H727" s="218" t="s">
        <v>616</v>
      </c>
      <c r="I727" s="218" t="str">
        <f>("1309150092")</f>
        <v>1309150092</v>
      </c>
    </row>
    <row r="728" spans="1:10" x14ac:dyDescent="0.15">
      <c r="A728" s="406" t="str">
        <f t="shared" si="11"/>
        <v>日出ＳＳＳ_4</v>
      </c>
      <c r="B728" s="218" t="s">
        <v>7965</v>
      </c>
      <c r="C728" s="218" t="str">
        <f>("4")</f>
        <v>4</v>
      </c>
      <c r="D728" s="218" t="s">
        <v>611</v>
      </c>
      <c r="E728" s="218" t="s">
        <v>7972</v>
      </c>
      <c r="F728" s="218" t="s">
        <v>7973</v>
      </c>
      <c r="G728" s="218">
        <v>5</v>
      </c>
      <c r="H728" s="218" t="s">
        <v>614</v>
      </c>
      <c r="I728" s="218" t="str">
        <f>("1408070193")</f>
        <v>1408070193</v>
      </c>
    </row>
    <row r="729" spans="1:10" x14ac:dyDescent="0.15">
      <c r="A729" s="406" t="str">
        <f t="shared" si="11"/>
        <v>日出ＳＳＳ_5</v>
      </c>
      <c r="B729" s="218" t="s">
        <v>7965</v>
      </c>
      <c r="C729" s="218" t="str">
        <f>("5")</f>
        <v>5</v>
      </c>
      <c r="D729" s="218" t="s">
        <v>615</v>
      </c>
      <c r="E729" s="218" t="s">
        <v>7974</v>
      </c>
      <c r="F729" s="218" t="s">
        <v>7975</v>
      </c>
      <c r="G729" s="218">
        <v>5</v>
      </c>
      <c r="H729" s="218" t="s">
        <v>614</v>
      </c>
      <c r="I729" s="218" t="str">
        <f>("1404210193")</f>
        <v>1404210193</v>
      </c>
    </row>
    <row r="730" spans="1:10" x14ac:dyDescent="0.15">
      <c r="A730" s="406" t="str">
        <f t="shared" si="11"/>
        <v>日出ＳＳＳ_6</v>
      </c>
      <c r="B730" s="218" t="s">
        <v>7965</v>
      </c>
      <c r="C730" s="218" t="str">
        <f>("6")</f>
        <v>6</v>
      </c>
      <c r="D730" s="218" t="s">
        <v>623</v>
      </c>
      <c r="E730" s="218" t="s">
        <v>7976</v>
      </c>
      <c r="F730" s="218" t="s">
        <v>7977</v>
      </c>
      <c r="G730" s="218">
        <v>5</v>
      </c>
      <c r="H730" s="218" t="s">
        <v>614</v>
      </c>
      <c r="I730" s="218" t="str">
        <f>("1404090104")</f>
        <v>1404090104</v>
      </c>
    </row>
    <row r="731" spans="1:10" x14ac:dyDescent="0.15">
      <c r="A731" s="406" t="str">
        <f t="shared" si="11"/>
        <v>日出ＳＳＳ_7</v>
      </c>
      <c r="B731" s="218" t="s">
        <v>7965</v>
      </c>
      <c r="C731" s="218" t="str">
        <f>("7")</f>
        <v>7</v>
      </c>
      <c r="D731" s="218" t="s">
        <v>615</v>
      </c>
      <c r="E731" s="218" t="s">
        <v>1300</v>
      </c>
      <c r="F731" s="218" t="s">
        <v>1301</v>
      </c>
      <c r="G731" s="218">
        <v>5</v>
      </c>
      <c r="H731" s="218" t="s">
        <v>614</v>
      </c>
      <c r="I731" s="218" t="str">
        <f>("1406100027")</f>
        <v>1406100027</v>
      </c>
    </row>
    <row r="732" spans="1:10" x14ac:dyDescent="0.15">
      <c r="A732" s="406" t="str">
        <f t="shared" si="11"/>
        <v>日出ＳＳＳ_8</v>
      </c>
      <c r="B732" s="218" t="s">
        <v>7965</v>
      </c>
      <c r="C732" s="218" t="str">
        <f>("8")</f>
        <v>8</v>
      </c>
      <c r="D732" s="218" t="s">
        <v>615</v>
      </c>
      <c r="E732" s="218" t="s">
        <v>7978</v>
      </c>
      <c r="F732" s="218" t="s">
        <v>7979</v>
      </c>
      <c r="G732" s="218">
        <v>5</v>
      </c>
      <c r="H732" s="218" t="s">
        <v>614</v>
      </c>
      <c r="I732" s="218" t="str">
        <f>("1412130010")</f>
        <v>1412130010</v>
      </c>
    </row>
    <row r="733" spans="1:10" x14ac:dyDescent="0.15">
      <c r="A733" s="406" t="str">
        <f t="shared" si="11"/>
        <v>日出ＳＳＳ_9</v>
      </c>
      <c r="B733" s="218" t="s">
        <v>7965</v>
      </c>
      <c r="C733" s="218" t="str">
        <f>("9")</f>
        <v>9</v>
      </c>
      <c r="D733" s="218" t="s">
        <v>611</v>
      </c>
      <c r="E733" s="218" t="s">
        <v>1298</v>
      </c>
      <c r="F733" s="218" t="s">
        <v>1299</v>
      </c>
      <c r="G733" s="218">
        <v>5</v>
      </c>
      <c r="H733" s="218" t="s">
        <v>614</v>
      </c>
      <c r="I733" s="218" t="str">
        <f>("1404160052")</f>
        <v>1404160052</v>
      </c>
    </row>
    <row r="734" spans="1:10" x14ac:dyDescent="0.15">
      <c r="A734" s="406" t="str">
        <f t="shared" si="11"/>
        <v>日出ＳＳＳ_10</v>
      </c>
      <c r="B734" s="218" t="s">
        <v>7965</v>
      </c>
      <c r="C734" s="218" t="str">
        <f>("10")</f>
        <v>10</v>
      </c>
      <c r="D734" s="218" t="s">
        <v>611</v>
      </c>
      <c r="E734" s="218" t="s">
        <v>1302</v>
      </c>
      <c r="F734" s="218" t="s">
        <v>1303</v>
      </c>
      <c r="G734" s="218">
        <v>6</v>
      </c>
      <c r="H734" s="218" t="s">
        <v>614</v>
      </c>
      <c r="I734" s="218" t="str">
        <f>("1310310007")</f>
        <v>1310310007</v>
      </c>
      <c r="J734" s="218" t="s">
        <v>159</v>
      </c>
    </row>
    <row r="735" spans="1:10" x14ac:dyDescent="0.15">
      <c r="A735" s="406" t="str">
        <f t="shared" si="11"/>
        <v>日出ＳＳＳ_11</v>
      </c>
      <c r="B735" s="218" t="s">
        <v>7965</v>
      </c>
      <c r="C735" s="218" t="str">
        <f>("11")</f>
        <v>11</v>
      </c>
      <c r="D735" s="218" t="s">
        <v>623</v>
      </c>
      <c r="E735" s="218" t="s">
        <v>7980</v>
      </c>
      <c r="F735" s="218" t="s">
        <v>7981</v>
      </c>
      <c r="G735" s="218">
        <v>5</v>
      </c>
      <c r="H735" s="218" t="s">
        <v>614</v>
      </c>
      <c r="I735" s="218" t="str">
        <f>("1412020027")</f>
        <v>1412020027</v>
      </c>
    </row>
    <row r="736" spans="1:10" x14ac:dyDescent="0.15">
      <c r="A736" s="406" t="str">
        <f t="shared" si="11"/>
        <v>日出ＳＳＳ_12</v>
      </c>
      <c r="B736" s="218" t="s">
        <v>7965</v>
      </c>
      <c r="C736" s="218" t="str">
        <f>("12")</f>
        <v>12</v>
      </c>
      <c r="D736" s="218" t="s">
        <v>615</v>
      </c>
      <c r="E736" s="218" t="s">
        <v>7982</v>
      </c>
      <c r="F736" s="218" t="s">
        <v>7983</v>
      </c>
      <c r="G736" s="218">
        <v>5</v>
      </c>
      <c r="H736" s="218" t="s">
        <v>614</v>
      </c>
      <c r="I736" s="218" t="str">
        <f>("1410220038")</f>
        <v>1410220038</v>
      </c>
    </row>
    <row r="737" spans="1:10" x14ac:dyDescent="0.15">
      <c r="A737" s="406" t="str">
        <f t="shared" si="11"/>
        <v>日出ＳＳＳ_13</v>
      </c>
      <c r="B737" s="218" t="s">
        <v>7965</v>
      </c>
      <c r="C737" s="218" t="str">
        <f>("13")</f>
        <v>13</v>
      </c>
      <c r="D737" s="218" t="s">
        <v>615</v>
      </c>
      <c r="E737" s="218" t="s">
        <v>7984</v>
      </c>
      <c r="F737" s="218" t="s">
        <v>7985</v>
      </c>
      <c r="G737" s="218">
        <v>4</v>
      </c>
      <c r="H737" s="218" t="s">
        <v>614</v>
      </c>
      <c r="I737" s="218" t="str">
        <f>("1601090007")</f>
        <v>1601090007</v>
      </c>
    </row>
    <row r="738" spans="1:10" x14ac:dyDescent="0.15">
      <c r="A738" s="406" t="str">
        <f t="shared" si="11"/>
        <v>日出ＳＳＳ_14</v>
      </c>
      <c r="B738" s="218" t="s">
        <v>7965</v>
      </c>
      <c r="C738" s="218" t="str">
        <f>("14")</f>
        <v>14</v>
      </c>
      <c r="D738" s="218" t="s">
        <v>615</v>
      </c>
      <c r="E738" s="218" t="s">
        <v>7986</v>
      </c>
      <c r="F738" s="218" t="s">
        <v>7987</v>
      </c>
      <c r="G738" s="218">
        <v>4</v>
      </c>
      <c r="H738" s="218" t="s">
        <v>614</v>
      </c>
      <c r="I738" s="218" t="str">
        <f>("1601100003")</f>
        <v>1601100003</v>
      </c>
    </row>
    <row r="739" spans="1:10" x14ac:dyDescent="0.15">
      <c r="A739" s="406" t="str">
        <f t="shared" si="11"/>
        <v>日出ＳＳＳ_15</v>
      </c>
      <c r="B739" s="218" t="s">
        <v>7965</v>
      </c>
      <c r="C739" s="218" t="str">
        <f>("15")</f>
        <v>15</v>
      </c>
      <c r="D739" s="218" t="s">
        <v>615</v>
      </c>
      <c r="E739" s="218" t="s">
        <v>7988</v>
      </c>
      <c r="F739" s="218" t="s">
        <v>7989</v>
      </c>
      <c r="G739" s="218">
        <v>4</v>
      </c>
      <c r="H739" s="218" t="s">
        <v>614</v>
      </c>
      <c r="I739" s="218" t="str">
        <f>("1506010005")</f>
        <v>1506010005</v>
      </c>
    </row>
    <row r="740" spans="1:10" x14ac:dyDescent="0.15">
      <c r="A740" s="406" t="str">
        <f t="shared" si="11"/>
        <v>日出ＳＳＳ_16</v>
      </c>
      <c r="B740" s="218" t="s">
        <v>7965</v>
      </c>
      <c r="C740" s="218" t="str">
        <f>("16")</f>
        <v>16</v>
      </c>
      <c r="D740" s="218" t="s">
        <v>624</v>
      </c>
      <c r="E740" s="218" t="s">
        <v>7990</v>
      </c>
      <c r="F740" s="218" t="s">
        <v>7991</v>
      </c>
      <c r="G740" s="218">
        <v>5</v>
      </c>
      <c r="H740" s="218" t="s">
        <v>614</v>
      </c>
      <c r="I740" s="218" t="str">
        <f>("1502050007")</f>
        <v>1502050007</v>
      </c>
    </row>
    <row r="741" spans="1:10" x14ac:dyDescent="0.15">
      <c r="A741" s="406" t="str">
        <f t="shared" si="11"/>
        <v>日出ＳＳＳ　ＮＥＸＴ_1</v>
      </c>
      <c r="B741" s="218" t="s">
        <v>7992</v>
      </c>
      <c r="C741" s="218" t="str">
        <f>("1")</f>
        <v>1</v>
      </c>
      <c r="D741" s="218" t="s">
        <v>624</v>
      </c>
      <c r="E741" s="218" t="s">
        <v>7993</v>
      </c>
      <c r="F741" s="218" t="s">
        <v>7994</v>
      </c>
      <c r="G741" s="218">
        <v>5</v>
      </c>
      <c r="H741" s="218" t="s">
        <v>614</v>
      </c>
      <c r="I741" s="218" t="str">
        <f>("1501280005")</f>
        <v>1501280005</v>
      </c>
    </row>
    <row r="742" spans="1:10" x14ac:dyDescent="0.15">
      <c r="A742" s="406" t="str">
        <f t="shared" si="11"/>
        <v>日出ＳＳＳ　ＮＥＸＴ_2</v>
      </c>
      <c r="B742" s="218" t="s">
        <v>7992</v>
      </c>
      <c r="C742" s="218" t="str">
        <f>("2")</f>
        <v>2</v>
      </c>
      <c r="D742" s="218" t="s">
        <v>611</v>
      </c>
      <c r="E742" s="218" t="s">
        <v>7995</v>
      </c>
      <c r="F742" s="218" t="s">
        <v>7996</v>
      </c>
      <c r="G742" s="218">
        <v>5</v>
      </c>
      <c r="H742" s="218" t="s">
        <v>616</v>
      </c>
      <c r="I742" s="218" t="str">
        <f>("1408210033")</f>
        <v>1408210033</v>
      </c>
      <c r="J742" s="218" t="s">
        <v>159</v>
      </c>
    </row>
    <row r="743" spans="1:10" x14ac:dyDescent="0.15">
      <c r="A743" s="406" t="str">
        <f t="shared" si="11"/>
        <v>日出ＳＳＳ　ＮＥＸＴ_3</v>
      </c>
      <c r="B743" s="218" t="s">
        <v>7992</v>
      </c>
      <c r="C743" s="218" t="str">
        <f>("3")</f>
        <v>3</v>
      </c>
      <c r="D743" s="218" t="s">
        <v>611</v>
      </c>
      <c r="E743" s="218" t="s">
        <v>7997</v>
      </c>
      <c r="F743" s="218" t="s">
        <v>7998</v>
      </c>
      <c r="G743" s="218">
        <v>5</v>
      </c>
      <c r="H743" s="218" t="s">
        <v>614</v>
      </c>
      <c r="I743" s="218" t="str">
        <f>("1404170049")</f>
        <v>1404170049</v>
      </c>
    </row>
    <row r="744" spans="1:10" x14ac:dyDescent="0.15">
      <c r="A744" s="406" t="str">
        <f t="shared" si="11"/>
        <v>日出ＳＳＳ　ＮＥＸＴ_4</v>
      </c>
      <c r="B744" s="218" t="s">
        <v>7992</v>
      </c>
      <c r="C744" s="218" t="str">
        <f>("4")</f>
        <v>4</v>
      </c>
      <c r="D744" s="218" t="s">
        <v>611</v>
      </c>
      <c r="E744" s="218" t="s">
        <v>7999</v>
      </c>
      <c r="F744" s="218" t="s">
        <v>8000</v>
      </c>
      <c r="G744" s="218">
        <v>5</v>
      </c>
      <c r="H744" s="218" t="s">
        <v>616</v>
      </c>
      <c r="I744" s="218" t="str">
        <f>("1408070028")</f>
        <v>1408070028</v>
      </c>
    </row>
    <row r="745" spans="1:10" x14ac:dyDescent="0.15">
      <c r="A745" s="406" t="str">
        <f t="shared" si="11"/>
        <v>日出ＳＳＳ　ＮＥＸＴ_5</v>
      </c>
      <c r="B745" s="218" t="s">
        <v>7992</v>
      </c>
      <c r="C745" s="218" t="str">
        <f>("5")</f>
        <v>5</v>
      </c>
      <c r="D745" s="218" t="s">
        <v>623</v>
      </c>
      <c r="E745" s="218" t="s">
        <v>8001</v>
      </c>
      <c r="F745" s="218" t="s">
        <v>8002</v>
      </c>
      <c r="G745" s="218">
        <v>5</v>
      </c>
      <c r="H745" s="218" t="s">
        <v>614</v>
      </c>
      <c r="I745" s="218" t="str">
        <f>("1410090150")</f>
        <v>1410090150</v>
      </c>
    </row>
    <row r="746" spans="1:10" x14ac:dyDescent="0.15">
      <c r="A746" s="406" t="str">
        <f t="shared" si="11"/>
        <v>日出ＳＳＳ　ＮＥＸＴ_6</v>
      </c>
      <c r="B746" s="218" t="s">
        <v>7992</v>
      </c>
      <c r="C746" s="218" t="str">
        <f>("6")</f>
        <v>6</v>
      </c>
      <c r="D746" s="218" t="s">
        <v>615</v>
      </c>
      <c r="E746" s="218" t="s">
        <v>8003</v>
      </c>
      <c r="F746" s="218" t="s">
        <v>8004</v>
      </c>
      <c r="G746" s="218">
        <v>5</v>
      </c>
      <c r="H746" s="218" t="s">
        <v>614</v>
      </c>
      <c r="I746" s="218" t="str">
        <f>("1406250191")</f>
        <v>1406250191</v>
      </c>
    </row>
    <row r="747" spans="1:10" x14ac:dyDescent="0.15">
      <c r="A747" s="406" t="str">
        <f t="shared" si="11"/>
        <v>日出ＳＳＳ　ＮＥＸＴ_7</v>
      </c>
      <c r="B747" s="218" t="s">
        <v>7992</v>
      </c>
      <c r="C747" s="218" t="str">
        <f>("7")</f>
        <v>7</v>
      </c>
      <c r="D747" s="218" t="s">
        <v>623</v>
      </c>
      <c r="E747" s="218" t="s">
        <v>8005</v>
      </c>
      <c r="F747" s="218" t="s">
        <v>8006</v>
      </c>
      <c r="G747" s="218">
        <v>5</v>
      </c>
      <c r="H747" s="218" t="s">
        <v>614</v>
      </c>
      <c r="I747" s="218" t="str">
        <f>("1412170011")</f>
        <v>1412170011</v>
      </c>
    </row>
    <row r="748" spans="1:10" x14ac:dyDescent="0.15">
      <c r="A748" s="406" t="str">
        <f t="shared" si="11"/>
        <v>日出ＳＳＳ　ＮＥＸＴ_8</v>
      </c>
      <c r="B748" s="218" t="s">
        <v>7992</v>
      </c>
      <c r="C748" s="218" t="str">
        <f>("8")</f>
        <v>8</v>
      </c>
      <c r="D748" s="218" t="s">
        <v>615</v>
      </c>
      <c r="E748" s="218" t="s">
        <v>8007</v>
      </c>
      <c r="F748" s="218" t="s">
        <v>8008</v>
      </c>
      <c r="G748" s="218">
        <v>5</v>
      </c>
      <c r="H748" s="218" t="s">
        <v>614</v>
      </c>
      <c r="I748" s="218" t="str">
        <f>("1503200117")</f>
        <v>1503200117</v>
      </c>
    </row>
    <row r="749" spans="1:10" x14ac:dyDescent="0.15">
      <c r="A749" s="406" t="str">
        <f t="shared" si="11"/>
        <v>日出ＳＳＳ　ＮＥＸＴ_9</v>
      </c>
      <c r="B749" s="218" t="s">
        <v>7992</v>
      </c>
      <c r="C749" s="218" t="str">
        <f>("9")</f>
        <v>9</v>
      </c>
      <c r="D749" s="218" t="s">
        <v>623</v>
      </c>
      <c r="E749" s="218" t="s">
        <v>8009</v>
      </c>
      <c r="F749" s="218" t="s">
        <v>8010</v>
      </c>
      <c r="G749" s="218">
        <v>5</v>
      </c>
      <c r="H749" s="218" t="s">
        <v>614</v>
      </c>
      <c r="I749" s="218" t="str">
        <f>("1501060015")</f>
        <v>1501060015</v>
      </c>
    </row>
    <row r="750" spans="1:10" x14ac:dyDescent="0.15">
      <c r="A750" s="406" t="str">
        <f t="shared" si="11"/>
        <v>日出ＳＳＳ　ＮＥＸＴ_10</v>
      </c>
      <c r="B750" s="218" t="s">
        <v>7992</v>
      </c>
      <c r="C750" s="218" t="str">
        <f>("10")</f>
        <v>10</v>
      </c>
      <c r="D750" s="218" t="s">
        <v>615</v>
      </c>
      <c r="E750" s="218" t="s">
        <v>8011</v>
      </c>
      <c r="F750" s="218" t="s">
        <v>8012</v>
      </c>
      <c r="G750" s="218">
        <v>5</v>
      </c>
      <c r="H750" s="218" t="s">
        <v>614</v>
      </c>
      <c r="I750" s="218" t="str">
        <f>("1412270019")</f>
        <v>1412270019</v>
      </c>
    </row>
    <row r="751" spans="1:10" x14ac:dyDescent="0.15">
      <c r="A751" s="406" t="str">
        <f t="shared" si="11"/>
        <v>日出ＳＳＳ　ＮＥＸＴ_11</v>
      </c>
      <c r="B751" s="218" t="s">
        <v>7992</v>
      </c>
      <c r="C751" s="218" t="str">
        <f>("11")</f>
        <v>11</v>
      </c>
      <c r="D751" s="218" t="s">
        <v>623</v>
      </c>
      <c r="E751" s="218" t="s">
        <v>8013</v>
      </c>
      <c r="F751" s="218" t="s">
        <v>8014</v>
      </c>
      <c r="G751" s="218">
        <v>5</v>
      </c>
      <c r="H751" s="218" t="s">
        <v>614</v>
      </c>
      <c r="I751" s="218" t="str">
        <f>("1502210122")</f>
        <v>1502210122</v>
      </c>
    </row>
    <row r="752" spans="1:10" x14ac:dyDescent="0.15">
      <c r="A752" s="406" t="str">
        <f t="shared" si="11"/>
        <v>日出ＳＳＳ　ＮＥＸＴ_12</v>
      </c>
      <c r="B752" s="218" t="s">
        <v>7992</v>
      </c>
      <c r="C752" s="218" t="str">
        <f>("12")</f>
        <v>12</v>
      </c>
      <c r="D752" s="218" t="s">
        <v>611</v>
      </c>
      <c r="E752" s="218" t="s">
        <v>8015</v>
      </c>
      <c r="F752" s="218" t="s">
        <v>8016</v>
      </c>
      <c r="G752" s="218">
        <v>4</v>
      </c>
      <c r="H752" s="218" t="s">
        <v>614</v>
      </c>
      <c r="I752" s="218" t="str">
        <f>("1511290004")</f>
        <v>1511290004</v>
      </c>
    </row>
    <row r="753" spans="1:10" x14ac:dyDescent="0.15">
      <c r="A753" s="406" t="str">
        <f t="shared" si="11"/>
        <v>日出ＳＳＳ　ＮＥＸＴ_13</v>
      </c>
      <c r="B753" s="218" t="s">
        <v>7992</v>
      </c>
      <c r="C753" s="218" t="str">
        <f>("13")</f>
        <v>13</v>
      </c>
      <c r="D753" s="218" t="s">
        <v>611</v>
      </c>
      <c r="E753" s="218" t="s">
        <v>8017</v>
      </c>
      <c r="F753" s="218" t="s">
        <v>8018</v>
      </c>
      <c r="G753" s="218">
        <v>5</v>
      </c>
      <c r="H753" s="218" t="s">
        <v>614</v>
      </c>
      <c r="I753" s="218" t="str">
        <f>("1503060030")</f>
        <v>1503060030</v>
      </c>
    </row>
    <row r="754" spans="1:10" x14ac:dyDescent="0.15">
      <c r="A754" s="406" t="str">
        <f t="shared" si="11"/>
        <v>日出ＳＳＳ　ＮＥＸＴ_14</v>
      </c>
      <c r="B754" s="218" t="s">
        <v>7992</v>
      </c>
      <c r="C754" s="218" t="str">
        <f>("14")</f>
        <v>14</v>
      </c>
      <c r="D754" s="218" t="s">
        <v>615</v>
      </c>
      <c r="E754" s="218" t="s">
        <v>8019</v>
      </c>
      <c r="F754" s="218" t="s">
        <v>8020</v>
      </c>
      <c r="G754" s="218">
        <v>5</v>
      </c>
      <c r="H754" s="218" t="s">
        <v>614</v>
      </c>
      <c r="I754" s="218" t="str">
        <f>("1503290007")</f>
        <v>1503290007</v>
      </c>
    </row>
    <row r="755" spans="1:10" x14ac:dyDescent="0.15">
      <c r="A755" s="406" t="str">
        <f t="shared" si="11"/>
        <v>日出ＳＳＳ　ＮＥＸＴ_15</v>
      </c>
      <c r="B755" s="218" t="s">
        <v>7992</v>
      </c>
      <c r="C755" s="218" t="str">
        <f>("15")</f>
        <v>15</v>
      </c>
      <c r="D755" s="218" t="s">
        <v>615</v>
      </c>
      <c r="E755" s="218" t="s">
        <v>8021</v>
      </c>
      <c r="F755" s="218" t="s">
        <v>8022</v>
      </c>
      <c r="G755" s="218">
        <v>4</v>
      </c>
      <c r="H755" s="218" t="s">
        <v>614</v>
      </c>
      <c r="I755" s="218" t="str">
        <f>("1504260078")</f>
        <v>1504260078</v>
      </c>
    </row>
    <row r="756" spans="1:10" x14ac:dyDescent="0.15">
      <c r="A756" s="406" t="str">
        <f t="shared" si="11"/>
        <v>日出ＳＳＳ　ＮＥＸＴ_16</v>
      </c>
      <c r="B756" s="218" t="s">
        <v>7992</v>
      </c>
      <c r="C756" s="218" t="str">
        <f>("16")</f>
        <v>16</v>
      </c>
      <c r="D756" s="218" t="s">
        <v>624</v>
      </c>
      <c r="E756" s="218" t="s">
        <v>8023</v>
      </c>
      <c r="F756" s="218" t="s">
        <v>8024</v>
      </c>
      <c r="G756" s="218">
        <v>4</v>
      </c>
      <c r="H756" s="218" t="s">
        <v>614</v>
      </c>
      <c r="I756" s="218" t="str">
        <f>("1601050001")</f>
        <v>1601050001</v>
      </c>
    </row>
    <row r="757" spans="1:10" x14ac:dyDescent="0.15">
      <c r="A757" s="406" t="str">
        <f t="shared" si="11"/>
        <v>渡町台サッカークラブ_1</v>
      </c>
      <c r="B757" s="218" t="s">
        <v>1305</v>
      </c>
      <c r="C757" s="218" t="str">
        <f>("1")</f>
        <v>1</v>
      </c>
      <c r="D757" s="218" t="s">
        <v>624</v>
      </c>
      <c r="E757" s="218" t="s">
        <v>8025</v>
      </c>
      <c r="F757" s="218" t="s">
        <v>8026</v>
      </c>
      <c r="G757" s="218">
        <v>5</v>
      </c>
      <c r="H757" s="218" t="s">
        <v>614</v>
      </c>
      <c r="I757" s="218" t="str">
        <f>("1412290009")</f>
        <v>1412290009</v>
      </c>
    </row>
    <row r="758" spans="1:10" x14ac:dyDescent="0.15">
      <c r="A758" s="406" t="str">
        <f t="shared" si="11"/>
        <v>渡町台サッカークラブ_2</v>
      </c>
      <c r="B758" s="218" t="s">
        <v>1305</v>
      </c>
      <c r="C758" s="218" t="str">
        <f>("2")</f>
        <v>2</v>
      </c>
      <c r="D758" s="218" t="s">
        <v>611</v>
      </c>
      <c r="E758" s="218" t="s">
        <v>8027</v>
      </c>
      <c r="F758" s="218" t="s">
        <v>8028</v>
      </c>
      <c r="G758" s="218">
        <v>6</v>
      </c>
      <c r="H758" s="218" t="s">
        <v>614</v>
      </c>
      <c r="I758" s="218" t="str">
        <f>("1312090035")</f>
        <v>1312090035</v>
      </c>
    </row>
    <row r="759" spans="1:10" x14ac:dyDescent="0.15">
      <c r="A759" s="406" t="str">
        <f t="shared" si="11"/>
        <v>渡町台サッカークラブ_3</v>
      </c>
      <c r="B759" s="218" t="s">
        <v>1305</v>
      </c>
      <c r="C759" s="218" t="str">
        <f>("3")</f>
        <v>3</v>
      </c>
      <c r="D759" s="218" t="s">
        <v>611</v>
      </c>
      <c r="E759" s="218" t="s">
        <v>8029</v>
      </c>
      <c r="F759" s="218" t="s">
        <v>8030</v>
      </c>
      <c r="G759" s="218">
        <v>5</v>
      </c>
      <c r="H759" s="218" t="s">
        <v>614</v>
      </c>
      <c r="I759" s="218" t="str">
        <f>("1501270049")</f>
        <v>1501270049</v>
      </c>
    </row>
    <row r="760" spans="1:10" x14ac:dyDescent="0.15">
      <c r="A760" s="406" t="str">
        <f t="shared" si="11"/>
        <v>渡町台サッカークラブ_4</v>
      </c>
      <c r="B760" s="218" t="s">
        <v>1305</v>
      </c>
      <c r="C760" s="218" t="str">
        <f>("4")</f>
        <v>4</v>
      </c>
      <c r="D760" s="218" t="s">
        <v>615</v>
      </c>
      <c r="E760" s="218" t="s">
        <v>8031</v>
      </c>
      <c r="F760" s="218" t="s">
        <v>6377</v>
      </c>
      <c r="G760" s="218">
        <v>6</v>
      </c>
      <c r="H760" s="218" t="s">
        <v>614</v>
      </c>
      <c r="I760" s="218" t="str">
        <f>("1401160113")</f>
        <v>1401160113</v>
      </c>
    </row>
    <row r="761" spans="1:10" x14ac:dyDescent="0.15">
      <c r="A761" s="406" t="str">
        <f t="shared" si="11"/>
        <v>渡町台サッカークラブ_5</v>
      </c>
      <c r="B761" s="218" t="s">
        <v>1305</v>
      </c>
      <c r="C761" s="218" t="str">
        <f>("5")</f>
        <v>5</v>
      </c>
      <c r="D761" s="218" t="s">
        <v>615</v>
      </c>
      <c r="E761" s="218" t="s">
        <v>8032</v>
      </c>
      <c r="F761" s="218" t="s">
        <v>8033</v>
      </c>
      <c r="G761" s="218">
        <v>5</v>
      </c>
      <c r="H761" s="218" t="s">
        <v>614</v>
      </c>
      <c r="I761" s="218" t="str">
        <f>("1503030176")</f>
        <v>1503030176</v>
      </c>
    </row>
    <row r="762" spans="1:10" x14ac:dyDescent="0.15">
      <c r="A762" s="406" t="str">
        <f t="shared" si="11"/>
        <v>渡町台サッカークラブ_6</v>
      </c>
      <c r="B762" s="218" t="s">
        <v>1305</v>
      </c>
      <c r="C762" s="218" t="str">
        <f>("6")</f>
        <v>6</v>
      </c>
      <c r="D762" s="218" t="s">
        <v>615</v>
      </c>
      <c r="E762" s="218" t="s">
        <v>8034</v>
      </c>
      <c r="F762" s="218" t="s">
        <v>8035</v>
      </c>
      <c r="G762" s="218">
        <v>5</v>
      </c>
      <c r="H762" s="218" t="s">
        <v>614</v>
      </c>
      <c r="I762" s="218" t="str">
        <f>("1409180008")</f>
        <v>1409180008</v>
      </c>
    </row>
    <row r="763" spans="1:10" x14ac:dyDescent="0.15">
      <c r="A763" s="406" t="str">
        <f t="shared" si="11"/>
        <v>渡町台サッカークラブ_7</v>
      </c>
      <c r="B763" s="218" t="s">
        <v>1305</v>
      </c>
      <c r="C763" s="218" t="str">
        <f>("7")</f>
        <v>7</v>
      </c>
      <c r="D763" s="218" t="s">
        <v>615</v>
      </c>
      <c r="E763" s="218" t="s">
        <v>1318</v>
      </c>
      <c r="F763" s="218" t="s">
        <v>8036</v>
      </c>
      <c r="G763" s="218">
        <v>6</v>
      </c>
      <c r="H763" s="218" t="s">
        <v>614</v>
      </c>
      <c r="I763" s="218" t="str">
        <f>("1308020010")</f>
        <v>1308020010</v>
      </c>
    </row>
    <row r="764" spans="1:10" x14ac:dyDescent="0.15">
      <c r="A764" s="406" t="str">
        <f t="shared" si="11"/>
        <v>渡町台サッカークラブ_8</v>
      </c>
      <c r="B764" s="218" t="s">
        <v>1305</v>
      </c>
      <c r="C764" s="218" t="str">
        <f>("8")</f>
        <v>8</v>
      </c>
      <c r="D764" s="218" t="s">
        <v>615</v>
      </c>
      <c r="E764" s="218" t="s">
        <v>8037</v>
      </c>
      <c r="F764" s="218" t="s">
        <v>8038</v>
      </c>
      <c r="G764" s="218">
        <v>5</v>
      </c>
      <c r="H764" s="218" t="s">
        <v>614</v>
      </c>
      <c r="I764" s="218" t="str">
        <f>("1408280194")</f>
        <v>1408280194</v>
      </c>
    </row>
    <row r="765" spans="1:10" x14ac:dyDescent="0.15">
      <c r="A765" s="406" t="str">
        <f t="shared" si="11"/>
        <v>渡町台サッカークラブ_9</v>
      </c>
      <c r="B765" s="218" t="s">
        <v>1305</v>
      </c>
      <c r="C765" s="218" t="str">
        <f>("9")</f>
        <v>9</v>
      </c>
      <c r="D765" s="218" t="s">
        <v>623</v>
      </c>
      <c r="E765" s="218" t="s">
        <v>989</v>
      </c>
      <c r="F765" s="218" t="s">
        <v>990</v>
      </c>
      <c r="G765" s="218">
        <v>6</v>
      </c>
      <c r="H765" s="218" t="s">
        <v>614</v>
      </c>
      <c r="I765" s="218" t="str">
        <f>("1307300136")</f>
        <v>1307300136</v>
      </c>
    </row>
    <row r="766" spans="1:10" x14ac:dyDescent="0.15">
      <c r="A766" s="406" t="str">
        <f t="shared" si="11"/>
        <v>渡町台サッカークラブ_10</v>
      </c>
      <c r="B766" s="218" t="s">
        <v>1305</v>
      </c>
      <c r="C766" s="218" t="str">
        <f>("10")</f>
        <v>10</v>
      </c>
      <c r="D766" s="218" t="s">
        <v>611</v>
      </c>
      <c r="E766" s="218" t="s">
        <v>1319</v>
      </c>
      <c r="F766" s="218" t="s">
        <v>1320</v>
      </c>
      <c r="G766" s="218">
        <v>6</v>
      </c>
      <c r="H766" s="218" t="s">
        <v>614</v>
      </c>
      <c r="I766" s="218" t="str">
        <f>("1310160011")</f>
        <v>1310160011</v>
      </c>
      <c r="J766" s="218" t="s">
        <v>159</v>
      </c>
    </row>
    <row r="767" spans="1:10" x14ac:dyDescent="0.15">
      <c r="A767" s="406" t="str">
        <f t="shared" si="11"/>
        <v>渡町台サッカークラブ_11</v>
      </c>
      <c r="B767" s="218" t="s">
        <v>1305</v>
      </c>
      <c r="C767" s="218" t="str">
        <f>("11")</f>
        <v>11</v>
      </c>
      <c r="D767" s="218" t="s">
        <v>623</v>
      </c>
      <c r="E767" s="218" t="s">
        <v>8039</v>
      </c>
      <c r="F767" s="218" t="s">
        <v>8040</v>
      </c>
      <c r="G767" s="218">
        <v>5</v>
      </c>
      <c r="H767" s="218" t="s">
        <v>614</v>
      </c>
      <c r="I767" s="218" t="str">
        <f>("1404260046")</f>
        <v>1404260046</v>
      </c>
    </row>
    <row r="768" spans="1:10" x14ac:dyDescent="0.15">
      <c r="A768" s="406" t="str">
        <f t="shared" si="11"/>
        <v>渡町台サッカークラブ_12</v>
      </c>
      <c r="B768" s="218" t="s">
        <v>1305</v>
      </c>
      <c r="C768" s="218" t="str">
        <f>("12")</f>
        <v>12</v>
      </c>
      <c r="D768" s="218" t="s">
        <v>623</v>
      </c>
      <c r="E768" s="218" t="s">
        <v>8041</v>
      </c>
      <c r="F768" s="218" t="s">
        <v>8042</v>
      </c>
      <c r="G768" s="218">
        <v>5</v>
      </c>
      <c r="H768" s="218" t="s">
        <v>614</v>
      </c>
      <c r="I768" s="218" t="str">
        <f>("1411220178")</f>
        <v>1411220178</v>
      </c>
    </row>
    <row r="769" spans="1:10" x14ac:dyDescent="0.15">
      <c r="A769" s="406" t="str">
        <f t="shared" ref="A769:A832" si="12">CONCATENATE(B769,"_",C769)</f>
        <v>渡町台サッカークラブ_14</v>
      </c>
      <c r="B769" s="218" t="s">
        <v>1305</v>
      </c>
      <c r="C769" s="218" t="str">
        <f>("14")</f>
        <v>14</v>
      </c>
      <c r="D769" s="218" t="s">
        <v>623</v>
      </c>
      <c r="E769" s="218" t="s">
        <v>8043</v>
      </c>
      <c r="F769" s="218" t="s">
        <v>8044</v>
      </c>
      <c r="G769" s="218">
        <v>5</v>
      </c>
      <c r="H769" s="218" t="s">
        <v>614</v>
      </c>
      <c r="I769" s="218" t="str">
        <f>("1407190012")</f>
        <v>1407190012</v>
      </c>
    </row>
    <row r="770" spans="1:10" x14ac:dyDescent="0.15">
      <c r="A770" s="406" t="str">
        <f t="shared" si="12"/>
        <v>渡町台サッカークラブ_15</v>
      </c>
      <c r="B770" s="218" t="s">
        <v>1305</v>
      </c>
      <c r="C770" s="218" t="str">
        <f>("15")</f>
        <v>15</v>
      </c>
      <c r="D770" s="218" t="s">
        <v>615</v>
      </c>
      <c r="E770" s="218" t="s">
        <v>8045</v>
      </c>
      <c r="F770" s="218" t="s">
        <v>8046</v>
      </c>
      <c r="G770" s="218">
        <v>5</v>
      </c>
      <c r="H770" s="218" t="s">
        <v>614</v>
      </c>
      <c r="I770" s="218" t="str">
        <f>("1409140173")</f>
        <v>1409140173</v>
      </c>
    </row>
    <row r="771" spans="1:10" x14ac:dyDescent="0.15">
      <c r="A771" s="406" t="str">
        <f t="shared" si="12"/>
        <v>渡町台サッカークラブ_16</v>
      </c>
      <c r="B771" s="218" t="s">
        <v>1305</v>
      </c>
      <c r="C771" s="218" t="str">
        <f>("16")</f>
        <v>16</v>
      </c>
      <c r="D771" s="218" t="s">
        <v>615</v>
      </c>
      <c r="E771" s="218" t="s">
        <v>8047</v>
      </c>
      <c r="F771" s="218" t="s">
        <v>8048</v>
      </c>
      <c r="G771" s="218">
        <v>4</v>
      </c>
      <c r="H771" s="218" t="s">
        <v>614</v>
      </c>
      <c r="I771" s="218" t="str">
        <f>("1505150002")</f>
        <v>1505150002</v>
      </c>
    </row>
    <row r="772" spans="1:10" x14ac:dyDescent="0.15">
      <c r="A772" s="406" t="str">
        <f t="shared" si="12"/>
        <v>西の台ＪＦＣ_1</v>
      </c>
      <c r="B772" s="218" t="s">
        <v>1323</v>
      </c>
      <c r="C772" s="218" t="str">
        <f>("1")</f>
        <v>1</v>
      </c>
      <c r="D772" s="218" t="s">
        <v>624</v>
      </c>
      <c r="E772" s="218" t="s">
        <v>8049</v>
      </c>
      <c r="F772" s="218" t="s">
        <v>8050</v>
      </c>
      <c r="G772" s="218">
        <v>6</v>
      </c>
      <c r="H772" s="218" t="s">
        <v>614</v>
      </c>
      <c r="I772" s="218" t="str">
        <f>("1403050156")</f>
        <v>1403050156</v>
      </c>
    </row>
    <row r="773" spans="1:10" x14ac:dyDescent="0.15">
      <c r="A773" s="406" t="str">
        <f t="shared" si="12"/>
        <v>西の台ＪＦＣ_2</v>
      </c>
      <c r="B773" s="218" t="s">
        <v>1323</v>
      </c>
      <c r="C773" s="218" t="str">
        <f>("2")</f>
        <v>2</v>
      </c>
      <c r="D773" s="218" t="s">
        <v>615</v>
      </c>
      <c r="E773" s="218" t="s">
        <v>8051</v>
      </c>
      <c r="F773" s="218" t="s">
        <v>8052</v>
      </c>
      <c r="G773" s="218">
        <v>6</v>
      </c>
      <c r="H773" s="218" t="s">
        <v>614</v>
      </c>
      <c r="I773" s="218" t="str">
        <f>("1403170151")</f>
        <v>1403170151</v>
      </c>
    </row>
    <row r="774" spans="1:10" x14ac:dyDescent="0.15">
      <c r="A774" s="406" t="str">
        <f t="shared" si="12"/>
        <v>西の台ＪＦＣ_3</v>
      </c>
      <c r="B774" s="218" t="s">
        <v>1323</v>
      </c>
      <c r="C774" s="218" t="str">
        <f>("3")</f>
        <v>3</v>
      </c>
      <c r="D774" s="218" t="s">
        <v>611</v>
      </c>
      <c r="E774" s="218" t="s">
        <v>8053</v>
      </c>
      <c r="F774" s="218" t="s">
        <v>6670</v>
      </c>
      <c r="G774" s="218">
        <v>5</v>
      </c>
      <c r="H774" s="218" t="s">
        <v>614</v>
      </c>
      <c r="I774" s="218" t="str">
        <f>("1405150023")</f>
        <v>1405150023</v>
      </c>
    </row>
    <row r="775" spans="1:10" x14ac:dyDescent="0.15">
      <c r="A775" s="406" t="str">
        <f t="shared" si="12"/>
        <v>西の台ＪＦＣ_4</v>
      </c>
      <c r="B775" s="218" t="s">
        <v>1323</v>
      </c>
      <c r="C775" s="218" t="str">
        <f>("4")</f>
        <v>4</v>
      </c>
      <c r="D775" s="218" t="s">
        <v>615</v>
      </c>
      <c r="E775" s="218" t="s">
        <v>8054</v>
      </c>
      <c r="F775" s="218" t="s">
        <v>8055</v>
      </c>
      <c r="G775" s="218">
        <v>6</v>
      </c>
      <c r="H775" s="218" t="s">
        <v>614</v>
      </c>
      <c r="I775" s="218" t="str">
        <f>("1402040039")</f>
        <v>1402040039</v>
      </c>
    </row>
    <row r="776" spans="1:10" x14ac:dyDescent="0.15">
      <c r="A776" s="406" t="str">
        <f t="shared" si="12"/>
        <v>西の台ＪＦＣ_5</v>
      </c>
      <c r="B776" s="218" t="s">
        <v>1323</v>
      </c>
      <c r="C776" s="218" t="str">
        <f>("5")</f>
        <v>5</v>
      </c>
      <c r="D776" s="218" t="s">
        <v>611</v>
      </c>
      <c r="E776" s="218" t="s">
        <v>8056</v>
      </c>
      <c r="F776" s="218" t="s">
        <v>8057</v>
      </c>
      <c r="G776" s="218">
        <v>6</v>
      </c>
      <c r="H776" s="218" t="s">
        <v>614</v>
      </c>
      <c r="I776" s="218" t="str">
        <f>("1309300199")</f>
        <v>1309300199</v>
      </c>
    </row>
    <row r="777" spans="1:10" x14ac:dyDescent="0.15">
      <c r="A777" s="406" t="str">
        <f t="shared" si="12"/>
        <v>西の台ＪＦＣ_6</v>
      </c>
      <c r="B777" s="218" t="s">
        <v>1323</v>
      </c>
      <c r="C777" s="218" t="str">
        <f>("6")</f>
        <v>6</v>
      </c>
      <c r="D777" s="218" t="s">
        <v>615</v>
      </c>
      <c r="E777" s="218" t="s">
        <v>8058</v>
      </c>
      <c r="F777" s="218" t="s">
        <v>8059</v>
      </c>
      <c r="G777" s="218">
        <v>6</v>
      </c>
      <c r="H777" s="218" t="s">
        <v>614</v>
      </c>
      <c r="I777" s="218" t="str">
        <f>("1309040210")</f>
        <v>1309040210</v>
      </c>
    </row>
    <row r="778" spans="1:10" x14ac:dyDescent="0.15">
      <c r="A778" s="406" t="str">
        <f t="shared" si="12"/>
        <v>西の台ＪＦＣ_7</v>
      </c>
      <c r="B778" s="218" t="s">
        <v>1323</v>
      </c>
      <c r="C778" s="218" t="str">
        <f>("7")</f>
        <v>7</v>
      </c>
      <c r="D778" s="218" t="s">
        <v>615</v>
      </c>
      <c r="E778" s="218" t="s">
        <v>1339</v>
      </c>
      <c r="F778" s="218" t="s">
        <v>1340</v>
      </c>
      <c r="G778" s="218">
        <v>6</v>
      </c>
      <c r="H778" s="218" t="s">
        <v>614</v>
      </c>
      <c r="I778" s="218" t="str">
        <f>("1401120016")</f>
        <v>1401120016</v>
      </c>
      <c r="J778" s="218" t="s">
        <v>159</v>
      </c>
    </row>
    <row r="779" spans="1:10" x14ac:dyDescent="0.15">
      <c r="A779" s="406" t="str">
        <f t="shared" si="12"/>
        <v>西の台ＪＦＣ_8</v>
      </c>
      <c r="B779" s="218" t="s">
        <v>1323</v>
      </c>
      <c r="C779" s="218" t="str">
        <f>("8")</f>
        <v>8</v>
      </c>
      <c r="D779" s="218" t="s">
        <v>611</v>
      </c>
      <c r="E779" s="218" t="s">
        <v>1335</v>
      </c>
      <c r="F779" s="218" t="s">
        <v>1336</v>
      </c>
      <c r="G779" s="218">
        <v>6</v>
      </c>
      <c r="H779" s="218" t="s">
        <v>614</v>
      </c>
      <c r="I779" s="218" t="str">
        <f>("1301170045")</f>
        <v>1301170045</v>
      </c>
    </row>
    <row r="780" spans="1:10" x14ac:dyDescent="0.15">
      <c r="A780" s="406" t="str">
        <f t="shared" si="12"/>
        <v>西の台ＪＦＣ_9</v>
      </c>
      <c r="B780" s="218" t="s">
        <v>1323</v>
      </c>
      <c r="C780" s="218" t="str">
        <f>("9")</f>
        <v>9</v>
      </c>
      <c r="D780" s="218" t="s">
        <v>623</v>
      </c>
      <c r="E780" s="218" t="s">
        <v>1337</v>
      </c>
      <c r="F780" s="218" t="s">
        <v>1338</v>
      </c>
      <c r="G780" s="218">
        <v>6</v>
      </c>
      <c r="H780" s="218" t="s">
        <v>614</v>
      </c>
      <c r="I780" s="218" t="str">
        <f>("1308300019")</f>
        <v>1308300019</v>
      </c>
    </row>
    <row r="781" spans="1:10" x14ac:dyDescent="0.15">
      <c r="A781" s="406" t="str">
        <f t="shared" si="12"/>
        <v>西の台ＪＦＣ_10</v>
      </c>
      <c r="B781" s="218" t="s">
        <v>1323</v>
      </c>
      <c r="C781" s="218" t="str">
        <f>("10")</f>
        <v>10</v>
      </c>
      <c r="D781" s="218" t="s">
        <v>623</v>
      </c>
      <c r="E781" s="218" t="s">
        <v>8060</v>
      </c>
      <c r="F781" s="218" t="s">
        <v>8061</v>
      </c>
      <c r="G781" s="218">
        <v>6</v>
      </c>
      <c r="H781" s="218" t="s">
        <v>614</v>
      </c>
      <c r="I781" s="218" t="str">
        <f>("1306070019")</f>
        <v>1306070019</v>
      </c>
    </row>
    <row r="782" spans="1:10" x14ac:dyDescent="0.15">
      <c r="A782" s="406" t="str">
        <f t="shared" si="12"/>
        <v>西の台ＪＦＣ_11</v>
      </c>
      <c r="B782" s="218" t="s">
        <v>1323</v>
      </c>
      <c r="C782" s="218" t="str">
        <f>("11")</f>
        <v>11</v>
      </c>
      <c r="D782" s="218" t="s">
        <v>615</v>
      </c>
      <c r="E782" s="218" t="s">
        <v>8062</v>
      </c>
      <c r="F782" s="218" t="s">
        <v>8063</v>
      </c>
      <c r="G782" s="218">
        <v>5</v>
      </c>
      <c r="H782" s="218" t="s">
        <v>614</v>
      </c>
      <c r="I782" s="218" t="str">
        <f>("1404290017")</f>
        <v>1404290017</v>
      </c>
    </row>
    <row r="783" spans="1:10" x14ac:dyDescent="0.15">
      <c r="A783" s="406" t="str">
        <f t="shared" si="12"/>
        <v>西の台ＪＦＣ_12</v>
      </c>
      <c r="B783" s="218" t="s">
        <v>1323</v>
      </c>
      <c r="C783" s="218" t="str">
        <f>("12")</f>
        <v>12</v>
      </c>
      <c r="D783" s="218" t="s">
        <v>615</v>
      </c>
      <c r="E783" s="218" t="s">
        <v>8064</v>
      </c>
      <c r="F783" s="218" t="s">
        <v>8065</v>
      </c>
      <c r="G783" s="218">
        <v>6</v>
      </c>
      <c r="H783" s="218" t="s">
        <v>614</v>
      </c>
      <c r="I783" s="218" t="str">
        <f>("1309070154")</f>
        <v>1309070154</v>
      </c>
    </row>
    <row r="784" spans="1:10" x14ac:dyDescent="0.15">
      <c r="A784" s="406" t="str">
        <f t="shared" si="12"/>
        <v>西の台ＪＦＣ_13</v>
      </c>
      <c r="B784" s="218" t="s">
        <v>1323</v>
      </c>
      <c r="C784" s="218" t="str">
        <f>("13")</f>
        <v>13</v>
      </c>
      <c r="D784" s="218" t="s">
        <v>615</v>
      </c>
      <c r="E784" s="218" t="s">
        <v>8066</v>
      </c>
      <c r="F784" s="218" t="s">
        <v>8067</v>
      </c>
      <c r="G784" s="218">
        <v>4</v>
      </c>
      <c r="H784" s="218" t="s">
        <v>614</v>
      </c>
      <c r="I784" s="218" t="str">
        <f>("1503010066")</f>
        <v>1503010066</v>
      </c>
    </row>
    <row r="785" spans="1:10" x14ac:dyDescent="0.15">
      <c r="A785" s="406" t="str">
        <f t="shared" si="12"/>
        <v>西の台ＪＦＣ_14</v>
      </c>
      <c r="B785" s="218" t="s">
        <v>1323</v>
      </c>
      <c r="C785" s="218" t="str">
        <f>("14")</f>
        <v>14</v>
      </c>
      <c r="D785" s="218" t="s">
        <v>615</v>
      </c>
      <c r="E785" s="218" t="s">
        <v>8068</v>
      </c>
      <c r="F785" s="218" t="s">
        <v>8069</v>
      </c>
      <c r="G785" s="218">
        <v>5</v>
      </c>
      <c r="H785" s="218" t="s">
        <v>614</v>
      </c>
      <c r="I785" s="218" t="str">
        <f>("1407100021")</f>
        <v>1407100021</v>
      </c>
    </row>
    <row r="786" spans="1:10" x14ac:dyDescent="0.15">
      <c r="A786" s="406" t="str">
        <f t="shared" si="12"/>
        <v>西の台ＪＦＣ_15</v>
      </c>
      <c r="B786" s="218" t="s">
        <v>1323</v>
      </c>
      <c r="C786" s="218" t="str">
        <f>("15")</f>
        <v>15</v>
      </c>
      <c r="D786" s="218" t="s">
        <v>615</v>
      </c>
      <c r="E786" s="218" t="s">
        <v>8070</v>
      </c>
      <c r="F786" s="218" t="s">
        <v>8071</v>
      </c>
      <c r="G786" s="218">
        <v>5</v>
      </c>
      <c r="H786" s="218" t="s">
        <v>614</v>
      </c>
      <c r="I786" s="218" t="str">
        <f>("1405070015")</f>
        <v>1405070015</v>
      </c>
    </row>
    <row r="787" spans="1:10" x14ac:dyDescent="0.15">
      <c r="A787" s="406" t="str">
        <f t="shared" si="12"/>
        <v>西の台ＪＦＣ_16</v>
      </c>
      <c r="B787" s="218" t="s">
        <v>1323</v>
      </c>
      <c r="C787" s="218" t="str">
        <f>("16")</f>
        <v>16</v>
      </c>
      <c r="D787" s="218" t="s">
        <v>615</v>
      </c>
      <c r="E787" s="218" t="s">
        <v>8072</v>
      </c>
      <c r="F787" s="218" t="s">
        <v>8073</v>
      </c>
      <c r="G787" s="218">
        <v>4</v>
      </c>
      <c r="H787" s="218" t="s">
        <v>614</v>
      </c>
      <c r="I787" s="218" t="str">
        <f>("1505300034")</f>
        <v>1505300034</v>
      </c>
    </row>
    <row r="788" spans="1:10" x14ac:dyDescent="0.15">
      <c r="A788" s="406" t="str">
        <f t="shared" si="12"/>
        <v>豊後高田ＦＣ　Ｂｏｒｄｅｒ　Ｊｒ_1</v>
      </c>
      <c r="B788" s="218" t="s">
        <v>1341</v>
      </c>
      <c r="C788" s="218" t="str">
        <f>("1")</f>
        <v>1</v>
      </c>
      <c r="D788" s="218" t="s">
        <v>624</v>
      </c>
      <c r="E788" s="218" t="s">
        <v>8074</v>
      </c>
      <c r="F788" s="218" t="s">
        <v>8075</v>
      </c>
      <c r="G788" s="218">
        <v>5</v>
      </c>
      <c r="H788" s="218" t="s">
        <v>614</v>
      </c>
      <c r="I788" s="218" t="str">
        <f>("1502090082")</f>
        <v>1502090082</v>
      </c>
    </row>
    <row r="789" spans="1:10" x14ac:dyDescent="0.15">
      <c r="A789" s="406" t="str">
        <f t="shared" si="12"/>
        <v>豊後高田ＦＣ　Ｂｏｒｄｅｒ　Ｊｒ_2</v>
      </c>
      <c r="B789" s="218" t="s">
        <v>1341</v>
      </c>
      <c r="C789" s="218" t="str">
        <f>("2")</f>
        <v>2</v>
      </c>
      <c r="D789" s="218" t="s">
        <v>611</v>
      </c>
      <c r="E789" s="218" t="s">
        <v>8076</v>
      </c>
      <c r="F789" s="218" t="s">
        <v>8077</v>
      </c>
      <c r="G789" s="218">
        <v>5</v>
      </c>
      <c r="H789" s="218" t="s">
        <v>616</v>
      </c>
      <c r="I789" s="218" t="str">
        <f>("1406200078")</f>
        <v>1406200078</v>
      </c>
    </row>
    <row r="790" spans="1:10" x14ac:dyDescent="0.15">
      <c r="A790" s="406" t="str">
        <f t="shared" si="12"/>
        <v>豊後高田ＦＣ　Ｂｏｒｄｅｒ　Ｊｒ_4</v>
      </c>
      <c r="B790" s="218" t="s">
        <v>1341</v>
      </c>
      <c r="C790" s="218" t="str">
        <f>("4")</f>
        <v>4</v>
      </c>
      <c r="D790" s="218" t="s">
        <v>615</v>
      </c>
      <c r="E790" s="218" t="s">
        <v>8078</v>
      </c>
      <c r="F790" s="218" t="s">
        <v>8079</v>
      </c>
      <c r="G790" s="218">
        <v>5</v>
      </c>
      <c r="H790" s="218" t="s">
        <v>614</v>
      </c>
      <c r="I790" s="218" t="str">
        <f>("1502130016")</f>
        <v>1502130016</v>
      </c>
    </row>
    <row r="791" spans="1:10" x14ac:dyDescent="0.15">
      <c r="A791" s="406" t="str">
        <f t="shared" si="12"/>
        <v>豊後高田ＦＣ　Ｂｏｒｄｅｒ　Ｊｒ_6</v>
      </c>
      <c r="B791" s="218" t="s">
        <v>1341</v>
      </c>
      <c r="C791" s="218" t="str">
        <f>("6")</f>
        <v>6</v>
      </c>
      <c r="D791" s="218" t="s">
        <v>615</v>
      </c>
      <c r="E791" s="218" t="s">
        <v>8080</v>
      </c>
      <c r="F791" s="218" t="s">
        <v>8081</v>
      </c>
      <c r="G791" s="218">
        <v>5</v>
      </c>
      <c r="H791" s="218" t="s">
        <v>614</v>
      </c>
      <c r="I791" s="218" t="str">
        <f>("1412150158")</f>
        <v>1412150158</v>
      </c>
    </row>
    <row r="792" spans="1:10" x14ac:dyDescent="0.15">
      <c r="A792" s="406" t="str">
        <f t="shared" si="12"/>
        <v>豊後高田ＦＣ　Ｂｏｒｄｅｒ　Ｊｒ_7</v>
      </c>
      <c r="B792" s="218" t="s">
        <v>1341</v>
      </c>
      <c r="C792" s="218" t="str">
        <f>("7")</f>
        <v>7</v>
      </c>
      <c r="D792" s="218" t="s">
        <v>611</v>
      </c>
      <c r="E792" s="218" t="s">
        <v>1342</v>
      </c>
      <c r="F792" s="218" t="s">
        <v>1343</v>
      </c>
      <c r="G792" s="218">
        <v>6</v>
      </c>
      <c r="H792" s="218" t="s">
        <v>614</v>
      </c>
      <c r="I792" s="218" t="str">
        <f>("1304240176")</f>
        <v>1304240176</v>
      </c>
      <c r="J792" s="218" t="s">
        <v>159</v>
      </c>
    </row>
    <row r="793" spans="1:10" x14ac:dyDescent="0.15">
      <c r="A793" s="406" t="str">
        <f t="shared" si="12"/>
        <v>豊後高田ＦＣ　Ｂｏｒｄｅｒ　Ｊｒ_8</v>
      </c>
      <c r="B793" s="218" t="s">
        <v>1341</v>
      </c>
      <c r="C793" s="218" t="str">
        <f>("8")</f>
        <v>8</v>
      </c>
      <c r="D793" s="218" t="s">
        <v>611</v>
      </c>
      <c r="E793" s="218" t="s">
        <v>8082</v>
      </c>
      <c r="F793" s="218" t="s">
        <v>8083</v>
      </c>
      <c r="G793" s="218">
        <v>6</v>
      </c>
      <c r="H793" s="218" t="s">
        <v>614</v>
      </c>
      <c r="I793" s="218" t="str">
        <f>("1312280178")</f>
        <v>1312280178</v>
      </c>
    </row>
    <row r="794" spans="1:10" x14ac:dyDescent="0.15">
      <c r="A794" s="406" t="str">
        <f t="shared" si="12"/>
        <v>豊後高田ＦＣ　Ｂｏｒｄｅｒ　Ｊｒ_9</v>
      </c>
      <c r="B794" s="218" t="s">
        <v>1341</v>
      </c>
      <c r="C794" s="218" t="str">
        <f>("9")</f>
        <v>9</v>
      </c>
      <c r="D794" s="218" t="s">
        <v>611</v>
      </c>
      <c r="E794" s="218" t="s">
        <v>8084</v>
      </c>
      <c r="F794" s="218" t="s">
        <v>8085</v>
      </c>
      <c r="G794" s="218">
        <v>6</v>
      </c>
      <c r="H794" s="218" t="s">
        <v>616</v>
      </c>
      <c r="I794" s="218" t="str">
        <f>("1305170272")</f>
        <v>1305170272</v>
      </c>
    </row>
    <row r="795" spans="1:10" x14ac:dyDescent="0.15">
      <c r="A795" s="406" t="str">
        <f t="shared" si="12"/>
        <v>豊後高田ＦＣ　Ｂｏｒｄｅｒ　Ｊｒ_10</v>
      </c>
      <c r="B795" s="218" t="s">
        <v>1341</v>
      </c>
      <c r="C795" s="218" t="str">
        <f>("10")</f>
        <v>10</v>
      </c>
      <c r="D795" s="218" t="s">
        <v>623</v>
      </c>
      <c r="E795" s="218" t="s">
        <v>8086</v>
      </c>
      <c r="F795" s="218" t="s">
        <v>8087</v>
      </c>
      <c r="G795" s="218">
        <v>6</v>
      </c>
      <c r="H795" s="218" t="s">
        <v>614</v>
      </c>
      <c r="I795" s="218" t="str">
        <f>("1307210188")</f>
        <v>1307210188</v>
      </c>
    </row>
    <row r="796" spans="1:10" x14ac:dyDescent="0.15">
      <c r="A796" s="406" t="str">
        <f t="shared" si="12"/>
        <v>豊後高田ＦＣ　Ｂｏｒｄｅｒ　Ｊｒ_11</v>
      </c>
      <c r="B796" s="218" t="s">
        <v>1341</v>
      </c>
      <c r="C796" s="218" t="str">
        <f>("11")</f>
        <v>11</v>
      </c>
      <c r="D796" s="218" t="s">
        <v>615</v>
      </c>
      <c r="E796" s="218" t="s">
        <v>8088</v>
      </c>
      <c r="F796" s="218" t="s">
        <v>8089</v>
      </c>
      <c r="G796" s="218">
        <v>6</v>
      </c>
      <c r="H796" s="218" t="s">
        <v>614</v>
      </c>
      <c r="I796" s="218" t="str">
        <f>("1311190019")</f>
        <v>1311190019</v>
      </c>
    </row>
    <row r="797" spans="1:10" x14ac:dyDescent="0.15">
      <c r="A797" s="406" t="str">
        <f t="shared" si="12"/>
        <v>豊後高田ＦＣ　Ｂｏｒｄｅｒ　Ｊｒ_12</v>
      </c>
      <c r="B797" s="218" t="s">
        <v>1341</v>
      </c>
      <c r="C797" s="218" t="str">
        <f>("12")</f>
        <v>12</v>
      </c>
      <c r="D797" s="218" t="s">
        <v>611</v>
      </c>
      <c r="E797" s="218" t="s">
        <v>8090</v>
      </c>
      <c r="F797" s="218" t="s">
        <v>8091</v>
      </c>
      <c r="G797" s="218">
        <v>5</v>
      </c>
      <c r="H797" s="218" t="s">
        <v>614</v>
      </c>
      <c r="I797" s="218" t="str">
        <f>("1503030191")</f>
        <v>1503030191</v>
      </c>
    </row>
    <row r="798" spans="1:10" x14ac:dyDescent="0.15">
      <c r="A798" s="406" t="str">
        <f t="shared" si="12"/>
        <v>豊後高田ＦＣ　Ｂｏｒｄｅｒ　Ｊｒ_13</v>
      </c>
      <c r="B798" s="218" t="s">
        <v>1341</v>
      </c>
      <c r="C798" s="218" t="str">
        <f>("13")</f>
        <v>13</v>
      </c>
      <c r="D798" s="218" t="s">
        <v>623</v>
      </c>
      <c r="E798" s="218" t="s">
        <v>8092</v>
      </c>
      <c r="F798" s="218" t="s">
        <v>8093</v>
      </c>
      <c r="G798" s="218">
        <v>4</v>
      </c>
      <c r="H798" s="218" t="s">
        <v>614</v>
      </c>
      <c r="I798" s="218" t="str">
        <f>("1508100020")</f>
        <v>1508100020</v>
      </c>
    </row>
    <row r="799" spans="1:10" x14ac:dyDescent="0.15">
      <c r="A799" s="406" t="str">
        <f t="shared" si="12"/>
        <v>豊後高田ＦＣ　Ｂｏｒｄｅｒ　Ｊｒ_14</v>
      </c>
      <c r="B799" s="218" t="s">
        <v>1341</v>
      </c>
      <c r="C799" s="218" t="str">
        <f>("14")</f>
        <v>14</v>
      </c>
      <c r="D799" s="218" t="s">
        <v>615</v>
      </c>
      <c r="E799" s="218" t="s">
        <v>8094</v>
      </c>
      <c r="F799" s="218" t="s">
        <v>8095</v>
      </c>
      <c r="G799" s="218">
        <v>4</v>
      </c>
      <c r="H799" s="218" t="s">
        <v>614</v>
      </c>
      <c r="I799" s="218" t="str">
        <f>("1505200029")</f>
        <v>1505200029</v>
      </c>
    </row>
    <row r="800" spans="1:10" x14ac:dyDescent="0.15">
      <c r="A800" s="406" t="str">
        <f t="shared" si="12"/>
        <v>豊後高田ＦＣ　Ｂｏｒｄｅｒ　Ｊｒ_15</v>
      </c>
      <c r="B800" s="218" t="s">
        <v>1341</v>
      </c>
      <c r="C800" s="218" t="str">
        <f>("15")</f>
        <v>15</v>
      </c>
      <c r="D800" s="218" t="s">
        <v>615</v>
      </c>
      <c r="E800" s="218" t="s">
        <v>8096</v>
      </c>
      <c r="F800" s="218" t="s">
        <v>8097</v>
      </c>
      <c r="G800" s="218">
        <v>6</v>
      </c>
      <c r="H800" s="218" t="s">
        <v>614</v>
      </c>
      <c r="I800" s="218" t="str">
        <f>("1312180198")</f>
        <v>1312180198</v>
      </c>
    </row>
    <row r="801" spans="1:10" x14ac:dyDescent="0.15">
      <c r="A801" s="406" t="str">
        <f t="shared" si="12"/>
        <v>豊後高田ＦＣ　Ｂｏｒｄｅｒ　Ｊｒ_16</v>
      </c>
      <c r="B801" s="218" t="s">
        <v>1341</v>
      </c>
      <c r="C801" s="218" t="str">
        <f>("16")</f>
        <v>16</v>
      </c>
      <c r="D801" s="218" t="s">
        <v>611</v>
      </c>
      <c r="E801" s="218" t="s">
        <v>1344</v>
      </c>
      <c r="F801" s="218" t="s">
        <v>3844</v>
      </c>
      <c r="G801" s="218">
        <v>6</v>
      </c>
      <c r="H801" s="218" t="s">
        <v>614</v>
      </c>
      <c r="I801" s="218" t="str">
        <f>("1306170026")</f>
        <v>1306170026</v>
      </c>
    </row>
    <row r="802" spans="1:10" x14ac:dyDescent="0.15">
      <c r="A802" s="406" t="str">
        <f t="shared" si="12"/>
        <v>竹田直入ＦＣ_1</v>
      </c>
      <c r="B802" s="218" t="s">
        <v>1345</v>
      </c>
      <c r="C802" s="218" t="str">
        <f>("1")</f>
        <v>1</v>
      </c>
      <c r="D802" s="218" t="s">
        <v>624</v>
      </c>
      <c r="E802" s="218" t="s">
        <v>8098</v>
      </c>
      <c r="F802" s="218" t="s">
        <v>8099</v>
      </c>
      <c r="G802" s="218">
        <v>6</v>
      </c>
      <c r="H802" s="218" t="s">
        <v>614</v>
      </c>
      <c r="I802" s="218" t="str">
        <f>("1308090222")</f>
        <v>1308090222</v>
      </c>
    </row>
    <row r="803" spans="1:10" x14ac:dyDescent="0.15">
      <c r="A803" s="406" t="str">
        <f t="shared" si="12"/>
        <v>竹田直入ＦＣ_2</v>
      </c>
      <c r="B803" s="218" t="s">
        <v>1345</v>
      </c>
      <c r="C803" s="218" t="str">
        <f>("2")</f>
        <v>2</v>
      </c>
      <c r="D803" s="218" t="s">
        <v>611</v>
      </c>
      <c r="E803" s="218" t="s">
        <v>8100</v>
      </c>
      <c r="F803" s="218" t="s">
        <v>8101</v>
      </c>
      <c r="G803" s="218">
        <v>6</v>
      </c>
      <c r="H803" s="218" t="s">
        <v>614</v>
      </c>
      <c r="I803" s="218" t="str">
        <f>("1309260229")</f>
        <v>1309260229</v>
      </c>
    </row>
    <row r="804" spans="1:10" x14ac:dyDescent="0.15">
      <c r="A804" s="406" t="str">
        <f t="shared" si="12"/>
        <v>竹田直入ＦＣ_3</v>
      </c>
      <c r="B804" s="218" t="s">
        <v>1345</v>
      </c>
      <c r="C804" s="218" t="str">
        <f>("3")</f>
        <v>3</v>
      </c>
      <c r="D804" s="218" t="s">
        <v>615</v>
      </c>
      <c r="E804" s="218" t="s">
        <v>8102</v>
      </c>
      <c r="F804" s="218" t="s">
        <v>8103</v>
      </c>
      <c r="G804" s="218">
        <v>6</v>
      </c>
      <c r="H804" s="218" t="s">
        <v>614</v>
      </c>
      <c r="I804" s="218" t="str">
        <f>("1311080178")</f>
        <v>1311080178</v>
      </c>
    </row>
    <row r="805" spans="1:10" x14ac:dyDescent="0.15">
      <c r="A805" s="406" t="str">
        <f t="shared" si="12"/>
        <v>竹田直入ＦＣ_4</v>
      </c>
      <c r="B805" s="218" t="s">
        <v>1345</v>
      </c>
      <c r="C805" s="218" t="str">
        <f>("4")</f>
        <v>4</v>
      </c>
      <c r="D805" s="218" t="s">
        <v>623</v>
      </c>
      <c r="E805" s="218" t="s">
        <v>1357</v>
      </c>
      <c r="F805" s="218" t="s">
        <v>1358</v>
      </c>
      <c r="G805" s="218">
        <v>6</v>
      </c>
      <c r="H805" s="218" t="s">
        <v>614</v>
      </c>
      <c r="I805" s="218" t="str">
        <f>("1312100148")</f>
        <v>1312100148</v>
      </c>
    </row>
    <row r="806" spans="1:10" x14ac:dyDescent="0.15">
      <c r="A806" s="406" t="str">
        <f t="shared" si="12"/>
        <v>竹田直入ＦＣ_5</v>
      </c>
      <c r="B806" s="218" t="s">
        <v>1345</v>
      </c>
      <c r="C806" s="218" t="str">
        <f>("5")</f>
        <v>5</v>
      </c>
      <c r="D806" s="218" t="s">
        <v>611</v>
      </c>
      <c r="E806" s="218" t="s">
        <v>1355</v>
      </c>
      <c r="F806" s="218" t="s">
        <v>1356</v>
      </c>
      <c r="G806" s="218">
        <v>6</v>
      </c>
      <c r="H806" s="218" t="s">
        <v>616</v>
      </c>
      <c r="I806" s="218" t="str">
        <f>("1308300047")</f>
        <v>1308300047</v>
      </c>
    </row>
    <row r="807" spans="1:10" x14ac:dyDescent="0.15">
      <c r="A807" s="406" t="str">
        <f t="shared" si="12"/>
        <v>竹田直入ＦＣ_6</v>
      </c>
      <c r="B807" s="218" t="s">
        <v>1345</v>
      </c>
      <c r="C807" s="218" t="str">
        <f>("6")</f>
        <v>6</v>
      </c>
      <c r="D807" s="218" t="s">
        <v>615</v>
      </c>
      <c r="E807" s="218" t="s">
        <v>8104</v>
      </c>
      <c r="F807" s="218" t="s">
        <v>8105</v>
      </c>
      <c r="G807" s="218">
        <v>5</v>
      </c>
      <c r="H807" s="218" t="s">
        <v>614</v>
      </c>
      <c r="I807" s="218" t="str">
        <f>("1404220014")</f>
        <v>1404220014</v>
      </c>
    </row>
    <row r="808" spans="1:10" x14ac:dyDescent="0.15">
      <c r="A808" s="406" t="str">
        <f t="shared" si="12"/>
        <v>竹田直入ＦＣ_7</v>
      </c>
      <c r="B808" s="218" t="s">
        <v>1345</v>
      </c>
      <c r="C808" s="218" t="str">
        <f>("7")</f>
        <v>7</v>
      </c>
      <c r="D808" s="218" t="s">
        <v>623</v>
      </c>
      <c r="E808" s="218" t="s">
        <v>1361</v>
      </c>
      <c r="F808" s="218" t="s">
        <v>1362</v>
      </c>
      <c r="G808" s="218">
        <v>5</v>
      </c>
      <c r="H808" s="218" t="s">
        <v>614</v>
      </c>
      <c r="I808" s="218" t="str">
        <f>("1405090007")</f>
        <v>1405090007</v>
      </c>
    </row>
    <row r="809" spans="1:10" x14ac:dyDescent="0.15">
      <c r="A809" s="406" t="str">
        <f t="shared" si="12"/>
        <v>竹田直入ＦＣ_8</v>
      </c>
      <c r="B809" s="218" t="s">
        <v>1345</v>
      </c>
      <c r="C809" s="218" t="str">
        <f>("8")</f>
        <v>8</v>
      </c>
      <c r="D809" s="218" t="s">
        <v>615</v>
      </c>
      <c r="E809" s="218" t="s">
        <v>8106</v>
      </c>
      <c r="F809" s="218" t="s">
        <v>8107</v>
      </c>
      <c r="G809" s="218">
        <v>6</v>
      </c>
      <c r="H809" s="218" t="s">
        <v>614</v>
      </c>
      <c r="I809" s="218" t="str">
        <f>("1307110206")</f>
        <v>1307110206</v>
      </c>
    </row>
    <row r="810" spans="1:10" x14ac:dyDescent="0.15">
      <c r="A810" s="406" t="str">
        <f t="shared" si="12"/>
        <v>竹田直入ＦＣ_9</v>
      </c>
      <c r="B810" s="218" t="s">
        <v>1345</v>
      </c>
      <c r="C810" s="218" t="str">
        <f>("9")</f>
        <v>9</v>
      </c>
      <c r="D810" s="218" t="s">
        <v>615</v>
      </c>
      <c r="E810" s="218" t="s">
        <v>8108</v>
      </c>
      <c r="F810" s="218" t="s">
        <v>8109</v>
      </c>
      <c r="G810" s="218">
        <v>6</v>
      </c>
      <c r="H810" s="218" t="s">
        <v>614</v>
      </c>
      <c r="I810" s="218" t="str">
        <f>("1312210135")</f>
        <v>1312210135</v>
      </c>
    </row>
    <row r="811" spans="1:10" x14ac:dyDescent="0.15">
      <c r="A811" s="406" t="str">
        <f t="shared" si="12"/>
        <v>竹田直入ＦＣ_10</v>
      </c>
      <c r="B811" s="218" t="s">
        <v>1345</v>
      </c>
      <c r="C811" s="218" t="str">
        <f>("10")</f>
        <v>10</v>
      </c>
      <c r="D811" s="218" t="s">
        <v>615</v>
      </c>
      <c r="E811" s="218" t="s">
        <v>1353</v>
      </c>
      <c r="F811" s="218" t="s">
        <v>1354</v>
      </c>
      <c r="G811" s="218">
        <v>6</v>
      </c>
      <c r="H811" s="218" t="s">
        <v>614</v>
      </c>
      <c r="I811" s="218" t="str">
        <f>("1306270040")</f>
        <v>1306270040</v>
      </c>
      <c r="J811" s="218" t="s">
        <v>159</v>
      </c>
    </row>
    <row r="812" spans="1:10" x14ac:dyDescent="0.15">
      <c r="A812" s="406" t="str">
        <f t="shared" si="12"/>
        <v>竹田直入ＦＣ_11</v>
      </c>
      <c r="B812" s="218" t="s">
        <v>1345</v>
      </c>
      <c r="C812" s="218" t="str">
        <f>("11")</f>
        <v>11</v>
      </c>
      <c r="D812" s="218" t="s">
        <v>611</v>
      </c>
      <c r="E812" s="218" t="s">
        <v>1359</v>
      </c>
      <c r="F812" s="218" t="s">
        <v>1360</v>
      </c>
      <c r="G812" s="218">
        <v>6</v>
      </c>
      <c r="H812" s="218" t="s">
        <v>614</v>
      </c>
      <c r="I812" s="218" t="str">
        <f>("1402080015")</f>
        <v>1402080015</v>
      </c>
    </row>
    <row r="813" spans="1:10" x14ac:dyDescent="0.15">
      <c r="A813" s="406" t="str">
        <f t="shared" si="12"/>
        <v>竹田直入ＦＣ_13</v>
      </c>
      <c r="B813" s="218" t="s">
        <v>1345</v>
      </c>
      <c r="C813" s="218" t="str">
        <f>("13")</f>
        <v>13</v>
      </c>
      <c r="D813" s="218" t="s">
        <v>623</v>
      </c>
      <c r="E813" s="218" t="s">
        <v>8110</v>
      </c>
      <c r="F813" s="218" t="s">
        <v>8111</v>
      </c>
      <c r="G813" s="218">
        <v>5</v>
      </c>
      <c r="H813" s="218" t="s">
        <v>614</v>
      </c>
      <c r="I813" s="218" t="str">
        <f>("1407060007")</f>
        <v>1407060007</v>
      </c>
    </row>
    <row r="814" spans="1:10" x14ac:dyDescent="0.15">
      <c r="A814" s="406" t="str">
        <f t="shared" si="12"/>
        <v>竹田直入ＦＣ_14</v>
      </c>
      <c r="B814" s="218" t="s">
        <v>1345</v>
      </c>
      <c r="C814" s="218" t="str">
        <f>("14")</f>
        <v>14</v>
      </c>
      <c r="D814" s="218" t="s">
        <v>611</v>
      </c>
      <c r="E814" s="218" t="s">
        <v>8112</v>
      </c>
      <c r="F814" s="218" t="s">
        <v>8113</v>
      </c>
      <c r="G814" s="218">
        <v>4</v>
      </c>
      <c r="H814" s="218" t="s">
        <v>614</v>
      </c>
      <c r="I814" s="218" t="str">
        <f>("1601200003")</f>
        <v>1601200003</v>
      </c>
    </row>
    <row r="815" spans="1:10" x14ac:dyDescent="0.15">
      <c r="A815" s="406" t="str">
        <f t="shared" si="12"/>
        <v>竹田直入ＦＣ_15</v>
      </c>
      <c r="B815" s="218" t="s">
        <v>1345</v>
      </c>
      <c r="C815" s="218" t="str">
        <f>("15")</f>
        <v>15</v>
      </c>
      <c r="D815" s="218" t="s">
        <v>623</v>
      </c>
      <c r="E815" s="218" t="s">
        <v>8114</v>
      </c>
      <c r="F815" s="218" t="s">
        <v>8115</v>
      </c>
      <c r="G815" s="218">
        <v>4</v>
      </c>
      <c r="H815" s="218" t="s">
        <v>614</v>
      </c>
      <c r="I815" s="218" t="str">
        <f>("1506230029")</f>
        <v>1506230029</v>
      </c>
    </row>
    <row r="816" spans="1:10" x14ac:dyDescent="0.15">
      <c r="A816" s="406" t="str">
        <f t="shared" si="12"/>
        <v>竹田直入ＦＣ_16</v>
      </c>
      <c r="B816" s="218" t="s">
        <v>1345</v>
      </c>
      <c r="C816" s="218" t="str">
        <f>("16")</f>
        <v>16</v>
      </c>
      <c r="D816" s="218" t="s">
        <v>615</v>
      </c>
      <c r="E816" s="218" t="s">
        <v>8116</v>
      </c>
      <c r="F816" s="218" t="s">
        <v>8117</v>
      </c>
      <c r="G816" s="218">
        <v>4</v>
      </c>
      <c r="H816" s="218" t="s">
        <v>614</v>
      </c>
      <c r="I816" s="218" t="str">
        <f>("1507150028")</f>
        <v>1507150028</v>
      </c>
    </row>
    <row r="817" spans="1:10" x14ac:dyDescent="0.15">
      <c r="A817" s="406" t="str">
        <f t="shared" si="12"/>
        <v>竹田直入ＦＣ_17</v>
      </c>
      <c r="B817" s="218" t="s">
        <v>1345</v>
      </c>
      <c r="C817" s="218" t="str">
        <f>("17")</f>
        <v>17</v>
      </c>
      <c r="D817" s="218" t="s">
        <v>611</v>
      </c>
      <c r="E817" s="218" t="s">
        <v>8118</v>
      </c>
      <c r="F817" s="218" t="s">
        <v>8119</v>
      </c>
      <c r="G817" s="218">
        <v>4</v>
      </c>
      <c r="H817" s="218" t="s">
        <v>614</v>
      </c>
      <c r="I817" s="218" t="str">
        <f>("1509220020")</f>
        <v>1509220020</v>
      </c>
    </row>
    <row r="818" spans="1:10" x14ac:dyDescent="0.15">
      <c r="A818" s="406" t="str">
        <f t="shared" si="12"/>
        <v>南立石サッカースポーツ少年団_2</v>
      </c>
      <c r="B818" s="218" t="s">
        <v>1363</v>
      </c>
      <c r="C818" s="218" t="str">
        <f>("2")</f>
        <v>2</v>
      </c>
      <c r="D818" s="218" t="s">
        <v>611</v>
      </c>
      <c r="E818" s="218" t="s">
        <v>8120</v>
      </c>
      <c r="F818" s="218" t="s">
        <v>8121</v>
      </c>
      <c r="G818" s="218">
        <v>5</v>
      </c>
      <c r="H818" s="218" t="s">
        <v>614</v>
      </c>
      <c r="I818" s="218" t="str">
        <f>("1405070145")</f>
        <v>1405070145</v>
      </c>
    </row>
    <row r="819" spans="1:10" x14ac:dyDescent="0.15">
      <c r="A819" s="406" t="str">
        <f t="shared" si="12"/>
        <v>南立石サッカースポーツ少年団_3</v>
      </c>
      <c r="B819" s="218" t="s">
        <v>1363</v>
      </c>
      <c r="C819" s="218" t="str">
        <f>("3")</f>
        <v>3</v>
      </c>
      <c r="D819" s="218" t="s">
        <v>624</v>
      </c>
      <c r="E819" s="218" t="s">
        <v>8122</v>
      </c>
      <c r="F819" s="218" t="s">
        <v>8123</v>
      </c>
      <c r="G819" s="218">
        <v>5</v>
      </c>
      <c r="H819" s="218" t="s">
        <v>614</v>
      </c>
      <c r="I819" s="218" t="str">
        <f>("1408280127")</f>
        <v>1408280127</v>
      </c>
    </row>
    <row r="820" spans="1:10" x14ac:dyDescent="0.15">
      <c r="A820" s="406" t="str">
        <f t="shared" si="12"/>
        <v>南立石サッカースポーツ少年団_4</v>
      </c>
      <c r="B820" s="218" t="s">
        <v>1363</v>
      </c>
      <c r="C820" s="218" t="str">
        <f>("4")</f>
        <v>4</v>
      </c>
      <c r="D820" s="218" t="s">
        <v>611</v>
      </c>
      <c r="E820" s="218" t="s">
        <v>8124</v>
      </c>
      <c r="F820" s="218" t="s">
        <v>1689</v>
      </c>
      <c r="G820" s="218">
        <v>5</v>
      </c>
      <c r="H820" s="218" t="s">
        <v>614</v>
      </c>
      <c r="I820" s="218" t="str">
        <f>("1409070075")</f>
        <v>1409070075</v>
      </c>
    </row>
    <row r="821" spans="1:10" x14ac:dyDescent="0.15">
      <c r="A821" s="406" t="str">
        <f t="shared" si="12"/>
        <v>南立石サッカースポーツ少年団_5</v>
      </c>
      <c r="B821" s="218" t="s">
        <v>1363</v>
      </c>
      <c r="C821" s="218" t="str">
        <f>("5")</f>
        <v>5</v>
      </c>
      <c r="D821" s="218" t="s">
        <v>611</v>
      </c>
      <c r="E821" s="218" t="s">
        <v>1370</v>
      </c>
      <c r="F821" s="218" t="s">
        <v>1371</v>
      </c>
      <c r="G821" s="218">
        <v>6</v>
      </c>
      <c r="H821" s="218" t="s">
        <v>614</v>
      </c>
      <c r="I821" s="218" t="str">
        <f>("1312040015")</f>
        <v>1312040015</v>
      </c>
      <c r="J821" s="218" t="s">
        <v>159</v>
      </c>
    </row>
    <row r="822" spans="1:10" x14ac:dyDescent="0.15">
      <c r="A822" s="406" t="str">
        <f t="shared" si="12"/>
        <v>南立石サッカースポーツ少年団_6</v>
      </c>
      <c r="B822" s="218" t="s">
        <v>1363</v>
      </c>
      <c r="C822" s="218" t="str">
        <f>("6")</f>
        <v>6</v>
      </c>
      <c r="D822" s="218" t="s">
        <v>624</v>
      </c>
      <c r="E822" s="218" t="s">
        <v>1366</v>
      </c>
      <c r="F822" s="218" t="s">
        <v>1367</v>
      </c>
      <c r="G822" s="218">
        <v>6</v>
      </c>
      <c r="H822" s="218" t="s">
        <v>614</v>
      </c>
      <c r="I822" s="218" t="str">
        <f>("1305210037")</f>
        <v>1305210037</v>
      </c>
    </row>
    <row r="823" spans="1:10" x14ac:dyDescent="0.15">
      <c r="A823" s="406" t="str">
        <f t="shared" si="12"/>
        <v>南立石サッカースポーツ少年団_7</v>
      </c>
      <c r="B823" s="218" t="s">
        <v>1363</v>
      </c>
      <c r="C823" s="218" t="str">
        <f>("7")</f>
        <v>7</v>
      </c>
      <c r="D823" s="218" t="s">
        <v>615</v>
      </c>
      <c r="E823" s="218" t="s">
        <v>8125</v>
      </c>
      <c r="F823" s="218" t="s">
        <v>8126</v>
      </c>
      <c r="G823" s="218">
        <v>6</v>
      </c>
      <c r="H823" s="218" t="s">
        <v>614</v>
      </c>
      <c r="I823" s="218" t="str">
        <f>("1403150024")</f>
        <v>1403150024</v>
      </c>
    </row>
    <row r="824" spans="1:10" x14ac:dyDescent="0.15">
      <c r="A824" s="406" t="str">
        <f t="shared" si="12"/>
        <v>南立石サッカースポーツ少年団_9</v>
      </c>
      <c r="B824" s="218" t="s">
        <v>1363</v>
      </c>
      <c r="C824" s="218" t="str">
        <f>("9")</f>
        <v>9</v>
      </c>
      <c r="D824" s="218" t="s">
        <v>623</v>
      </c>
      <c r="E824" s="218" t="s">
        <v>1375</v>
      </c>
      <c r="F824" s="218" t="s">
        <v>1376</v>
      </c>
      <c r="G824" s="218">
        <v>6</v>
      </c>
      <c r="H824" s="218" t="s">
        <v>614</v>
      </c>
      <c r="I824" s="218" t="str">
        <f>("1309190050")</f>
        <v>1309190050</v>
      </c>
    </row>
    <row r="825" spans="1:10" x14ac:dyDescent="0.15">
      <c r="A825" s="406" t="str">
        <f t="shared" si="12"/>
        <v>南立石サッカースポーツ少年団_10</v>
      </c>
      <c r="B825" s="218" t="s">
        <v>1363</v>
      </c>
      <c r="C825" s="218" t="str">
        <f>("10")</f>
        <v>10</v>
      </c>
      <c r="D825" s="218" t="s">
        <v>611</v>
      </c>
      <c r="E825" s="218" t="s">
        <v>1377</v>
      </c>
      <c r="F825" s="218" t="s">
        <v>1378</v>
      </c>
      <c r="G825" s="218">
        <v>6</v>
      </c>
      <c r="H825" s="218" t="s">
        <v>614</v>
      </c>
      <c r="I825" s="218" t="str">
        <f>("1310280030")</f>
        <v>1310280030</v>
      </c>
    </row>
    <row r="826" spans="1:10" x14ac:dyDescent="0.15">
      <c r="A826" s="406" t="str">
        <f t="shared" si="12"/>
        <v>南立石サッカースポーツ少年団_11</v>
      </c>
      <c r="B826" s="218" t="s">
        <v>1363</v>
      </c>
      <c r="C826" s="218" t="str">
        <f>("11")</f>
        <v>11</v>
      </c>
      <c r="D826" s="218" t="s">
        <v>615</v>
      </c>
      <c r="E826" s="218" t="s">
        <v>1372</v>
      </c>
      <c r="F826" s="218" t="s">
        <v>1373</v>
      </c>
      <c r="G826" s="218">
        <v>6</v>
      </c>
      <c r="H826" s="218" t="s">
        <v>614</v>
      </c>
      <c r="I826" s="218" t="str">
        <f>("1310040018")</f>
        <v>1310040018</v>
      </c>
    </row>
    <row r="827" spans="1:10" x14ac:dyDescent="0.15">
      <c r="A827" s="406" t="str">
        <f t="shared" si="12"/>
        <v>南立石サッカースポーツ少年団_12</v>
      </c>
      <c r="B827" s="218" t="s">
        <v>1363</v>
      </c>
      <c r="C827" s="218" t="str">
        <f>("12")</f>
        <v>12</v>
      </c>
      <c r="D827" s="218" t="s">
        <v>615</v>
      </c>
      <c r="E827" s="218" t="s">
        <v>8127</v>
      </c>
      <c r="F827" s="218" t="s">
        <v>8128</v>
      </c>
      <c r="G827" s="218">
        <v>5</v>
      </c>
      <c r="H827" s="218" t="s">
        <v>614</v>
      </c>
      <c r="I827" s="218" t="str">
        <f>("1410200115")</f>
        <v>1410200115</v>
      </c>
    </row>
    <row r="828" spans="1:10" x14ac:dyDescent="0.15">
      <c r="A828" s="406" t="str">
        <f t="shared" si="12"/>
        <v>南立石サッカースポーツ少年団_13</v>
      </c>
      <c r="B828" s="218" t="s">
        <v>1363</v>
      </c>
      <c r="C828" s="218" t="str">
        <f>("13")</f>
        <v>13</v>
      </c>
      <c r="D828" s="218" t="s">
        <v>623</v>
      </c>
      <c r="E828" s="218" t="s">
        <v>8129</v>
      </c>
      <c r="F828" s="218" t="s">
        <v>8130</v>
      </c>
      <c r="G828" s="218">
        <v>5</v>
      </c>
      <c r="H828" s="218" t="s">
        <v>614</v>
      </c>
      <c r="I828" s="218" t="str">
        <f>("1412090139")</f>
        <v>1412090139</v>
      </c>
    </row>
    <row r="829" spans="1:10" x14ac:dyDescent="0.15">
      <c r="A829" s="406" t="str">
        <f t="shared" si="12"/>
        <v>南立石サッカースポーツ少年団_15</v>
      </c>
      <c r="B829" s="218" t="s">
        <v>1363</v>
      </c>
      <c r="C829" s="218" t="str">
        <f>("15")</f>
        <v>15</v>
      </c>
      <c r="D829" s="218" t="s">
        <v>623</v>
      </c>
      <c r="E829" s="218" t="s">
        <v>1368</v>
      </c>
      <c r="F829" s="218" t="s">
        <v>1369</v>
      </c>
      <c r="G829" s="218">
        <v>6</v>
      </c>
      <c r="H829" s="218" t="s">
        <v>614</v>
      </c>
      <c r="I829" s="218" t="str">
        <f>("1309100020")</f>
        <v>1309100020</v>
      </c>
    </row>
    <row r="830" spans="1:10" x14ac:dyDescent="0.15">
      <c r="A830" s="406" t="str">
        <f t="shared" si="12"/>
        <v>南立石サッカースポーツ少年団_17</v>
      </c>
      <c r="B830" s="218" t="s">
        <v>1363</v>
      </c>
      <c r="C830" s="218" t="str">
        <f>("17")</f>
        <v>17</v>
      </c>
      <c r="D830" s="218" t="s">
        <v>611</v>
      </c>
      <c r="E830" s="218" t="s">
        <v>1379</v>
      </c>
      <c r="F830" s="218" t="s">
        <v>1380</v>
      </c>
      <c r="G830" s="218">
        <v>6</v>
      </c>
      <c r="H830" s="218" t="s">
        <v>614</v>
      </c>
      <c r="I830" s="218" t="str">
        <f>("1311020016")</f>
        <v>1311020016</v>
      </c>
    </row>
    <row r="831" spans="1:10" x14ac:dyDescent="0.15">
      <c r="A831" s="406" t="str">
        <f t="shared" si="12"/>
        <v>南立石サッカースポーツ少年団_19</v>
      </c>
      <c r="B831" s="218" t="s">
        <v>1363</v>
      </c>
      <c r="C831" s="218" t="str">
        <f>("19")</f>
        <v>19</v>
      </c>
      <c r="D831" s="218" t="s">
        <v>615</v>
      </c>
      <c r="E831" s="218" t="s">
        <v>8131</v>
      </c>
      <c r="F831" s="218" t="s">
        <v>8052</v>
      </c>
      <c r="G831" s="218">
        <v>5</v>
      </c>
      <c r="H831" s="218" t="s">
        <v>614</v>
      </c>
      <c r="I831" s="218" t="str">
        <f>("1404160136")</f>
        <v>1404160136</v>
      </c>
    </row>
    <row r="832" spans="1:10" x14ac:dyDescent="0.15">
      <c r="A832" s="406" t="str">
        <f t="shared" si="12"/>
        <v>南立石サッカースポーツ少年団_20</v>
      </c>
      <c r="B832" s="218" t="s">
        <v>1363</v>
      </c>
      <c r="C832" s="218" t="str">
        <f>("20")</f>
        <v>20</v>
      </c>
      <c r="D832" s="218" t="s">
        <v>611</v>
      </c>
      <c r="E832" s="218" t="s">
        <v>8132</v>
      </c>
      <c r="F832" s="218" t="s">
        <v>8133</v>
      </c>
      <c r="G832" s="218">
        <v>5</v>
      </c>
      <c r="H832" s="218" t="s">
        <v>614</v>
      </c>
      <c r="I832" s="218" t="str">
        <f>("1408250116")</f>
        <v>1408250116</v>
      </c>
    </row>
    <row r="833" spans="1:10" x14ac:dyDescent="0.15">
      <c r="A833" s="406" t="str">
        <f t="shared" ref="A833:A896" si="13">CONCATENATE(B833,"_",C833)</f>
        <v>南立石サッカースポーツ少年団_21</v>
      </c>
      <c r="B833" s="218" t="s">
        <v>1363</v>
      </c>
      <c r="C833" s="218" t="str">
        <f>("21")</f>
        <v>21</v>
      </c>
      <c r="D833" s="218" t="s">
        <v>615</v>
      </c>
      <c r="E833" s="218" t="s">
        <v>8134</v>
      </c>
      <c r="F833" s="218" t="s">
        <v>8135</v>
      </c>
      <c r="G833" s="218">
        <v>5</v>
      </c>
      <c r="H833" s="218" t="s">
        <v>614</v>
      </c>
      <c r="I833" s="218" t="str">
        <f>("1406190125")</f>
        <v>1406190125</v>
      </c>
    </row>
    <row r="834" spans="1:10" x14ac:dyDescent="0.15">
      <c r="A834" s="406" t="str">
        <f t="shared" si="13"/>
        <v>ドリームキッズフットボールクラブ_1</v>
      </c>
      <c r="B834" s="218" t="s">
        <v>1381</v>
      </c>
      <c r="C834" s="218" t="str">
        <f>("1")</f>
        <v>1</v>
      </c>
      <c r="D834" s="218" t="s">
        <v>624</v>
      </c>
      <c r="E834" s="218" t="s">
        <v>8136</v>
      </c>
      <c r="F834" s="218" t="s">
        <v>830</v>
      </c>
      <c r="G834" s="218">
        <v>5</v>
      </c>
      <c r="H834" s="218" t="s">
        <v>614</v>
      </c>
      <c r="I834" s="218" t="str">
        <f>("1405300162")</f>
        <v>1405300162</v>
      </c>
    </row>
    <row r="835" spans="1:10" x14ac:dyDescent="0.15">
      <c r="A835" s="406" t="str">
        <f t="shared" si="13"/>
        <v>ドリームキッズフットボールクラブ_2</v>
      </c>
      <c r="B835" s="218" t="s">
        <v>1381</v>
      </c>
      <c r="C835" s="218" t="str">
        <f>("2")</f>
        <v>2</v>
      </c>
      <c r="D835" s="218" t="s">
        <v>611</v>
      </c>
      <c r="E835" s="218" t="s">
        <v>8137</v>
      </c>
      <c r="F835" s="218" t="s">
        <v>8138</v>
      </c>
      <c r="G835" s="218">
        <v>5</v>
      </c>
      <c r="H835" s="218" t="s">
        <v>614</v>
      </c>
      <c r="I835" s="218" t="str">
        <f>("1501060122")</f>
        <v>1501060122</v>
      </c>
    </row>
    <row r="836" spans="1:10" x14ac:dyDescent="0.15">
      <c r="A836" s="406" t="str">
        <f t="shared" si="13"/>
        <v>ドリームキッズフットボールクラブ_3</v>
      </c>
      <c r="B836" s="218" t="s">
        <v>1381</v>
      </c>
      <c r="C836" s="218" t="str">
        <f>("3")</f>
        <v>3</v>
      </c>
      <c r="D836" s="218" t="s">
        <v>611</v>
      </c>
      <c r="E836" s="218" t="s">
        <v>8139</v>
      </c>
      <c r="F836" s="218" t="s">
        <v>8140</v>
      </c>
      <c r="G836" s="218">
        <v>5</v>
      </c>
      <c r="H836" s="218" t="s">
        <v>614</v>
      </c>
      <c r="I836" s="218" t="str">
        <f>("1404080142")</f>
        <v>1404080142</v>
      </c>
    </row>
    <row r="837" spans="1:10" x14ac:dyDescent="0.15">
      <c r="A837" s="406" t="str">
        <f t="shared" si="13"/>
        <v>ドリームキッズフットボールクラブ_4</v>
      </c>
      <c r="B837" s="218" t="s">
        <v>1381</v>
      </c>
      <c r="C837" s="218" t="str">
        <f>("4")</f>
        <v>4</v>
      </c>
      <c r="D837" s="218" t="s">
        <v>611</v>
      </c>
      <c r="E837" s="218" t="s">
        <v>8141</v>
      </c>
      <c r="F837" s="218" t="s">
        <v>8142</v>
      </c>
      <c r="G837" s="218">
        <v>5</v>
      </c>
      <c r="H837" s="218" t="s">
        <v>614</v>
      </c>
      <c r="I837" s="218" t="str">
        <f>("1407210087")</f>
        <v>1407210087</v>
      </c>
    </row>
    <row r="838" spans="1:10" x14ac:dyDescent="0.15">
      <c r="A838" s="406" t="str">
        <f t="shared" si="13"/>
        <v>ドリームキッズフットボールクラブ_5</v>
      </c>
      <c r="B838" s="218" t="s">
        <v>1381</v>
      </c>
      <c r="C838" s="218" t="str">
        <f>("5")</f>
        <v>5</v>
      </c>
      <c r="D838" s="218" t="s">
        <v>611</v>
      </c>
      <c r="E838" s="218" t="s">
        <v>8143</v>
      </c>
      <c r="F838" s="218" t="s">
        <v>8144</v>
      </c>
      <c r="G838" s="218">
        <v>5</v>
      </c>
      <c r="H838" s="218" t="s">
        <v>614</v>
      </c>
      <c r="I838" s="218" t="str">
        <f>("1409150101")</f>
        <v>1409150101</v>
      </c>
    </row>
    <row r="839" spans="1:10" x14ac:dyDescent="0.15">
      <c r="A839" s="406" t="str">
        <f t="shared" si="13"/>
        <v>ドリームキッズフットボールクラブ_6</v>
      </c>
      <c r="B839" s="218" t="s">
        <v>1381</v>
      </c>
      <c r="C839" s="218" t="str">
        <f>("6")</f>
        <v>6</v>
      </c>
      <c r="D839" s="218" t="s">
        <v>611</v>
      </c>
      <c r="E839" s="218" t="s">
        <v>8145</v>
      </c>
      <c r="F839" s="218" t="s">
        <v>8146</v>
      </c>
      <c r="G839" s="218">
        <v>5</v>
      </c>
      <c r="H839" s="218" t="s">
        <v>614</v>
      </c>
      <c r="I839" s="218" t="str">
        <f>("1404110128")</f>
        <v>1404110128</v>
      </c>
    </row>
    <row r="840" spans="1:10" x14ac:dyDescent="0.15">
      <c r="A840" s="406" t="str">
        <f t="shared" si="13"/>
        <v>ドリームキッズフットボールクラブ_7</v>
      </c>
      <c r="B840" s="218" t="s">
        <v>1381</v>
      </c>
      <c r="C840" s="218" t="str">
        <f>("7")</f>
        <v>7</v>
      </c>
      <c r="D840" s="218" t="s">
        <v>611</v>
      </c>
      <c r="E840" s="218" t="s">
        <v>8147</v>
      </c>
      <c r="F840" s="218" t="s">
        <v>8148</v>
      </c>
      <c r="G840" s="218">
        <v>5</v>
      </c>
      <c r="H840" s="218" t="s">
        <v>614</v>
      </c>
      <c r="I840" s="218" t="str">
        <f>("1407140117")</f>
        <v>1407140117</v>
      </c>
    </row>
    <row r="841" spans="1:10" x14ac:dyDescent="0.15">
      <c r="A841" s="406" t="str">
        <f t="shared" si="13"/>
        <v>ドリームキッズフットボールクラブ_8</v>
      </c>
      <c r="B841" s="218" t="s">
        <v>1381</v>
      </c>
      <c r="C841" s="218" t="str">
        <f>("8")</f>
        <v>8</v>
      </c>
      <c r="D841" s="218" t="s">
        <v>615</v>
      </c>
      <c r="E841" s="218" t="s">
        <v>8149</v>
      </c>
      <c r="F841" s="218" t="s">
        <v>8150</v>
      </c>
      <c r="G841" s="218">
        <v>5</v>
      </c>
      <c r="H841" s="218" t="s">
        <v>616</v>
      </c>
      <c r="I841" s="218" t="str">
        <f>("1412280055")</f>
        <v>1412280055</v>
      </c>
    </row>
    <row r="842" spans="1:10" x14ac:dyDescent="0.15">
      <c r="A842" s="406" t="str">
        <f t="shared" si="13"/>
        <v>ドリームキッズフットボールクラブ_9</v>
      </c>
      <c r="B842" s="218" t="s">
        <v>1381</v>
      </c>
      <c r="C842" s="218" t="str">
        <f>("9")</f>
        <v>9</v>
      </c>
      <c r="D842" s="218" t="s">
        <v>623</v>
      </c>
      <c r="E842" s="218" t="s">
        <v>8151</v>
      </c>
      <c r="F842" s="218" t="s">
        <v>7106</v>
      </c>
      <c r="G842" s="218">
        <v>5</v>
      </c>
      <c r="H842" s="218" t="s">
        <v>614</v>
      </c>
      <c r="I842" s="218" t="str">
        <f>("1410240102")</f>
        <v>1410240102</v>
      </c>
    </row>
    <row r="843" spans="1:10" x14ac:dyDescent="0.15">
      <c r="A843" s="406" t="str">
        <f t="shared" si="13"/>
        <v>ドリームキッズフットボールクラブ_10</v>
      </c>
      <c r="B843" s="218" t="s">
        <v>1381</v>
      </c>
      <c r="C843" s="218" t="str">
        <f>("10")</f>
        <v>10</v>
      </c>
      <c r="D843" s="218" t="s">
        <v>611</v>
      </c>
      <c r="E843" s="218" t="s">
        <v>8152</v>
      </c>
      <c r="F843" s="218" t="s">
        <v>8153</v>
      </c>
      <c r="G843" s="218">
        <v>5</v>
      </c>
      <c r="H843" s="218" t="s">
        <v>614</v>
      </c>
      <c r="I843" s="218" t="str">
        <f>("1404160122")</f>
        <v>1404160122</v>
      </c>
      <c r="J843" s="218" t="s">
        <v>159</v>
      </c>
    </row>
    <row r="844" spans="1:10" x14ac:dyDescent="0.15">
      <c r="A844" s="406" t="str">
        <f t="shared" si="13"/>
        <v>ドリームキッズフットボールクラブ_11</v>
      </c>
      <c r="B844" s="218" t="s">
        <v>1381</v>
      </c>
      <c r="C844" s="218" t="str">
        <f>("11")</f>
        <v>11</v>
      </c>
      <c r="D844" s="218" t="s">
        <v>623</v>
      </c>
      <c r="E844" s="218" t="s">
        <v>8154</v>
      </c>
      <c r="F844" s="218" t="s">
        <v>8155</v>
      </c>
      <c r="G844" s="218">
        <v>5</v>
      </c>
      <c r="H844" s="218" t="s">
        <v>614</v>
      </c>
      <c r="I844" s="218" t="str">
        <f>("1404250108")</f>
        <v>1404250108</v>
      </c>
    </row>
    <row r="845" spans="1:10" x14ac:dyDescent="0.15">
      <c r="A845" s="406" t="str">
        <f t="shared" si="13"/>
        <v>ドリームキッズフットボールクラブ_12</v>
      </c>
      <c r="B845" s="218" t="s">
        <v>1381</v>
      </c>
      <c r="C845" s="218" t="str">
        <f>("12")</f>
        <v>12</v>
      </c>
      <c r="D845" s="218" t="s">
        <v>611</v>
      </c>
      <c r="E845" s="218" t="s">
        <v>8156</v>
      </c>
      <c r="F845" s="218" t="s">
        <v>8157</v>
      </c>
      <c r="G845" s="218">
        <v>3</v>
      </c>
      <c r="H845" s="218" t="s">
        <v>614</v>
      </c>
      <c r="I845" s="218" t="str">
        <f>("1609090092")</f>
        <v>1609090092</v>
      </c>
    </row>
    <row r="846" spans="1:10" x14ac:dyDescent="0.15">
      <c r="A846" s="406" t="str">
        <f t="shared" si="13"/>
        <v>ドリームキッズフットボールクラブ_13</v>
      </c>
      <c r="B846" s="218" t="s">
        <v>1381</v>
      </c>
      <c r="C846" s="218" t="str">
        <f>("13")</f>
        <v>13</v>
      </c>
      <c r="D846" s="218" t="s">
        <v>615</v>
      </c>
      <c r="E846" s="218" t="s">
        <v>8158</v>
      </c>
      <c r="F846" s="218" t="s">
        <v>8159</v>
      </c>
      <c r="G846" s="218">
        <v>3</v>
      </c>
      <c r="H846" s="218" t="s">
        <v>614</v>
      </c>
      <c r="I846" s="218" t="str">
        <f>("1611100006")</f>
        <v>1611100006</v>
      </c>
    </row>
    <row r="847" spans="1:10" x14ac:dyDescent="0.15">
      <c r="A847" s="406" t="str">
        <f t="shared" si="13"/>
        <v>ドリームキッズフットボールクラブ_14</v>
      </c>
      <c r="B847" s="218" t="s">
        <v>1381</v>
      </c>
      <c r="C847" s="218" t="str">
        <f>("14")</f>
        <v>14</v>
      </c>
      <c r="D847" s="218" t="s">
        <v>615</v>
      </c>
      <c r="E847" s="218" t="s">
        <v>8160</v>
      </c>
      <c r="F847" s="218" t="s">
        <v>8161</v>
      </c>
      <c r="G847" s="218">
        <v>4</v>
      </c>
      <c r="H847" s="218" t="s">
        <v>614</v>
      </c>
      <c r="I847" s="218" t="str">
        <f>("1509290070")</f>
        <v>1509290070</v>
      </c>
    </row>
    <row r="848" spans="1:10" x14ac:dyDescent="0.15">
      <c r="A848" s="406" t="str">
        <f t="shared" si="13"/>
        <v>ドリームキッズフットボールクラブ_15</v>
      </c>
      <c r="B848" s="218" t="s">
        <v>1381</v>
      </c>
      <c r="C848" s="218" t="str">
        <f>("15")</f>
        <v>15</v>
      </c>
      <c r="D848" s="218" t="s">
        <v>623</v>
      </c>
      <c r="E848" s="218" t="s">
        <v>8162</v>
      </c>
      <c r="F848" s="218" t="s">
        <v>8119</v>
      </c>
      <c r="G848" s="218">
        <v>4</v>
      </c>
      <c r="H848" s="218" t="s">
        <v>614</v>
      </c>
      <c r="I848" s="218" t="str">
        <f>("1509150145")</f>
        <v>1509150145</v>
      </c>
    </row>
    <row r="849" spans="1:10" x14ac:dyDescent="0.15">
      <c r="A849" s="406" t="str">
        <f t="shared" si="13"/>
        <v>ドリームキッズフットボールクラブ_16</v>
      </c>
      <c r="B849" s="218" t="s">
        <v>1381</v>
      </c>
      <c r="C849" s="218" t="str">
        <f>("16")</f>
        <v>16</v>
      </c>
      <c r="D849" s="218" t="s">
        <v>624</v>
      </c>
      <c r="E849" s="218" t="s">
        <v>8163</v>
      </c>
      <c r="F849" s="218" t="s">
        <v>8164</v>
      </c>
      <c r="G849" s="218">
        <v>5</v>
      </c>
      <c r="H849" s="218" t="s">
        <v>614</v>
      </c>
      <c r="I849" s="218" t="str">
        <f>("1406100131")</f>
        <v>1406100131</v>
      </c>
    </row>
    <row r="850" spans="1:10" x14ac:dyDescent="0.15">
      <c r="A850" s="406" t="str">
        <f t="shared" si="13"/>
        <v>東陽フットボールクラブ_1</v>
      </c>
      <c r="B850" s="218" t="s">
        <v>1395</v>
      </c>
      <c r="C850" s="218" t="str">
        <f>("1")</f>
        <v>1</v>
      </c>
      <c r="D850" s="218" t="s">
        <v>624</v>
      </c>
      <c r="E850" s="218" t="s">
        <v>8165</v>
      </c>
      <c r="F850" s="218" t="s">
        <v>8166</v>
      </c>
      <c r="G850" s="218">
        <v>6</v>
      </c>
      <c r="H850" s="218" t="s">
        <v>614</v>
      </c>
      <c r="I850" s="218" t="str">
        <f>("1307040210")</f>
        <v>1307040210</v>
      </c>
    </row>
    <row r="851" spans="1:10" x14ac:dyDescent="0.15">
      <c r="A851" s="406" t="str">
        <f t="shared" si="13"/>
        <v>東陽フットボールクラブ_4</v>
      </c>
      <c r="B851" s="218" t="s">
        <v>1395</v>
      </c>
      <c r="C851" s="218" t="str">
        <f>("4")</f>
        <v>4</v>
      </c>
      <c r="D851" s="218" t="s">
        <v>615</v>
      </c>
      <c r="E851" s="218" t="s">
        <v>8167</v>
      </c>
      <c r="F851" s="218" t="s">
        <v>8168</v>
      </c>
      <c r="G851" s="218">
        <v>5</v>
      </c>
      <c r="H851" s="218" t="s">
        <v>614</v>
      </c>
      <c r="I851" s="218" t="str">
        <f>("1404250204")</f>
        <v>1404250204</v>
      </c>
    </row>
    <row r="852" spans="1:10" x14ac:dyDescent="0.15">
      <c r="A852" s="406" t="str">
        <f t="shared" si="13"/>
        <v>東陽フットボールクラブ_5</v>
      </c>
      <c r="B852" s="218" t="s">
        <v>1395</v>
      </c>
      <c r="C852" s="218" t="str">
        <f>("5")</f>
        <v>5</v>
      </c>
      <c r="D852" s="218" t="s">
        <v>611</v>
      </c>
      <c r="E852" s="218" t="s">
        <v>1096</v>
      </c>
      <c r="F852" s="218" t="s">
        <v>1097</v>
      </c>
      <c r="G852" s="218">
        <v>6</v>
      </c>
      <c r="H852" s="218" t="s">
        <v>614</v>
      </c>
      <c r="I852" s="218" t="str">
        <f>("1308090073")</f>
        <v>1308090073</v>
      </c>
    </row>
    <row r="853" spans="1:10" x14ac:dyDescent="0.15">
      <c r="A853" s="406" t="str">
        <f t="shared" si="13"/>
        <v>東陽フットボールクラブ_6</v>
      </c>
      <c r="B853" s="218" t="s">
        <v>1395</v>
      </c>
      <c r="C853" s="218" t="str">
        <f>("6")</f>
        <v>6</v>
      </c>
      <c r="D853" s="218" t="s">
        <v>611</v>
      </c>
      <c r="E853" s="218" t="s">
        <v>1410</v>
      </c>
      <c r="F853" s="218" t="s">
        <v>1411</v>
      </c>
      <c r="G853" s="218">
        <v>5</v>
      </c>
      <c r="H853" s="218" t="s">
        <v>614</v>
      </c>
      <c r="I853" s="218" t="str">
        <f>("1409300051")</f>
        <v>1409300051</v>
      </c>
    </row>
    <row r="854" spans="1:10" x14ac:dyDescent="0.15">
      <c r="A854" s="406" t="str">
        <f t="shared" si="13"/>
        <v>東陽フットボールクラブ_7</v>
      </c>
      <c r="B854" s="218" t="s">
        <v>1395</v>
      </c>
      <c r="C854" s="218" t="str">
        <f>("7")</f>
        <v>7</v>
      </c>
      <c r="D854" s="218" t="s">
        <v>615</v>
      </c>
      <c r="E854" s="218" t="s">
        <v>1408</v>
      </c>
      <c r="F854" s="218" t="s">
        <v>1409</v>
      </c>
      <c r="G854" s="218">
        <v>5</v>
      </c>
      <c r="H854" s="218" t="s">
        <v>614</v>
      </c>
      <c r="I854" s="218" t="str">
        <f>("1406120027")</f>
        <v>1406120027</v>
      </c>
    </row>
    <row r="855" spans="1:10" x14ac:dyDescent="0.15">
      <c r="A855" s="406" t="str">
        <f t="shared" si="13"/>
        <v>東陽フットボールクラブ_8</v>
      </c>
      <c r="B855" s="218" t="s">
        <v>1395</v>
      </c>
      <c r="C855" s="218" t="str">
        <f>("8")</f>
        <v>8</v>
      </c>
      <c r="D855" s="218" t="s">
        <v>611</v>
      </c>
      <c r="E855" s="218" t="s">
        <v>1398</v>
      </c>
      <c r="F855" s="218" t="s">
        <v>1399</v>
      </c>
      <c r="G855" s="218">
        <v>6</v>
      </c>
      <c r="H855" s="218" t="s">
        <v>614</v>
      </c>
      <c r="I855" s="218" t="str">
        <f>("1311210035")</f>
        <v>1311210035</v>
      </c>
      <c r="J855" s="218" t="s">
        <v>159</v>
      </c>
    </row>
    <row r="856" spans="1:10" x14ac:dyDescent="0.15">
      <c r="A856" s="406" t="str">
        <f t="shared" si="13"/>
        <v>東陽フットボールクラブ_9</v>
      </c>
      <c r="B856" s="218" t="s">
        <v>1395</v>
      </c>
      <c r="C856" s="218" t="str">
        <f>("9")</f>
        <v>9</v>
      </c>
      <c r="D856" s="218" t="s">
        <v>623</v>
      </c>
      <c r="E856" s="218" t="s">
        <v>1400</v>
      </c>
      <c r="F856" s="218" t="s">
        <v>1401</v>
      </c>
      <c r="G856" s="218">
        <v>6</v>
      </c>
      <c r="H856" s="218" t="s">
        <v>614</v>
      </c>
      <c r="I856" s="218" t="str">
        <f>("1403250018")</f>
        <v>1403250018</v>
      </c>
    </row>
    <row r="857" spans="1:10" x14ac:dyDescent="0.15">
      <c r="A857" s="406" t="str">
        <f t="shared" si="13"/>
        <v>東陽フットボールクラブ_10</v>
      </c>
      <c r="B857" s="218" t="s">
        <v>1395</v>
      </c>
      <c r="C857" s="218" t="str">
        <f>("10")</f>
        <v>10</v>
      </c>
      <c r="D857" s="218" t="s">
        <v>623</v>
      </c>
      <c r="E857" s="218" t="s">
        <v>1404</v>
      </c>
      <c r="F857" s="218" t="s">
        <v>1405</v>
      </c>
      <c r="G857" s="218">
        <v>6</v>
      </c>
      <c r="H857" s="218" t="s">
        <v>614</v>
      </c>
      <c r="I857" s="218" t="str">
        <f>("1305030032")</f>
        <v>1305030032</v>
      </c>
    </row>
    <row r="858" spans="1:10" x14ac:dyDescent="0.15">
      <c r="A858" s="406" t="str">
        <f t="shared" si="13"/>
        <v>東陽フットボールクラブ_11</v>
      </c>
      <c r="B858" s="218" t="s">
        <v>1395</v>
      </c>
      <c r="C858" s="218" t="str">
        <f>("11")</f>
        <v>11</v>
      </c>
      <c r="D858" s="218" t="s">
        <v>623</v>
      </c>
      <c r="E858" s="218" t="s">
        <v>8169</v>
      </c>
      <c r="F858" s="218" t="s">
        <v>1412</v>
      </c>
      <c r="G858" s="218">
        <v>6</v>
      </c>
      <c r="H858" s="218" t="s">
        <v>614</v>
      </c>
      <c r="I858" s="218" t="str">
        <f>("1403110095")</f>
        <v>1403110095</v>
      </c>
    </row>
    <row r="859" spans="1:10" x14ac:dyDescent="0.15">
      <c r="A859" s="406" t="str">
        <f t="shared" si="13"/>
        <v>ＯＫＹ山香サッカークラブ_1</v>
      </c>
      <c r="B859" s="218" t="s">
        <v>1413</v>
      </c>
      <c r="C859" s="218" t="str">
        <f>("1")</f>
        <v>1</v>
      </c>
      <c r="D859" s="218" t="s">
        <v>624</v>
      </c>
      <c r="E859" s="218" t="s">
        <v>8170</v>
      </c>
      <c r="F859" s="218" t="s">
        <v>8171</v>
      </c>
      <c r="G859" s="218">
        <v>6</v>
      </c>
      <c r="H859" s="218" t="s">
        <v>614</v>
      </c>
      <c r="I859" s="218" t="str">
        <f>("1309190191")</f>
        <v>1309190191</v>
      </c>
    </row>
    <row r="860" spans="1:10" x14ac:dyDescent="0.15">
      <c r="A860" s="406" t="str">
        <f t="shared" si="13"/>
        <v>ＯＫＹ山香サッカークラブ_2</v>
      </c>
      <c r="B860" s="218" t="s">
        <v>1413</v>
      </c>
      <c r="C860" s="218" t="str">
        <f>("2")</f>
        <v>2</v>
      </c>
      <c r="D860" s="218" t="s">
        <v>615</v>
      </c>
      <c r="E860" s="218" t="s">
        <v>1418</v>
      </c>
      <c r="F860" s="218" t="s">
        <v>1419</v>
      </c>
      <c r="G860" s="218">
        <v>6</v>
      </c>
      <c r="H860" s="218" t="s">
        <v>614</v>
      </c>
      <c r="I860" s="218" t="str">
        <f>("1304100117")</f>
        <v>1304100117</v>
      </c>
    </row>
    <row r="861" spans="1:10" x14ac:dyDescent="0.15">
      <c r="A861" s="406" t="str">
        <f t="shared" si="13"/>
        <v>ＯＫＹ山香サッカークラブ_3</v>
      </c>
      <c r="B861" s="218" t="s">
        <v>1413</v>
      </c>
      <c r="C861" s="218" t="str">
        <f>("3")</f>
        <v>3</v>
      </c>
      <c r="D861" s="218" t="s">
        <v>623</v>
      </c>
      <c r="E861" s="218" t="s">
        <v>8172</v>
      </c>
      <c r="F861" s="218" t="s">
        <v>8173</v>
      </c>
      <c r="G861" s="218">
        <v>6</v>
      </c>
      <c r="H861" s="218" t="s">
        <v>614</v>
      </c>
      <c r="I861" s="218" t="str">
        <f>("1403310151")</f>
        <v>1403310151</v>
      </c>
    </row>
    <row r="862" spans="1:10" x14ac:dyDescent="0.15">
      <c r="A862" s="406" t="str">
        <f t="shared" si="13"/>
        <v>ＯＫＹ山香サッカークラブ_4</v>
      </c>
      <c r="B862" s="218" t="s">
        <v>1413</v>
      </c>
      <c r="C862" s="218" t="str">
        <f>("4")</f>
        <v>4</v>
      </c>
      <c r="D862" s="218" t="s">
        <v>611</v>
      </c>
      <c r="E862" s="218" t="s">
        <v>8174</v>
      </c>
      <c r="F862" s="218" t="s">
        <v>8175</v>
      </c>
      <c r="G862" s="218">
        <v>5</v>
      </c>
      <c r="H862" s="218" t="s">
        <v>614</v>
      </c>
      <c r="I862" s="218" t="str">
        <f>("1410060182")</f>
        <v>1410060182</v>
      </c>
    </row>
    <row r="863" spans="1:10" x14ac:dyDescent="0.15">
      <c r="A863" s="406" t="str">
        <f t="shared" si="13"/>
        <v>ＯＫＹ山香サッカークラブ_5</v>
      </c>
      <c r="B863" s="218" t="s">
        <v>1413</v>
      </c>
      <c r="C863" s="218" t="str">
        <f>("5")</f>
        <v>5</v>
      </c>
      <c r="D863" s="218" t="s">
        <v>611</v>
      </c>
      <c r="E863" s="218" t="s">
        <v>8176</v>
      </c>
      <c r="F863" s="218" t="s">
        <v>8177</v>
      </c>
      <c r="G863" s="218">
        <v>4</v>
      </c>
      <c r="H863" s="218" t="s">
        <v>614</v>
      </c>
      <c r="I863" s="218" t="str">
        <f>("1509280130")</f>
        <v>1509280130</v>
      </c>
    </row>
    <row r="864" spans="1:10" x14ac:dyDescent="0.15">
      <c r="A864" s="406" t="str">
        <f t="shared" si="13"/>
        <v>ＯＫＹ山香サッカークラブ_6</v>
      </c>
      <c r="B864" s="218" t="s">
        <v>1413</v>
      </c>
      <c r="C864" s="218" t="str">
        <f>("6")</f>
        <v>6</v>
      </c>
      <c r="D864" s="218" t="s">
        <v>615</v>
      </c>
      <c r="E864" s="218" t="s">
        <v>8178</v>
      </c>
      <c r="F864" s="218" t="s">
        <v>8179</v>
      </c>
      <c r="G864" s="218">
        <v>4</v>
      </c>
      <c r="H864" s="218" t="s">
        <v>614</v>
      </c>
      <c r="I864" s="218" t="str">
        <f>("1709080001")</f>
        <v>1709080001</v>
      </c>
    </row>
    <row r="865" spans="1:10" x14ac:dyDescent="0.15">
      <c r="A865" s="406" t="str">
        <f t="shared" si="13"/>
        <v>ＯＫＹ山香サッカークラブ_7</v>
      </c>
      <c r="B865" s="218" t="s">
        <v>1413</v>
      </c>
      <c r="C865" s="218" t="str">
        <f>("7")</f>
        <v>7</v>
      </c>
      <c r="D865" s="218" t="s">
        <v>615</v>
      </c>
      <c r="E865" s="218" t="s">
        <v>1414</v>
      </c>
      <c r="F865" s="218" t="s">
        <v>1415</v>
      </c>
      <c r="G865" s="218">
        <v>6</v>
      </c>
      <c r="H865" s="218" t="s">
        <v>614</v>
      </c>
      <c r="I865" s="218" t="str">
        <f>("1309090082")</f>
        <v>1309090082</v>
      </c>
    </row>
    <row r="866" spans="1:10" x14ac:dyDescent="0.15">
      <c r="A866" s="406" t="str">
        <f t="shared" si="13"/>
        <v>ＯＫＹ山香サッカークラブ_8</v>
      </c>
      <c r="B866" s="218" t="s">
        <v>1413</v>
      </c>
      <c r="C866" s="218" t="str">
        <f>("8")</f>
        <v>8</v>
      </c>
      <c r="D866" s="218" t="s">
        <v>615</v>
      </c>
      <c r="E866" s="218" t="s">
        <v>8180</v>
      </c>
      <c r="F866" s="218" t="s">
        <v>8181</v>
      </c>
      <c r="G866" s="218">
        <v>5</v>
      </c>
      <c r="H866" s="218" t="s">
        <v>614</v>
      </c>
      <c r="I866" s="218" t="str">
        <f>("1503250167")</f>
        <v>1503250167</v>
      </c>
    </row>
    <row r="867" spans="1:10" x14ac:dyDescent="0.15">
      <c r="A867" s="406" t="str">
        <f t="shared" si="13"/>
        <v>ＯＫＹ山香サッカークラブ_9</v>
      </c>
      <c r="B867" s="218" t="s">
        <v>1413</v>
      </c>
      <c r="C867" s="218" t="str">
        <f>("9")</f>
        <v>9</v>
      </c>
      <c r="D867" s="218" t="s">
        <v>611</v>
      </c>
      <c r="E867" s="218" t="s">
        <v>729</v>
      </c>
      <c r="F867" s="218" t="s">
        <v>730</v>
      </c>
      <c r="G867" s="218">
        <v>6</v>
      </c>
      <c r="H867" s="218" t="s">
        <v>614</v>
      </c>
      <c r="I867" s="218" t="str">
        <f>("1312210001")</f>
        <v>1312210001</v>
      </c>
    </row>
    <row r="868" spans="1:10" x14ac:dyDescent="0.15">
      <c r="A868" s="406" t="str">
        <f t="shared" si="13"/>
        <v>ＯＫＹ山香サッカークラブ_10</v>
      </c>
      <c r="B868" s="218" t="s">
        <v>1413</v>
      </c>
      <c r="C868" s="218" t="str">
        <f>("10")</f>
        <v>10</v>
      </c>
      <c r="D868" s="218" t="s">
        <v>615</v>
      </c>
      <c r="E868" s="218" t="s">
        <v>1416</v>
      </c>
      <c r="F868" s="218" t="s">
        <v>1417</v>
      </c>
      <c r="G868" s="218">
        <v>6</v>
      </c>
      <c r="H868" s="218" t="s">
        <v>614</v>
      </c>
      <c r="I868" s="218" t="str">
        <f>("1308050105")</f>
        <v>1308050105</v>
      </c>
      <c r="J868" s="218" t="s">
        <v>159</v>
      </c>
    </row>
    <row r="869" spans="1:10" x14ac:dyDescent="0.15">
      <c r="A869" s="406" t="str">
        <f t="shared" si="13"/>
        <v>ＯＫＹ山香サッカークラブ_11</v>
      </c>
      <c r="B869" s="218" t="s">
        <v>1413</v>
      </c>
      <c r="C869" s="218" t="str">
        <f>("11")</f>
        <v>11</v>
      </c>
      <c r="D869" s="218" t="s">
        <v>615</v>
      </c>
      <c r="E869" s="218" t="s">
        <v>8182</v>
      </c>
      <c r="F869" s="218" t="s">
        <v>8183</v>
      </c>
      <c r="G869" s="218">
        <v>4</v>
      </c>
      <c r="H869" s="218" t="s">
        <v>614</v>
      </c>
      <c r="I869" s="218" t="str">
        <f>("1511010002")</f>
        <v>1511010002</v>
      </c>
    </row>
    <row r="870" spans="1:10" x14ac:dyDescent="0.15">
      <c r="A870" s="406" t="str">
        <f t="shared" si="13"/>
        <v>ＯＫＹ山香サッカークラブ_12</v>
      </c>
      <c r="B870" s="218" t="s">
        <v>1413</v>
      </c>
      <c r="C870" s="218" t="str">
        <f>("12")</f>
        <v>12</v>
      </c>
      <c r="D870" s="218" t="s">
        <v>623</v>
      </c>
      <c r="E870" s="218" t="s">
        <v>8184</v>
      </c>
      <c r="F870" s="218" t="s">
        <v>8185</v>
      </c>
      <c r="G870" s="218">
        <v>5</v>
      </c>
      <c r="H870" s="218" t="s">
        <v>614</v>
      </c>
      <c r="I870" s="218" t="str">
        <f>("1502200171")</f>
        <v>1502200171</v>
      </c>
    </row>
    <row r="871" spans="1:10" x14ac:dyDescent="0.15">
      <c r="A871" s="406" t="str">
        <f t="shared" si="13"/>
        <v>ＯＫＹ山香サッカークラブ_13</v>
      </c>
      <c r="B871" s="218" t="s">
        <v>1413</v>
      </c>
      <c r="C871" s="218" t="str">
        <f>("13")</f>
        <v>13</v>
      </c>
      <c r="D871" s="218" t="s">
        <v>623</v>
      </c>
      <c r="E871" s="218" t="s">
        <v>8186</v>
      </c>
      <c r="F871" s="218" t="s">
        <v>8187</v>
      </c>
      <c r="G871" s="218">
        <v>3</v>
      </c>
      <c r="H871" s="218" t="s">
        <v>614</v>
      </c>
      <c r="I871" s="218" t="str">
        <f>("1611250097")</f>
        <v>1611250097</v>
      </c>
    </row>
    <row r="872" spans="1:10" x14ac:dyDescent="0.15">
      <c r="A872" s="406" t="str">
        <f t="shared" si="13"/>
        <v>ＯＫＹ山香サッカークラブ_14</v>
      </c>
      <c r="B872" s="218" t="s">
        <v>1413</v>
      </c>
      <c r="C872" s="218" t="str">
        <f>("14")</f>
        <v>14</v>
      </c>
      <c r="D872" s="218" t="s">
        <v>623</v>
      </c>
      <c r="E872" s="218" t="s">
        <v>8188</v>
      </c>
      <c r="F872" s="218" t="s">
        <v>8189</v>
      </c>
      <c r="G872" s="218">
        <v>2</v>
      </c>
      <c r="H872" s="218" t="s">
        <v>614</v>
      </c>
      <c r="I872" s="218" t="str">
        <f>("1704150020")</f>
        <v>1704150020</v>
      </c>
    </row>
    <row r="873" spans="1:10" x14ac:dyDescent="0.15">
      <c r="A873" s="406" t="str">
        <f t="shared" si="13"/>
        <v>ＯＫＹ山香サッカークラブ_16</v>
      </c>
      <c r="B873" s="218" t="s">
        <v>1413</v>
      </c>
      <c r="C873" s="218" t="str">
        <f>("16")</f>
        <v>16</v>
      </c>
      <c r="D873" s="218" t="s">
        <v>624</v>
      </c>
      <c r="E873" s="218" t="s">
        <v>8190</v>
      </c>
      <c r="F873" s="218" t="s">
        <v>8191</v>
      </c>
      <c r="G873" s="218">
        <v>4</v>
      </c>
      <c r="H873" s="218" t="s">
        <v>614</v>
      </c>
      <c r="I873" s="218" t="str">
        <f>("1504070165")</f>
        <v>1504070165</v>
      </c>
    </row>
    <row r="874" spans="1:10" x14ac:dyDescent="0.15">
      <c r="A874" s="406" t="str">
        <f t="shared" si="13"/>
        <v>臼杵ＳＳＳ_1</v>
      </c>
      <c r="B874" s="218" t="s">
        <v>1421</v>
      </c>
      <c r="C874" s="218" t="str">
        <f>("1")</f>
        <v>1</v>
      </c>
      <c r="D874" s="218" t="s">
        <v>624</v>
      </c>
      <c r="E874" s="218" t="s">
        <v>8192</v>
      </c>
      <c r="F874" s="218" t="s">
        <v>8193</v>
      </c>
      <c r="G874" s="218">
        <v>6</v>
      </c>
      <c r="H874" s="218" t="s">
        <v>614</v>
      </c>
      <c r="I874" s="218" t="str">
        <f>("1311190216")</f>
        <v>1311190216</v>
      </c>
    </row>
    <row r="875" spans="1:10" x14ac:dyDescent="0.15">
      <c r="A875" s="406" t="str">
        <f t="shared" si="13"/>
        <v>臼杵ＳＳＳ_2</v>
      </c>
      <c r="B875" s="218" t="s">
        <v>1421</v>
      </c>
      <c r="C875" s="218" t="str">
        <f>("2")</f>
        <v>2</v>
      </c>
      <c r="D875" s="218" t="s">
        <v>623</v>
      </c>
      <c r="E875" s="218" t="s">
        <v>8194</v>
      </c>
      <c r="F875" s="218" t="s">
        <v>8195</v>
      </c>
      <c r="G875" s="218">
        <v>6</v>
      </c>
      <c r="H875" s="218" t="s">
        <v>614</v>
      </c>
      <c r="I875" s="218" t="str">
        <f>("1312120224")</f>
        <v>1312120224</v>
      </c>
    </row>
    <row r="876" spans="1:10" x14ac:dyDescent="0.15">
      <c r="A876" s="406" t="str">
        <f t="shared" si="13"/>
        <v>臼杵ＳＳＳ_3</v>
      </c>
      <c r="B876" s="218" t="s">
        <v>1421</v>
      </c>
      <c r="C876" s="218" t="str">
        <f>("3")</f>
        <v>3</v>
      </c>
      <c r="D876" s="218" t="s">
        <v>623</v>
      </c>
      <c r="E876" s="218" t="s">
        <v>8196</v>
      </c>
      <c r="F876" s="218" t="s">
        <v>8197</v>
      </c>
      <c r="G876" s="218">
        <v>6</v>
      </c>
      <c r="H876" s="218" t="s">
        <v>614</v>
      </c>
      <c r="I876" s="218" t="str">
        <f>("1309110159")</f>
        <v>1309110159</v>
      </c>
    </row>
    <row r="877" spans="1:10" x14ac:dyDescent="0.15">
      <c r="A877" s="406" t="str">
        <f t="shared" si="13"/>
        <v>臼杵ＳＳＳ_4</v>
      </c>
      <c r="B877" s="218" t="s">
        <v>1421</v>
      </c>
      <c r="C877" s="218" t="str">
        <f>("4")</f>
        <v>4</v>
      </c>
      <c r="D877" s="218" t="s">
        <v>611</v>
      </c>
      <c r="E877" s="218" t="s">
        <v>8198</v>
      </c>
      <c r="F877" s="218" t="s">
        <v>4500</v>
      </c>
      <c r="G877" s="218">
        <v>6</v>
      </c>
      <c r="H877" s="218" t="s">
        <v>614</v>
      </c>
      <c r="I877" s="218" t="str">
        <f>("1312220076")</f>
        <v>1312220076</v>
      </c>
    </row>
    <row r="878" spans="1:10" x14ac:dyDescent="0.15">
      <c r="A878" s="406" t="str">
        <f t="shared" si="13"/>
        <v>臼杵ＳＳＳ_5</v>
      </c>
      <c r="B878" s="218" t="s">
        <v>1421</v>
      </c>
      <c r="C878" s="218" t="str">
        <f>("5")</f>
        <v>5</v>
      </c>
      <c r="D878" s="218" t="s">
        <v>615</v>
      </c>
      <c r="E878" s="218" t="s">
        <v>8199</v>
      </c>
      <c r="F878" s="218" t="s">
        <v>8200</v>
      </c>
      <c r="G878" s="218">
        <v>6</v>
      </c>
      <c r="H878" s="218" t="s">
        <v>614</v>
      </c>
      <c r="I878" s="218" t="str">
        <f>("1402280187")</f>
        <v>1402280187</v>
      </c>
    </row>
    <row r="879" spans="1:10" x14ac:dyDescent="0.15">
      <c r="A879" s="406" t="str">
        <f t="shared" si="13"/>
        <v>臼杵ＳＳＳ_6</v>
      </c>
      <c r="B879" s="218" t="s">
        <v>1421</v>
      </c>
      <c r="C879" s="218" t="str">
        <f>("6")</f>
        <v>6</v>
      </c>
      <c r="D879" s="218" t="s">
        <v>611</v>
      </c>
      <c r="E879" s="218" t="s">
        <v>8201</v>
      </c>
      <c r="F879" s="218" t="s">
        <v>8202</v>
      </c>
      <c r="G879" s="218">
        <v>6</v>
      </c>
      <c r="H879" s="218" t="s">
        <v>614</v>
      </c>
      <c r="I879" s="218" t="str">
        <f>("1307150121")</f>
        <v>1307150121</v>
      </c>
    </row>
    <row r="880" spans="1:10" x14ac:dyDescent="0.15">
      <c r="A880" s="406" t="str">
        <f t="shared" si="13"/>
        <v>臼杵ＳＳＳ_7</v>
      </c>
      <c r="B880" s="218" t="s">
        <v>1421</v>
      </c>
      <c r="C880" s="218" t="str">
        <f>("7")</f>
        <v>7</v>
      </c>
      <c r="D880" s="218" t="s">
        <v>615</v>
      </c>
      <c r="E880" s="218" t="s">
        <v>8203</v>
      </c>
      <c r="F880" s="218" t="s">
        <v>8204</v>
      </c>
      <c r="G880" s="218">
        <v>5</v>
      </c>
      <c r="H880" s="218" t="s">
        <v>614</v>
      </c>
      <c r="I880" s="218" t="str">
        <f>("1408190077")</f>
        <v>1408190077</v>
      </c>
    </row>
    <row r="881" spans="1:10" x14ac:dyDescent="0.15">
      <c r="A881" s="406" t="str">
        <f t="shared" si="13"/>
        <v>臼杵ＳＳＳ_8</v>
      </c>
      <c r="B881" s="218" t="s">
        <v>1421</v>
      </c>
      <c r="C881" s="218" t="str">
        <f>("8")</f>
        <v>8</v>
      </c>
      <c r="D881" s="218" t="s">
        <v>615</v>
      </c>
      <c r="E881" s="218" t="s">
        <v>8205</v>
      </c>
      <c r="F881" s="218" t="s">
        <v>8206</v>
      </c>
      <c r="G881" s="218">
        <v>6</v>
      </c>
      <c r="H881" s="218" t="s">
        <v>614</v>
      </c>
      <c r="I881" s="218" t="str">
        <f>("1304170241")</f>
        <v>1304170241</v>
      </c>
    </row>
    <row r="882" spans="1:10" x14ac:dyDescent="0.15">
      <c r="A882" s="406" t="str">
        <f t="shared" si="13"/>
        <v>臼杵ＳＳＳ_9</v>
      </c>
      <c r="B882" s="218" t="s">
        <v>1421</v>
      </c>
      <c r="C882" s="218" t="str">
        <f>("9")</f>
        <v>9</v>
      </c>
      <c r="D882" s="218" t="s">
        <v>615</v>
      </c>
      <c r="E882" s="218" t="s">
        <v>8207</v>
      </c>
      <c r="F882" s="218" t="s">
        <v>8208</v>
      </c>
      <c r="G882" s="218">
        <v>5</v>
      </c>
      <c r="H882" s="218" t="s">
        <v>614</v>
      </c>
      <c r="I882" s="218" t="str">
        <f>("1405160078")</f>
        <v>1405160078</v>
      </c>
    </row>
    <row r="883" spans="1:10" x14ac:dyDescent="0.15">
      <c r="A883" s="406" t="str">
        <f t="shared" si="13"/>
        <v>臼杵ＳＳＳ_10</v>
      </c>
      <c r="B883" s="218" t="s">
        <v>1421</v>
      </c>
      <c r="C883" s="218" t="str">
        <f>("10")</f>
        <v>10</v>
      </c>
      <c r="D883" s="218" t="s">
        <v>615</v>
      </c>
      <c r="E883" s="218" t="s">
        <v>1435</v>
      </c>
      <c r="F883" s="218" t="s">
        <v>1436</v>
      </c>
      <c r="G883" s="218">
        <v>6</v>
      </c>
      <c r="H883" s="218" t="s">
        <v>614</v>
      </c>
      <c r="I883" s="218" t="str">
        <f>("1306170114")</f>
        <v>1306170114</v>
      </c>
      <c r="J883" s="218" t="s">
        <v>159</v>
      </c>
    </row>
    <row r="884" spans="1:10" x14ac:dyDescent="0.15">
      <c r="A884" s="406" t="str">
        <f t="shared" si="13"/>
        <v>臼杵ＳＳＳ_11</v>
      </c>
      <c r="B884" s="218" t="s">
        <v>1421</v>
      </c>
      <c r="C884" s="218" t="str">
        <f>("11")</f>
        <v>11</v>
      </c>
      <c r="D884" s="218" t="s">
        <v>623</v>
      </c>
      <c r="E884" s="218" t="s">
        <v>8209</v>
      </c>
      <c r="F884" s="218" t="s">
        <v>8210</v>
      </c>
      <c r="G884" s="218">
        <v>6</v>
      </c>
      <c r="H884" s="218" t="s">
        <v>614</v>
      </c>
      <c r="I884" s="218" t="str">
        <f>("1310200160")</f>
        <v>1310200160</v>
      </c>
    </row>
    <row r="885" spans="1:10" x14ac:dyDescent="0.15">
      <c r="A885" s="406" t="str">
        <f t="shared" si="13"/>
        <v>臼杵ＳＳＳ_12</v>
      </c>
      <c r="B885" s="218" t="s">
        <v>1421</v>
      </c>
      <c r="C885" s="218" t="str">
        <f>("12")</f>
        <v>12</v>
      </c>
      <c r="D885" s="218" t="s">
        <v>615</v>
      </c>
      <c r="E885" s="218" t="s">
        <v>8211</v>
      </c>
      <c r="F885" s="218" t="s">
        <v>8212</v>
      </c>
      <c r="G885" s="218">
        <v>6</v>
      </c>
      <c r="H885" s="218" t="s">
        <v>614</v>
      </c>
      <c r="I885" s="218" t="str">
        <f>("1308250185")</f>
        <v>1308250185</v>
      </c>
    </row>
    <row r="886" spans="1:10" x14ac:dyDescent="0.15">
      <c r="A886" s="406" t="str">
        <f t="shared" si="13"/>
        <v>臼杵ＳＳＳ_13</v>
      </c>
      <c r="B886" s="218" t="s">
        <v>1421</v>
      </c>
      <c r="C886" s="218" t="str">
        <f>("13")</f>
        <v>13</v>
      </c>
      <c r="D886" s="218" t="s">
        <v>615</v>
      </c>
      <c r="E886" s="218" t="s">
        <v>8213</v>
      </c>
      <c r="F886" s="218" t="s">
        <v>8214</v>
      </c>
      <c r="G886" s="218">
        <v>5</v>
      </c>
      <c r="H886" s="218" t="s">
        <v>614</v>
      </c>
      <c r="I886" s="218" t="str">
        <f>("1404030218")</f>
        <v>1404030218</v>
      </c>
    </row>
    <row r="887" spans="1:10" x14ac:dyDescent="0.15">
      <c r="A887" s="406" t="str">
        <f t="shared" si="13"/>
        <v>臼杵ＳＳＳ_14</v>
      </c>
      <c r="B887" s="218" t="s">
        <v>1421</v>
      </c>
      <c r="C887" s="218" t="str">
        <f>("14")</f>
        <v>14</v>
      </c>
      <c r="D887" s="218" t="s">
        <v>623</v>
      </c>
      <c r="E887" s="218" t="s">
        <v>8215</v>
      </c>
      <c r="F887" s="218" t="s">
        <v>8216</v>
      </c>
      <c r="G887" s="218">
        <v>5</v>
      </c>
      <c r="H887" s="218" t="s">
        <v>614</v>
      </c>
      <c r="I887" s="218" t="str">
        <f>("1405200201")</f>
        <v>1405200201</v>
      </c>
    </row>
    <row r="888" spans="1:10" x14ac:dyDescent="0.15">
      <c r="A888" s="406" t="str">
        <f t="shared" si="13"/>
        <v>臼杵ＳＳＳ_15</v>
      </c>
      <c r="B888" s="218" t="s">
        <v>1421</v>
      </c>
      <c r="C888" s="218" t="str">
        <f>("15")</f>
        <v>15</v>
      </c>
      <c r="D888" s="218" t="s">
        <v>611</v>
      </c>
      <c r="E888" s="218" t="s">
        <v>8217</v>
      </c>
      <c r="F888" s="218" t="s">
        <v>8218</v>
      </c>
      <c r="G888" s="218">
        <v>5</v>
      </c>
      <c r="H888" s="218" t="s">
        <v>614</v>
      </c>
      <c r="I888" s="218" t="str">
        <f>("1405260126")</f>
        <v>1405260126</v>
      </c>
    </row>
    <row r="889" spans="1:10" x14ac:dyDescent="0.15">
      <c r="A889" s="406" t="str">
        <f t="shared" si="13"/>
        <v>臼杵ＳＳＳ_16</v>
      </c>
      <c r="B889" s="218" t="s">
        <v>1421</v>
      </c>
      <c r="C889" s="218" t="str">
        <f>("16")</f>
        <v>16</v>
      </c>
      <c r="D889" s="218" t="s">
        <v>615</v>
      </c>
      <c r="E889" s="218" t="s">
        <v>8219</v>
      </c>
      <c r="F889" s="218" t="s">
        <v>8220</v>
      </c>
      <c r="G889" s="218">
        <v>6</v>
      </c>
      <c r="H889" s="218" t="s">
        <v>614</v>
      </c>
      <c r="I889" s="218" t="str">
        <f>("1310160140")</f>
        <v>1310160140</v>
      </c>
    </row>
    <row r="890" spans="1:10" x14ac:dyDescent="0.15">
      <c r="A890" s="406" t="str">
        <f t="shared" si="13"/>
        <v>挾間ＪＦＣ_1</v>
      </c>
      <c r="B890" s="218" t="s">
        <v>1439</v>
      </c>
      <c r="C890" s="218" t="str">
        <f>("1")</f>
        <v>1</v>
      </c>
      <c r="D890" s="218" t="s">
        <v>624</v>
      </c>
      <c r="E890" s="218" t="s">
        <v>1446</v>
      </c>
      <c r="F890" s="218" t="s">
        <v>1447</v>
      </c>
      <c r="G890" s="218">
        <v>6</v>
      </c>
      <c r="H890" s="218" t="s">
        <v>614</v>
      </c>
      <c r="I890" s="218" t="str">
        <f>("1306130009")</f>
        <v>1306130009</v>
      </c>
    </row>
    <row r="891" spans="1:10" x14ac:dyDescent="0.15">
      <c r="A891" s="406" t="str">
        <f t="shared" si="13"/>
        <v>挾間ＪＦＣ_2</v>
      </c>
      <c r="B891" s="218" t="s">
        <v>1439</v>
      </c>
      <c r="C891" s="218" t="str">
        <f>("2")</f>
        <v>2</v>
      </c>
      <c r="D891" s="218" t="s">
        <v>615</v>
      </c>
      <c r="E891" s="218" t="s">
        <v>1444</v>
      </c>
      <c r="F891" s="218" t="s">
        <v>1445</v>
      </c>
      <c r="G891" s="218">
        <v>5</v>
      </c>
      <c r="H891" s="218" t="s">
        <v>614</v>
      </c>
      <c r="I891" s="218" t="str">
        <f>("1406060061")</f>
        <v>1406060061</v>
      </c>
    </row>
    <row r="892" spans="1:10" x14ac:dyDescent="0.15">
      <c r="A892" s="406" t="str">
        <f t="shared" si="13"/>
        <v>挾間ＪＦＣ_3</v>
      </c>
      <c r="B892" s="218" t="s">
        <v>1439</v>
      </c>
      <c r="C892" s="218" t="str">
        <f>("3")</f>
        <v>3</v>
      </c>
      <c r="D892" s="218" t="s">
        <v>623</v>
      </c>
      <c r="E892" s="218" t="s">
        <v>1452</v>
      </c>
      <c r="F892" s="218" t="s">
        <v>1453</v>
      </c>
      <c r="G892" s="218">
        <v>5</v>
      </c>
      <c r="H892" s="218" t="s">
        <v>614</v>
      </c>
      <c r="I892" s="218" t="str">
        <f>("1407030052")</f>
        <v>1407030052</v>
      </c>
    </row>
    <row r="893" spans="1:10" x14ac:dyDescent="0.15">
      <c r="A893" s="406" t="str">
        <f t="shared" si="13"/>
        <v>挾間ＪＦＣ_4</v>
      </c>
      <c r="B893" s="218" t="s">
        <v>1439</v>
      </c>
      <c r="C893" s="218" t="str">
        <f>("4")</f>
        <v>4</v>
      </c>
      <c r="D893" s="218" t="s">
        <v>623</v>
      </c>
      <c r="E893" s="218" t="s">
        <v>8221</v>
      </c>
      <c r="F893" s="218" t="s">
        <v>8222</v>
      </c>
      <c r="G893" s="218">
        <v>6</v>
      </c>
      <c r="H893" s="218" t="s">
        <v>614</v>
      </c>
      <c r="I893" s="218" t="str">
        <f>("1307030269")</f>
        <v>1307030269</v>
      </c>
    </row>
    <row r="894" spans="1:10" x14ac:dyDescent="0.15">
      <c r="A894" s="406" t="str">
        <f t="shared" si="13"/>
        <v>挾間ＪＦＣ_5</v>
      </c>
      <c r="B894" s="218" t="s">
        <v>1439</v>
      </c>
      <c r="C894" s="218" t="str">
        <f>("5")</f>
        <v>5</v>
      </c>
      <c r="D894" s="218" t="s">
        <v>611</v>
      </c>
      <c r="E894" s="218" t="s">
        <v>1448</v>
      </c>
      <c r="F894" s="218" t="s">
        <v>1449</v>
      </c>
      <c r="G894" s="218">
        <v>6</v>
      </c>
      <c r="H894" s="218" t="s">
        <v>614</v>
      </c>
      <c r="I894" s="218" t="str">
        <f>("1309280045")</f>
        <v>1309280045</v>
      </c>
    </row>
    <row r="895" spans="1:10" x14ac:dyDescent="0.15">
      <c r="A895" s="406" t="str">
        <f t="shared" si="13"/>
        <v>挾間ＪＦＣ_6</v>
      </c>
      <c r="B895" s="218" t="s">
        <v>1439</v>
      </c>
      <c r="C895" s="218" t="str">
        <f>("6")</f>
        <v>6</v>
      </c>
      <c r="D895" s="218" t="s">
        <v>611</v>
      </c>
      <c r="E895" s="218" t="s">
        <v>8223</v>
      </c>
      <c r="F895" s="218" t="s">
        <v>8224</v>
      </c>
      <c r="G895" s="218">
        <v>6</v>
      </c>
      <c r="H895" s="218" t="s">
        <v>614</v>
      </c>
      <c r="I895" s="218" t="str">
        <f>("1402030177")</f>
        <v>1402030177</v>
      </c>
    </row>
    <row r="896" spans="1:10" x14ac:dyDescent="0.15">
      <c r="A896" s="406" t="str">
        <f t="shared" si="13"/>
        <v>挾間ＪＦＣ_7</v>
      </c>
      <c r="B896" s="218" t="s">
        <v>1439</v>
      </c>
      <c r="C896" s="218" t="str">
        <f>("7")</f>
        <v>7</v>
      </c>
      <c r="D896" s="218" t="s">
        <v>615</v>
      </c>
      <c r="E896" s="218" t="s">
        <v>8225</v>
      </c>
      <c r="F896" s="218" t="s">
        <v>8226</v>
      </c>
      <c r="G896" s="218">
        <v>5</v>
      </c>
      <c r="H896" s="218" t="s">
        <v>614</v>
      </c>
      <c r="I896" s="218" t="str">
        <f>("1407250232")</f>
        <v>1407250232</v>
      </c>
    </row>
    <row r="897" spans="1:10" x14ac:dyDescent="0.15">
      <c r="A897" s="406" t="str">
        <f t="shared" ref="A897:A960" si="14">CONCATENATE(B897,"_",C897)</f>
        <v>挾間ＪＦＣ_8</v>
      </c>
      <c r="B897" s="218" t="s">
        <v>1439</v>
      </c>
      <c r="C897" s="218" t="str">
        <f>("8")</f>
        <v>8</v>
      </c>
      <c r="D897" s="218" t="s">
        <v>615</v>
      </c>
      <c r="E897" s="218" t="s">
        <v>8227</v>
      </c>
      <c r="F897" s="218" t="s">
        <v>8228</v>
      </c>
      <c r="G897" s="218">
        <v>6</v>
      </c>
      <c r="H897" s="218" t="s">
        <v>614</v>
      </c>
      <c r="I897" s="218" t="str">
        <f>("1401020108")</f>
        <v>1401020108</v>
      </c>
    </row>
    <row r="898" spans="1:10" x14ac:dyDescent="0.15">
      <c r="A898" s="406" t="str">
        <f t="shared" si="14"/>
        <v>挾間ＪＦＣ_9</v>
      </c>
      <c r="B898" s="218" t="s">
        <v>1439</v>
      </c>
      <c r="C898" s="218" t="str">
        <f>("9")</f>
        <v>9</v>
      </c>
      <c r="D898" s="218" t="s">
        <v>615</v>
      </c>
      <c r="E898" s="218" t="s">
        <v>1450</v>
      </c>
      <c r="F898" s="218" t="s">
        <v>1451</v>
      </c>
      <c r="G898" s="218">
        <v>6</v>
      </c>
      <c r="H898" s="218" t="s">
        <v>614</v>
      </c>
      <c r="I898" s="218" t="str">
        <f>("1401140030")</f>
        <v>1401140030</v>
      </c>
      <c r="J898" s="218" t="s">
        <v>159</v>
      </c>
    </row>
    <row r="899" spans="1:10" x14ac:dyDescent="0.15">
      <c r="A899" s="406" t="str">
        <f t="shared" si="14"/>
        <v>挾間ＪＦＣ_10</v>
      </c>
      <c r="B899" s="218" t="s">
        <v>1439</v>
      </c>
      <c r="C899" s="218" t="str">
        <f>("10")</f>
        <v>10</v>
      </c>
      <c r="D899" s="218" t="s">
        <v>615</v>
      </c>
      <c r="E899" s="218" t="s">
        <v>1442</v>
      </c>
      <c r="F899" s="218" t="s">
        <v>1443</v>
      </c>
      <c r="G899" s="218">
        <v>6</v>
      </c>
      <c r="H899" s="218" t="s">
        <v>614</v>
      </c>
      <c r="I899" s="218" t="str">
        <f>("1304160027")</f>
        <v>1304160027</v>
      </c>
    </row>
    <row r="900" spans="1:10" x14ac:dyDescent="0.15">
      <c r="A900" s="406" t="str">
        <f t="shared" si="14"/>
        <v>挾間ＪＦＣ_11</v>
      </c>
      <c r="B900" s="218" t="s">
        <v>1439</v>
      </c>
      <c r="C900" s="218" t="str">
        <f>("11")</f>
        <v>11</v>
      </c>
      <c r="D900" s="218" t="s">
        <v>611</v>
      </c>
      <c r="E900" s="218" t="s">
        <v>8229</v>
      </c>
      <c r="F900" s="218" t="s">
        <v>8230</v>
      </c>
      <c r="G900" s="218">
        <v>6</v>
      </c>
      <c r="H900" s="218" t="s">
        <v>614</v>
      </c>
      <c r="I900" s="218" t="str">
        <f>("1310130191")</f>
        <v>1310130191</v>
      </c>
    </row>
    <row r="901" spans="1:10" x14ac:dyDescent="0.15">
      <c r="A901" s="406" t="str">
        <f t="shared" si="14"/>
        <v>挾間ＪＦＣ_12</v>
      </c>
      <c r="B901" s="218" t="s">
        <v>1439</v>
      </c>
      <c r="C901" s="218" t="str">
        <f>("12")</f>
        <v>12</v>
      </c>
      <c r="D901" s="218" t="s">
        <v>623</v>
      </c>
      <c r="E901" s="218" t="s">
        <v>8231</v>
      </c>
      <c r="F901" s="218" t="s">
        <v>8232</v>
      </c>
      <c r="G901" s="218">
        <v>5</v>
      </c>
      <c r="H901" s="218" t="s">
        <v>614</v>
      </c>
      <c r="I901" s="218" t="str">
        <f>("1408220221")</f>
        <v>1408220221</v>
      </c>
    </row>
    <row r="902" spans="1:10" x14ac:dyDescent="0.15">
      <c r="A902" s="406" t="str">
        <f t="shared" si="14"/>
        <v>挾間ＪＦＣ_13</v>
      </c>
      <c r="B902" s="218" t="s">
        <v>1439</v>
      </c>
      <c r="C902" s="218" t="str">
        <f>("13")</f>
        <v>13</v>
      </c>
      <c r="D902" s="218" t="s">
        <v>615</v>
      </c>
      <c r="E902" s="218" t="s">
        <v>1454</v>
      </c>
      <c r="F902" s="218" t="s">
        <v>1455</v>
      </c>
      <c r="G902" s="218">
        <v>5</v>
      </c>
      <c r="H902" s="218" t="s">
        <v>614</v>
      </c>
      <c r="I902" s="218" t="str">
        <f>("1409080042")</f>
        <v>1409080042</v>
      </c>
    </row>
    <row r="903" spans="1:10" x14ac:dyDescent="0.15">
      <c r="A903" s="406" t="str">
        <f t="shared" si="14"/>
        <v>挾間ＪＦＣ_14</v>
      </c>
      <c r="B903" s="218" t="s">
        <v>1439</v>
      </c>
      <c r="C903" s="218" t="str">
        <f>("14")</f>
        <v>14</v>
      </c>
      <c r="D903" s="218" t="s">
        <v>611</v>
      </c>
      <c r="E903" s="218" t="s">
        <v>8233</v>
      </c>
      <c r="F903" s="218" t="s">
        <v>8234</v>
      </c>
      <c r="G903" s="218">
        <v>5</v>
      </c>
      <c r="H903" s="218" t="s">
        <v>614</v>
      </c>
      <c r="I903" s="218" t="str">
        <f>("1407280190")</f>
        <v>1407280190</v>
      </c>
    </row>
    <row r="904" spans="1:10" x14ac:dyDescent="0.15">
      <c r="A904" s="406" t="str">
        <f t="shared" si="14"/>
        <v>挾間ＪＦＣ_15</v>
      </c>
      <c r="B904" s="218" t="s">
        <v>1439</v>
      </c>
      <c r="C904" s="218" t="str">
        <f>("15")</f>
        <v>15</v>
      </c>
      <c r="D904" s="218" t="s">
        <v>623</v>
      </c>
      <c r="E904" s="218" t="s">
        <v>8235</v>
      </c>
      <c r="F904" s="218" t="s">
        <v>8236</v>
      </c>
      <c r="G904" s="218">
        <v>6</v>
      </c>
      <c r="H904" s="218" t="s">
        <v>614</v>
      </c>
      <c r="I904" s="218" t="str">
        <f>("1402050110")</f>
        <v>1402050110</v>
      </c>
    </row>
    <row r="905" spans="1:10" x14ac:dyDescent="0.15">
      <c r="A905" s="406" t="str">
        <f t="shared" si="14"/>
        <v>ＦＣ安岐_1</v>
      </c>
      <c r="B905" s="218" t="s">
        <v>1456</v>
      </c>
      <c r="C905" s="218" t="str">
        <f>("1")</f>
        <v>1</v>
      </c>
      <c r="D905" s="218" t="s">
        <v>624</v>
      </c>
      <c r="E905" s="218" t="s">
        <v>8237</v>
      </c>
      <c r="F905" s="218" t="s">
        <v>8238</v>
      </c>
      <c r="G905" s="218">
        <v>4</v>
      </c>
      <c r="H905" s="218" t="s">
        <v>614</v>
      </c>
      <c r="I905" s="218" t="str">
        <f>("1507020023")</f>
        <v>1507020023</v>
      </c>
    </row>
    <row r="906" spans="1:10" x14ac:dyDescent="0.15">
      <c r="A906" s="406" t="str">
        <f t="shared" si="14"/>
        <v>ＦＣ安岐_2</v>
      </c>
      <c r="B906" s="218" t="s">
        <v>1456</v>
      </c>
      <c r="C906" s="218" t="str">
        <f>("2")</f>
        <v>2</v>
      </c>
      <c r="D906" s="218" t="s">
        <v>623</v>
      </c>
      <c r="E906" s="218" t="s">
        <v>8239</v>
      </c>
      <c r="F906" s="218" t="s">
        <v>8240</v>
      </c>
      <c r="G906" s="218">
        <v>4</v>
      </c>
      <c r="H906" s="218" t="s">
        <v>614</v>
      </c>
      <c r="I906" s="218" t="str">
        <f>("1602260099")</f>
        <v>1602260099</v>
      </c>
    </row>
    <row r="907" spans="1:10" x14ac:dyDescent="0.15">
      <c r="A907" s="406" t="str">
        <f t="shared" si="14"/>
        <v>ＦＣ安岐_3</v>
      </c>
      <c r="B907" s="218" t="s">
        <v>1456</v>
      </c>
      <c r="C907" s="218" t="str">
        <f>("3")</f>
        <v>3</v>
      </c>
      <c r="D907" s="218" t="s">
        <v>615</v>
      </c>
      <c r="E907" s="218" t="s">
        <v>8241</v>
      </c>
      <c r="F907" s="218" t="s">
        <v>8242</v>
      </c>
      <c r="G907" s="218">
        <v>3</v>
      </c>
      <c r="H907" s="218" t="s">
        <v>614</v>
      </c>
      <c r="I907" s="218" t="str">
        <f>("1608050030")</f>
        <v>1608050030</v>
      </c>
    </row>
    <row r="908" spans="1:10" x14ac:dyDescent="0.15">
      <c r="A908" s="406" t="str">
        <f t="shared" si="14"/>
        <v>ＦＣ安岐_4</v>
      </c>
      <c r="B908" s="218" t="s">
        <v>1456</v>
      </c>
      <c r="C908" s="218" t="str">
        <f>("4")</f>
        <v>4</v>
      </c>
      <c r="D908" s="218" t="s">
        <v>615</v>
      </c>
      <c r="E908" s="218" t="s">
        <v>8243</v>
      </c>
      <c r="F908" s="218" t="s">
        <v>8244</v>
      </c>
      <c r="G908" s="218">
        <v>3</v>
      </c>
      <c r="H908" s="218" t="s">
        <v>614</v>
      </c>
      <c r="I908" s="218" t="str">
        <f>("1609080033")</f>
        <v>1609080033</v>
      </c>
    </row>
    <row r="909" spans="1:10" x14ac:dyDescent="0.15">
      <c r="A909" s="406" t="str">
        <f t="shared" si="14"/>
        <v>ＦＣ安岐_7</v>
      </c>
      <c r="B909" s="218" t="s">
        <v>1456</v>
      </c>
      <c r="C909" s="218" t="str">
        <f>("7")</f>
        <v>7</v>
      </c>
      <c r="D909" s="218" t="s">
        <v>615</v>
      </c>
      <c r="E909" s="218" t="s">
        <v>8245</v>
      </c>
      <c r="F909" s="218" t="s">
        <v>8246</v>
      </c>
      <c r="G909" s="218">
        <v>6</v>
      </c>
      <c r="H909" s="218" t="s">
        <v>614</v>
      </c>
      <c r="I909" s="218" t="str">
        <f>("1403060009")</f>
        <v>1403060009</v>
      </c>
    </row>
    <row r="910" spans="1:10" x14ac:dyDescent="0.15">
      <c r="A910" s="406" t="str">
        <f t="shared" si="14"/>
        <v>ＦＣ安岐_8</v>
      </c>
      <c r="B910" s="218" t="s">
        <v>1456</v>
      </c>
      <c r="C910" s="218" t="str">
        <f>("8")</f>
        <v>8</v>
      </c>
      <c r="D910" s="218" t="s">
        <v>611</v>
      </c>
      <c r="E910" s="218" t="s">
        <v>8247</v>
      </c>
      <c r="F910" s="218" t="s">
        <v>8248</v>
      </c>
      <c r="G910" s="218">
        <v>6</v>
      </c>
      <c r="H910" s="218" t="s">
        <v>614</v>
      </c>
      <c r="I910" s="218" t="str">
        <f>("1402130146")</f>
        <v>1402130146</v>
      </c>
    </row>
    <row r="911" spans="1:10" x14ac:dyDescent="0.15">
      <c r="A911" s="406" t="str">
        <f t="shared" si="14"/>
        <v>ＦＣ安岐_9</v>
      </c>
      <c r="B911" s="218" t="s">
        <v>1456</v>
      </c>
      <c r="C911" s="218" t="str">
        <f>("9")</f>
        <v>9</v>
      </c>
      <c r="D911" s="218" t="s">
        <v>611</v>
      </c>
      <c r="E911" s="218" t="s">
        <v>1465</v>
      </c>
      <c r="F911" s="218" t="s">
        <v>1466</v>
      </c>
      <c r="G911" s="218">
        <v>6</v>
      </c>
      <c r="H911" s="218" t="s">
        <v>614</v>
      </c>
      <c r="I911" s="218" t="str">
        <f>("1306080135")</f>
        <v>1306080135</v>
      </c>
      <c r="J911" s="218" t="s">
        <v>159</v>
      </c>
    </row>
    <row r="912" spans="1:10" x14ac:dyDescent="0.15">
      <c r="A912" s="406" t="str">
        <f t="shared" si="14"/>
        <v>ＦＣ安岐_10</v>
      </c>
      <c r="B912" s="218" t="s">
        <v>1456</v>
      </c>
      <c r="C912" s="218" t="str">
        <f>("10")</f>
        <v>10</v>
      </c>
      <c r="D912" s="218" t="s">
        <v>615</v>
      </c>
      <c r="E912" s="218" t="s">
        <v>8249</v>
      </c>
      <c r="F912" s="218" t="s">
        <v>8250</v>
      </c>
      <c r="G912" s="218">
        <v>5</v>
      </c>
      <c r="H912" s="218" t="s">
        <v>614</v>
      </c>
      <c r="I912" s="218" t="str">
        <f>("1503070040")</f>
        <v>1503070040</v>
      </c>
    </row>
    <row r="913" spans="1:10" x14ac:dyDescent="0.15">
      <c r="A913" s="406" t="str">
        <f t="shared" si="14"/>
        <v>ＦＣ安岐_11</v>
      </c>
      <c r="B913" s="218" t="s">
        <v>1456</v>
      </c>
      <c r="C913" s="218" t="str">
        <f>("11")</f>
        <v>11</v>
      </c>
      <c r="D913" s="218" t="s">
        <v>611</v>
      </c>
      <c r="E913" s="218" t="s">
        <v>8251</v>
      </c>
      <c r="F913" s="218" t="s">
        <v>8252</v>
      </c>
      <c r="G913" s="218">
        <v>5</v>
      </c>
      <c r="H913" s="218" t="s">
        <v>614</v>
      </c>
      <c r="I913" s="218" t="str">
        <f>("1410170002")</f>
        <v>1410170002</v>
      </c>
    </row>
    <row r="914" spans="1:10" x14ac:dyDescent="0.15">
      <c r="A914" s="406" t="str">
        <f t="shared" si="14"/>
        <v>ＦＣ安岐_12</v>
      </c>
      <c r="B914" s="218" t="s">
        <v>1456</v>
      </c>
      <c r="C914" s="218" t="str">
        <f>("12")</f>
        <v>12</v>
      </c>
      <c r="D914" s="218" t="s">
        <v>615</v>
      </c>
      <c r="E914" s="218" t="s">
        <v>8253</v>
      </c>
      <c r="F914" s="218" t="s">
        <v>8254</v>
      </c>
      <c r="G914" s="218">
        <v>5</v>
      </c>
      <c r="H914" s="218" t="s">
        <v>614</v>
      </c>
      <c r="I914" s="218" t="str">
        <f>("1404150062")</f>
        <v>1404150062</v>
      </c>
    </row>
    <row r="915" spans="1:10" x14ac:dyDescent="0.15">
      <c r="A915" s="406" t="str">
        <f t="shared" si="14"/>
        <v>ＦＣ安岐_13</v>
      </c>
      <c r="B915" s="218" t="s">
        <v>1456</v>
      </c>
      <c r="C915" s="218" t="str">
        <f>("13")</f>
        <v>13</v>
      </c>
      <c r="D915" s="218" t="s">
        <v>623</v>
      </c>
      <c r="E915" s="218" t="s">
        <v>1467</v>
      </c>
      <c r="F915" s="218" t="s">
        <v>1468</v>
      </c>
      <c r="G915" s="218">
        <v>5</v>
      </c>
      <c r="H915" s="218" t="s">
        <v>614</v>
      </c>
      <c r="I915" s="218" t="str">
        <f>("1407240059")</f>
        <v>1407240059</v>
      </c>
    </row>
    <row r="916" spans="1:10" x14ac:dyDescent="0.15">
      <c r="A916" s="406" t="str">
        <f t="shared" si="14"/>
        <v>ＦＣ安岐_14</v>
      </c>
      <c r="B916" s="218" t="s">
        <v>1456</v>
      </c>
      <c r="C916" s="218" t="str">
        <f>("14")</f>
        <v>14</v>
      </c>
      <c r="D916" s="218" t="s">
        <v>615</v>
      </c>
      <c r="E916" s="218" t="s">
        <v>8255</v>
      </c>
      <c r="F916" s="218" t="s">
        <v>8256</v>
      </c>
      <c r="G916" s="218">
        <v>5</v>
      </c>
      <c r="H916" s="218" t="s">
        <v>614</v>
      </c>
      <c r="I916" s="218" t="str">
        <f>("1408020162")</f>
        <v>1408020162</v>
      </c>
    </row>
    <row r="917" spans="1:10" x14ac:dyDescent="0.15">
      <c r="A917" s="406" t="str">
        <f t="shared" si="14"/>
        <v>ＦＣ安岐_16</v>
      </c>
      <c r="B917" s="218" t="s">
        <v>1456</v>
      </c>
      <c r="C917" s="218" t="str">
        <f>("16")</f>
        <v>16</v>
      </c>
      <c r="D917" s="218" t="s">
        <v>624</v>
      </c>
      <c r="E917" s="218" t="s">
        <v>8257</v>
      </c>
      <c r="F917" s="218" t="s">
        <v>8258</v>
      </c>
      <c r="G917" s="218">
        <v>5</v>
      </c>
      <c r="H917" s="218" t="s">
        <v>614</v>
      </c>
      <c r="I917" s="218" t="str">
        <f>("1404150181")</f>
        <v>1404150181</v>
      </c>
    </row>
    <row r="918" spans="1:10" x14ac:dyDescent="0.15">
      <c r="A918" s="406" t="str">
        <f t="shared" si="14"/>
        <v>スマイス・セレソン_1</v>
      </c>
      <c r="B918" s="218" t="s">
        <v>1471</v>
      </c>
      <c r="C918" s="218" t="str">
        <f>("1")</f>
        <v>1</v>
      </c>
      <c r="D918" s="218" t="s">
        <v>624</v>
      </c>
      <c r="E918" s="218" t="s">
        <v>8259</v>
      </c>
      <c r="F918" s="218" t="s">
        <v>8260</v>
      </c>
      <c r="G918" s="218">
        <v>6</v>
      </c>
      <c r="H918" s="218" t="s">
        <v>614</v>
      </c>
      <c r="I918" s="218" t="str">
        <f>("1308100170")</f>
        <v>1308100170</v>
      </c>
    </row>
    <row r="919" spans="1:10" x14ac:dyDescent="0.15">
      <c r="A919" s="406" t="str">
        <f t="shared" si="14"/>
        <v>スマイス・セレソン_2</v>
      </c>
      <c r="B919" s="218" t="s">
        <v>1471</v>
      </c>
      <c r="C919" s="218" t="str">
        <f>("2")</f>
        <v>2</v>
      </c>
      <c r="D919" s="218" t="s">
        <v>615</v>
      </c>
      <c r="E919" s="218" t="s">
        <v>8261</v>
      </c>
      <c r="F919" s="218" t="s">
        <v>8262</v>
      </c>
      <c r="G919" s="218">
        <v>6</v>
      </c>
      <c r="H919" s="218" t="s">
        <v>614</v>
      </c>
      <c r="I919" s="218" t="str">
        <f>("1307080174")</f>
        <v>1307080174</v>
      </c>
    </row>
    <row r="920" spans="1:10" x14ac:dyDescent="0.15">
      <c r="A920" s="406" t="str">
        <f t="shared" si="14"/>
        <v>スマイス・セレソン_3</v>
      </c>
      <c r="B920" s="218" t="s">
        <v>1471</v>
      </c>
      <c r="C920" s="218" t="str">
        <f>("3")</f>
        <v>3</v>
      </c>
      <c r="D920" s="218" t="s">
        <v>615</v>
      </c>
      <c r="E920" s="218" t="s">
        <v>8263</v>
      </c>
      <c r="F920" s="218" t="s">
        <v>8264</v>
      </c>
      <c r="G920" s="218">
        <v>6</v>
      </c>
      <c r="H920" s="218" t="s">
        <v>614</v>
      </c>
      <c r="I920" s="218" t="str">
        <f>("1309020185")</f>
        <v>1309020185</v>
      </c>
    </row>
    <row r="921" spans="1:10" x14ac:dyDescent="0.15">
      <c r="A921" s="406" t="str">
        <f t="shared" si="14"/>
        <v>スマイス・セレソン_4</v>
      </c>
      <c r="B921" s="218" t="s">
        <v>1471</v>
      </c>
      <c r="C921" s="218" t="str">
        <f>("4")</f>
        <v>4</v>
      </c>
      <c r="D921" s="218" t="s">
        <v>615</v>
      </c>
      <c r="E921" s="218" t="s">
        <v>8265</v>
      </c>
      <c r="F921" s="218" t="s">
        <v>8266</v>
      </c>
      <c r="G921" s="218">
        <v>6</v>
      </c>
      <c r="H921" s="218" t="s">
        <v>614</v>
      </c>
      <c r="I921" s="218" t="str">
        <f>("1308020175")</f>
        <v>1308020175</v>
      </c>
    </row>
    <row r="922" spans="1:10" x14ac:dyDescent="0.15">
      <c r="A922" s="406" t="str">
        <f t="shared" si="14"/>
        <v>スマイス・セレソン_5</v>
      </c>
      <c r="B922" s="218" t="s">
        <v>1471</v>
      </c>
      <c r="C922" s="218" t="str">
        <f>("5")</f>
        <v>5</v>
      </c>
      <c r="D922" s="218" t="s">
        <v>615</v>
      </c>
      <c r="E922" s="218" t="s">
        <v>8267</v>
      </c>
      <c r="F922" s="218" t="s">
        <v>8268</v>
      </c>
      <c r="G922" s="218">
        <v>6</v>
      </c>
      <c r="H922" s="218" t="s">
        <v>614</v>
      </c>
      <c r="I922" s="218" t="str">
        <f>("1403050139")</f>
        <v>1403050139</v>
      </c>
    </row>
    <row r="923" spans="1:10" x14ac:dyDescent="0.15">
      <c r="A923" s="406" t="str">
        <f t="shared" si="14"/>
        <v>スマイス・セレソン_6</v>
      </c>
      <c r="B923" s="218" t="s">
        <v>1471</v>
      </c>
      <c r="C923" s="218" t="str">
        <f>("6")</f>
        <v>6</v>
      </c>
      <c r="D923" s="218" t="s">
        <v>615</v>
      </c>
      <c r="E923" s="218" t="s">
        <v>8269</v>
      </c>
      <c r="F923" s="218" t="s">
        <v>8270</v>
      </c>
      <c r="G923" s="218">
        <v>6</v>
      </c>
      <c r="H923" s="218" t="s">
        <v>614</v>
      </c>
      <c r="I923" s="218" t="str">
        <f>("1404010098")</f>
        <v>1404010098</v>
      </c>
    </row>
    <row r="924" spans="1:10" x14ac:dyDescent="0.15">
      <c r="A924" s="406" t="str">
        <f t="shared" si="14"/>
        <v>スマイス・セレソン_7</v>
      </c>
      <c r="B924" s="218" t="s">
        <v>1471</v>
      </c>
      <c r="C924" s="218" t="str">
        <f>("7")</f>
        <v>7</v>
      </c>
      <c r="D924" s="218" t="s">
        <v>615</v>
      </c>
      <c r="E924" s="218" t="s">
        <v>8271</v>
      </c>
      <c r="F924" s="218" t="s">
        <v>8272</v>
      </c>
      <c r="G924" s="218">
        <v>6</v>
      </c>
      <c r="H924" s="218" t="s">
        <v>614</v>
      </c>
      <c r="I924" s="218" t="str">
        <f>("1401260130")</f>
        <v>1401260130</v>
      </c>
    </row>
    <row r="925" spans="1:10" x14ac:dyDescent="0.15">
      <c r="A925" s="406" t="str">
        <f t="shared" si="14"/>
        <v>スマイス・セレソン_8</v>
      </c>
      <c r="B925" s="218" t="s">
        <v>1471</v>
      </c>
      <c r="C925" s="218" t="str">
        <f>("8")</f>
        <v>8</v>
      </c>
      <c r="D925" s="218" t="s">
        <v>615</v>
      </c>
      <c r="E925" s="218" t="s">
        <v>8273</v>
      </c>
      <c r="F925" s="218" t="s">
        <v>8274</v>
      </c>
      <c r="G925" s="218">
        <v>6</v>
      </c>
      <c r="H925" s="218" t="s">
        <v>614</v>
      </c>
      <c r="I925" s="218" t="str">
        <f>("1305290170")</f>
        <v>1305290170</v>
      </c>
    </row>
    <row r="926" spans="1:10" x14ac:dyDescent="0.15">
      <c r="A926" s="406" t="str">
        <f t="shared" si="14"/>
        <v>スマイス・セレソン_9</v>
      </c>
      <c r="B926" s="218" t="s">
        <v>1471</v>
      </c>
      <c r="C926" s="218" t="str">
        <f>("9")</f>
        <v>9</v>
      </c>
      <c r="D926" s="218" t="s">
        <v>615</v>
      </c>
      <c r="E926" s="218" t="s">
        <v>8275</v>
      </c>
      <c r="F926" s="218" t="s">
        <v>8276</v>
      </c>
      <c r="G926" s="218">
        <v>5</v>
      </c>
      <c r="H926" s="218" t="s">
        <v>614</v>
      </c>
      <c r="I926" s="218" t="str">
        <f>("1406200141")</f>
        <v>1406200141</v>
      </c>
    </row>
    <row r="927" spans="1:10" x14ac:dyDescent="0.15">
      <c r="A927" s="406" t="str">
        <f t="shared" si="14"/>
        <v>スマイス・セレソン_10</v>
      </c>
      <c r="B927" s="218" t="s">
        <v>1471</v>
      </c>
      <c r="C927" s="218" t="str">
        <f>("10")</f>
        <v>10</v>
      </c>
      <c r="D927" s="218" t="s">
        <v>615</v>
      </c>
      <c r="E927" s="218" t="s">
        <v>8277</v>
      </c>
      <c r="F927" s="218" t="s">
        <v>8278</v>
      </c>
      <c r="G927" s="218">
        <v>6</v>
      </c>
      <c r="H927" s="218" t="s">
        <v>614</v>
      </c>
      <c r="I927" s="218" t="str">
        <f>("1312100177")</f>
        <v>1312100177</v>
      </c>
      <c r="J927" s="218" t="s">
        <v>159</v>
      </c>
    </row>
    <row r="928" spans="1:10" x14ac:dyDescent="0.15">
      <c r="A928" s="406" t="str">
        <f t="shared" si="14"/>
        <v>スマイス・セレソン_11</v>
      </c>
      <c r="B928" s="218" t="s">
        <v>1471</v>
      </c>
      <c r="C928" s="218" t="str">
        <f>("11")</f>
        <v>11</v>
      </c>
      <c r="D928" s="218" t="s">
        <v>615</v>
      </c>
      <c r="E928" s="218" t="s">
        <v>8279</v>
      </c>
      <c r="F928" s="218" t="s">
        <v>8280</v>
      </c>
      <c r="G928" s="218">
        <v>5</v>
      </c>
      <c r="H928" s="218" t="s">
        <v>614</v>
      </c>
      <c r="I928" s="218" t="str">
        <f>("1409130105")</f>
        <v>1409130105</v>
      </c>
    </row>
    <row r="929" spans="1:10" x14ac:dyDescent="0.15">
      <c r="A929" s="406" t="str">
        <f t="shared" si="14"/>
        <v>スマイス・セレソン_12</v>
      </c>
      <c r="B929" s="218" t="s">
        <v>1471</v>
      </c>
      <c r="C929" s="218" t="str">
        <f>("12")</f>
        <v>12</v>
      </c>
      <c r="D929" s="218" t="s">
        <v>615</v>
      </c>
      <c r="E929" s="218" t="s">
        <v>8281</v>
      </c>
      <c r="F929" s="218" t="s">
        <v>8282</v>
      </c>
      <c r="G929" s="218">
        <v>5</v>
      </c>
      <c r="H929" s="218" t="s">
        <v>614</v>
      </c>
      <c r="I929" s="218" t="str">
        <f>("1406040124")</f>
        <v>1406040124</v>
      </c>
    </row>
    <row r="930" spans="1:10" x14ac:dyDescent="0.15">
      <c r="A930" s="406" t="str">
        <f t="shared" si="14"/>
        <v>スマイス・セレソン_13</v>
      </c>
      <c r="B930" s="218" t="s">
        <v>1471</v>
      </c>
      <c r="C930" s="218" t="str">
        <f>("13")</f>
        <v>13</v>
      </c>
      <c r="D930" s="218" t="s">
        <v>615</v>
      </c>
      <c r="E930" s="218" t="s">
        <v>8283</v>
      </c>
      <c r="F930" s="218" t="s">
        <v>8284</v>
      </c>
      <c r="G930" s="218">
        <v>5</v>
      </c>
      <c r="H930" s="218" t="s">
        <v>614</v>
      </c>
      <c r="I930" s="218" t="str">
        <f>("1407140220")</f>
        <v>1407140220</v>
      </c>
    </row>
    <row r="931" spans="1:10" x14ac:dyDescent="0.15">
      <c r="A931" s="406" t="str">
        <f t="shared" si="14"/>
        <v>スマイス・セレソン_14</v>
      </c>
      <c r="B931" s="218" t="s">
        <v>1471</v>
      </c>
      <c r="C931" s="218" t="str">
        <f>("14")</f>
        <v>14</v>
      </c>
      <c r="D931" s="218" t="s">
        <v>615</v>
      </c>
      <c r="E931" s="218" t="s">
        <v>8285</v>
      </c>
      <c r="F931" s="218" t="s">
        <v>8286</v>
      </c>
      <c r="G931" s="218">
        <v>4</v>
      </c>
      <c r="H931" s="218" t="s">
        <v>614</v>
      </c>
      <c r="I931" s="218" t="str">
        <f>("1509030049")</f>
        <v>1509030049</v>
      </c>
    </row>
    <row r="932" spans="1:10" x14ac:dyDescent="0.15">
      <c r="A932" s="406" t="str">
        <f t="shared" si="14"/>
        <v>スマイス・セレソン_15</v>
      </c>
      <c r="B932" s="218" t="s">
        <v>1471</v>
      </c>
      <c r="C932" s="218" t="str">
        <f>("15")</f>
        <v>15</v>
      </c>
      <c r="D932" s="218" t="s">
        <v>615</v>
      </c>
      <c r="E932" s="218" t="s">
        <v>8287</v>
      </c>
      <c r="F932" s="218" t="s">
        <v>8288</v>
      </c>
      <c r="G932" s="218">
        <v>5</v>
      </c>
      <c r="H932" s="218" t="s">
        <v>614</v>
      </c>
      <c r="I932" s="218" t="str">
        <f>("1407060134")</f>
        <v>1407060134</v>
      </c>
    </row>
    <row r="933" spans="1:10" x14ac:dyDescent="0.15">
      <c r="A933" s="406" t="str">
        <f t="shared" si="14"/>
        <v>スマイス・セレソン_16</v>
      </c>
      <c r="B933" s="218" t="s">
        <v>1471</v>
      </c>
      <c r="C933" s="218" t="str">
        <f>("16")</f>
        <v>16</v>
      </c>
      <c r="D933" s="218" t="s">
        <v>624</v>
      </c>
      <c r="E933" s="218" t="s">
        <v>1686</v>
      </c>
      <c r="F933" s="218" t="s">
        <v>1687</v>
      </c>
      <c r="G933" s="218">
        <v>6</v>
      </c>
      <c r="H933" s="218" t="s">
        <v>614</v>
      </c>
      <c r="I933" s="218" t="str">
        <f>("1401150101")</f>
        <v>1401150101</v>
      </c>
    </row>
    <row r="934" spans="1:10" x14ac:dyDescent="0.15">
      <c r="A934" s="406" t="str">
        <f t="shared" si="14"/>
        <v>カティオーラフットボールクラブＵ－１２_1</v>
      </c>
      <c r="B934" s="218" t="s">
        <v>1483</v>
      </c>
      <c r="C934" s="218" t="str">
        <f>("1")</f>
        <v>1</v>
      </c>
      <c r="D934" s="218" t="s">
        <v>624</v>
      </c>
      <c r="E934" s="218" t="s">
        <v>8289</v>
      </c>
      <c r="F934" s="218" t="s">
        <v>8290</v>
      </c>
      <c r="G934" s="218">
        <v>6</v>
      </c>
      <c r="H934" s="218" t="s">
        <v>614</v>
      </c>
      <c r="I934" s="218" t="str">
        <f>("1311010215")</f>
        <v>1311010215</v>
      </c>
    </row>
    <row r="935" spans="1:10" x14ac:dyDescent="0.15">
      <c r="A935" s="406" t="str">
        <f t="shared" si="14"/>
        <v>カティオーラフットボールクラブＵ－１２_2</v>
      </c>
      <c r="B935" s="218" t="s">
        <v>1483</v>
      </c>
      <c r="C935" s="218" t="str">
        <f>("2")</f>
        <v>2</v>
      </c>
      <c r="D935" s="218" t="s">
        <v>611</v>
      </c>
      <c r="E935" s="218" t="s">
        <v>8291</v>
      </c>
      <c r="F935" s="218" t="s">
        <v>8292</v>
      </c>
      <c r="G935" s="218">
        <v>6</v>
      </c>
      <c r="H935" s="218" t="s">
        <v>614</v>
      </c>
      <c r="I935" s="218" t="str">
        <f>("1307190143")</f>
        <v>1307190143</v>
      </c>
    </row>
    <row r="936" spans="1:10" x14ac:dyDescent="0.15">
      <c r="A936" s="406" t="str">
        <f t="shared" si="14"/>
        <v>カティオーラフットボールクラブＵ－１２_3</v>
      </c>
      <c r="B936" s="218" t="s">
        <v>1483</v>
      </c>
      <c r="C936" s="218" t="str">
        <f>("3")</f>
        <v>3</v>
      </c>
      <c r="D936" s="218" t="s">
        <v>615</v>
      </c>
      <c r="E936" s="218" t="s">
        <v>8293</v>
      </c>
      <c r="F936" s="218" t="s">
        <v>8294</v>
      </c>
      <c r="G936" s="218">
        <v>5</v>
      </c>
      <c r="H936" s="218" t="s">
        <v>614</v>
      </c>
      <c r="I936" s="218" t="str">
        <f>("1408300086")</f>
        <v>1408300086</v>
      </c>
    </row>
    <row r="937" spans="1:10" x14ac:dyDescent="0.15">
      <c r="A937" s="406" t="str">
        <f t="shared" si="14"/>
        <v>カティオーラフットボールクラブＵ－１２_4</v>
      </c>
      <c r="B937" s="218" t="s">
        <v>1483</v>
      </c>
      <c r="C937" s="218" t="str">
        <f>("4")</f>
        <v>4</v>
      </c>
      <c r="D937" s="218" t="s">
        <v>611</v>
      </c>
      <c r="E937" s="218" t="s">
        <v>8295</v>
      </c>
      <c r="F937" s="218" t="s">
        <v>8296</v>
      </c>
      <c r="G937" s="218">
        <v>6</v>
      </c>
      <c r="H937" s="218" t="s">
        <v>614</v>
      </c>
      <c r="I937" s="218" t="str">
        <f>("1308010217")</f>
        <v>1308010217</v>
      </c>
    </row>
    <row r="938" spans="1:10" x14ac:dyDescent="0.15">
      <c r="A938" s="406" t="str">
        <f t="shared" si="14"/>
        <v>カティオーラフットボールクラブＵ－１２_5</v>
      </c>
      <c r="B938" s="218" t="s">
        <v>1483</v>
      </c>
      <c r="C938" s="218" t="str">
        <f>("5")</f>
        <v>5</v>
      </c>
      <c r="D938" s="218" t="s">
        <v>611</v>
      </c>
      <c r="E938" s="218" t="s">
        <v>8297</v>
      </c>
      <c r="F938" s="218" t="s">
        <v>8298</v>
      </c>
      <c r="G938" s="218">
        <v>6</v>
      </c>
      <c r="H938" s="218" t="s">
        <v>614</v>
      </c>
      <c r="I938" s="218" t="str">
        <f>("1308090124")</f>
        <v>1308090124</v>
      </c>
      <c r="J938" s="218" t="s">
        <v>159</v>
      </c>
    </row>
    <row r="939" spans="1:10" x14ac:dyDescent="0.15">
      <c r="A939" s="406" t="str">
        <f t="shared" si="14"/>
        <v>カティオーラフットボールクラブＵ－１２_6</v>
      </c>
      <c r="B939" s="218" t="s">
        <v>1483</v>
      </c>
      <c r="C939" s="218" t="str">
        <f>("6")</f>
        <v>6</v>
      </c>
      <c r="D939" s="218" t="s">
        <v>611</v>
      </c>
      <c r="E939" s="218" t="s">
        <v>8299</v>
      </c>
      <c r="F939" s="218" t="s">
        <v>8300</v>
      </c>
      <c r="G939" s="218">
        <v>6</v>
      </c>
      <c r="H939" s="218" t="s">
        <v>614</v>
      </c>
      <c r="I939" s="218" t="str">
        <f>("1310250167")</f>
        <v>1310250167</v>
      </c>
    </row>
    <row r="940" spans="1:10" x14ac:dyDescent="0.15">
      <c r="A940" s="406" t="str">
        <f t="shared" si="14"/>
        <v>カティオーラフットボールクラブＵ－１２_7</v>
      </c>
      <c r="B940" s="218" t="s">
        <v>1483</v>
      </c>
      <c r="C940" s="218" t="str">
        <f>("7")</f>
        <v>7</v>
      </c>
      <c r="D940" s="218" t="s">
        <v>615</v>
      </c>
      <c r="E940" s="218" t="s">
        <v>8301</v>
      </c>
      <c r="F940" s="218" t="s">
        <v>8302</v>
      </c>
      <c r="G940" s="218">
        <v>6</v>
      </c>
      <c r="H940" s="218" t="s">
        <v>616</v>
      </c>
      <c r="I940" s="218" t="str">
        <f>("1306100027")</f>
        <v>1306100027</v>
      </c>
    </row>
    <row r="941" spans="1:10" x14ac:dyDescent="0.15">
      <c r="A941" s="406" t="str">
        <f t="shared" si="14"/>
        <v>カティオーラフットボールクラブＵ－１２_9</v>
      </c>
      <c r="B941" s="218" t="s">
        <v>1483</v>
      </c>
      <c r="C941" s="218" t="str">
        <f>("9")</f>
        <v>9</v>
      </c>
      <c r="D941" s="218" t="s">
        <v>623</v>
      </c>
      <c r="E941" s="218" t="s">
        <v>8303</v>
      </c>
      <c r="F941" s="218" t="s">
        <v>8304</v>
      </c>
      <c r="G941" s="218">
        <v>6</v>
      </c>
      <c r="H941" s="218" t="s">
        <v>616</v>
      </c>
      <c r="I941" s="218" t="str">
        <f>("1307080027")</f>
        <v>1307080027</v>
      </c>
    </row>
    <row r="942" spans="1:10" x14ac:dyDescent="0.15">
      <c r="A942" s="406" t="str">
        <f t="shared" si="14"/>
        <v>カティオーラフットボールクラブＵ－１２_10</v>
      </c>
      <c r="B942" s="218" t="s">
        <v>1483</v>
      </c>
      <c r="C942" s="218" t="str">
        <f>("10")</f>
        <v>10</v>
      </c>
      <c r="D942" s="218" t="s">
        <v>615</v>
      </c>
      <c r="E942" s="218" t="s">
        <v>8305</v>
      </c>
      <c r="F942" s="218" t="s">
        <v>8306</v>
      </c>
      <c r="G942" s="218">
        <v>6</v>
      </c>
      <c r="H942" s="218" t="s">
        <v>614</v>
      </c>
      <c r="I942" s="218" t="str">
        <f>("1308290108")</f>
        <v>1308290108</v>
      </c>
    </row>
    <row r="943" spans="1:10" x14ac:dyDescent="0.15">
      <c r="A943" s="406" t="str">
        <f t="shared" si="14"/>
        <v>カティオーラフットボールクラブＵ－１２_11</v>
      </c>
      <c r="B943" s="218" t="s">
        <v>1483</v>
      </c>
      <c r="C943" s="218" t="str">
        <f>("11")</f>
        <v>11</v>
      </c>
      <c r="D943" s="218" t="s">
        <v>615</v>
      </c>
      <c r="E943" s="218" t="s">
        <v>8307</v>
      </c>
      <c r="F943" s="218" t="s">
        <v>8308</v>
      </c>
      <c r="G943" s="218">
        <v>6</v>
      </c>
      <c r="H943" s="218" t="s">
        <v>614</v>
      </c>
      <c r="I943" s="218" t="str">
        <f>("1305230121")</f>
        <v>1305230121</v>
      </c>
    </row>
    <row r="944" spans="1:10" x14ac:dyDescent="0.15">
      <c r="A944" s="406" t="str">
        <f t="shared" si="14"/>
        <v>カティオーラフットボールクラブＵ－１２_12</v>
      </c>
      <c r="B944" s="218" t="s">
        <v>1483</v>
      </c>
      <c r="C944" s="218" t="str">
        <f>("12")</f>
        <v>12</v>
      </c>
      <c r="D944" s="218" t="s">
        <v>623</v>
      </c>
      <c r="E944" s="218" t="s">
        <v>1099</v>
      </c>
      <c r="F944" s="218" t="s">
        <v>1100</v>
      </c>
      <c r="G944" s="218">
        <v>6</v>
      </c>
      <c r="H944" s="218" t="s">
        <v>614</v>
      </c>
      <c r="I944" s="218" t="str">
        <f>("1308100057")</f>
        <v>1308100057</v>
      </c>
    </row>
    <row r="945" spans="1:10" x14ac:dyDescent="0.15">
      <c r="A945" s="406" t="str">
        <f t="shared" si="14"/>
        <v>カティオーラフットボールクラブＵ－１２_13</v>
      </c>
      <c r="B945" s="218" t="s">
        <v>1483</v>
      </c>
      <c r="C945" s="218" t="str">
        <f>("13")</f>
        <v>13</v>
      </c>
      <c r="D945" s="218" t="s">
        <v>611</v>
      </c>
      <c r="E945" s="218" t="s">
        <v>8309</v>
      </c>
      <c r="F945" s="218" t="s">
        <v>1183</v>
      </c>
      <c r="G945" s="218">
        <v>5</v>
      </c>
      <c r="H945" s="218" t="s">
        <v>614</v>
      </c>
      <c r="I945" s="218" t="str">
        <f>("1406120128")</f>
        <v>1406120128</v>
      </c>
    </row>
    <row r="946" spans="1:10" x14ac:dyDescent="0.15">
      <c r="A946" s="406" t="str">
        <f t="shared" si="14"/>
        <v>カティオーラフットボールクラブＵ－１２　Ｎｅｘｔ_1</v>
      </c>
      <c r="B946" s="218" t="s">
        <v>1506</v>
      </c>
      <c r="C946" s="218" t="str">
        <f>("1")</f>
        <v>1</v>
      </c>
      <c r="D946" s="218" t="s">
        <v>624</v>
      </c>
      <c r="E946" s="218" t="s">
        <v>8310</v>
      </c>
      <c r="F946" s="218" t="s">
        <v>8311</v>
      </c>
      <c r="G946" s="218">
        <v>6</v>
      </c>
      <c r="H946" s="218" t="s">
        <v>614</v>
      </c>
      <c r="I946" s="218" t="str">
        <f>("1306190201")</f>
        <v>1306190201</v>
      </c>
    </row>
    <row r="947" spans="1:10" x14ac:dyDescent="0.15">
      <c r="A947" s="406" t="str">
        <f t="shared" si="14"/>
        <v>カティオーラフットボールクラブＵ－１２　Ｎｅｘｔ_2</v>
      </c>
      <c r="B947" s="218" t="s">
        <v>1506</v>
      </c>
      <c r="C947" s="218" t="str">
        <f>("2")</f>
        <v>2</v>
      </c>
      <c r="D947" s="218" t="s">
        <v>611</v>
      </c>
      <c r="E947" s="218" t="s">
        <v>8312</v>
      </c>
      <c r="F947" s="218" t="s">
        <v>8313</v>
      </c>
      <c r="G947" s="218">
        <v>5</v>
      </c>
      <c r="H947" s="218" t="s">
        <v>614</v>
      </c>
      <c r="I947" s="218" t="str">
        <f>("1411040132")</f>
        <v>1411040132</v>
      </c>
    </row>
    <row r="948" spans="1:10" x14ac:dyDescent="0.15">
      <c r="A948" s="406" t="str">
        <f t="shared" si="14"/>
        <v>カティオーラフットボールクラブＵ－１２　Ｎｅｘｔ_4</v>
      </c>
      <c r="B948" s="218" t="s">
        <v>1506</v>
      </c>
      <c r="C948" s="218" t="str">
        <f>("4")</f>
        <v>4</v>
      </c>
      <c r="D948" s="218" t="s">
        <v>611</v>
      </c>
      <c r="E948" s="218" t="s">
        <v>8314</v>
      </c>
      <c r="F948" s="218" t="s">
        <v>8315</v>
      </c>
      <c r="G948" s="218">
        <v>6</v>
      </c>
      <c r="H948" s="218" t="s">
        <v>614</v>
      </c>
      <c r="I948" s="218" t="str">
        <f>("1307080011")</f>
        <v>1307080011</v>
      </c>
    </row>
    <row r="949" spans="1:10" x14ac:dyDescent="0.15">
      <c r="A949" s="406" t="str">
        <f t="shared" si="14"/>
        <v>カティオーラフットボールクラブＵ－１２　Ｎｅｘｔ_5</v>
      </c>
      <c r="B949" s="218" t="s">
        <v>1506</v>
      </c>
      <c r="C949" s="218" t="str">
        <f>("5")</f>
        <v>5</v>
      </c>
      <c r="D949" s="218" t="s">
        <v>611</v>
      </c>
      <c r="E949" s="218" t="s">
        <v>8316</v>
      </c>
      <c r="F949" s="218" t="s">
        <v>8317</v>
      </c>
      <c r="G949" s="218">
        <v>5</v>
      </c>
      <c r="H949" s="218" t="s">
        <v>614</v>
      </c>
      <c r="I949" s="218" t="str">
        <f>("1406100127")</f>
        <v>1406100127</v>
      </c>
    </row>
    <row r="950" spans="1:10" x14ac:dyDescent="0.15">
      <c r="A950" s="406" t="str">
        <f t="shared" si="14"/>
        <v>カティオーラフットボールクラブＵ－１２　Ｎｅｘｔ_6</v>
      </c>
      <c r="B950" s="218" t="s">
        <v>1506</v>
      </c>
      <c r="C950" s="218" t="str">
        <f>("6")</f>
        <v>6</v>
      </c>
      <c r="D950" s="218" t="s">
        <v>615</v>
      </c>
      <c r="E950" s="218" t="s">
        <v>8318</v>
      </c>
      <c r="F950" s="218" t="s">
        <v>8319</v>
      </c>
      <c r="G950" s="218">
        <v>6</v>
      </c>
      <c r="H950" s="218" t="s">
        <v>616</v>
      </c>
      <c r="I950" s="218" t="str">
        <f>("1306210027")</f>
        <v>1306210027</v>
      </c>
    </row>
    <row r="951" spans="1:10" x14ac:dyDescent="0.15">
      <c r="A951" s="406" t="str">
        <f t="shared" si="14"/>
        <v>カティオーラフットボールクラブＵ－１２　Ｎｅｘｔ_7</v>
      </c>
      <c r="B951" s="218" t="s">
        <v>1506</v>
      </c>
      <c r="C951" s="218" t="str">
        <f>("7")</f>
        <v>7</v>
      </c>
      <c r="D951" s="218" t="s">
        <v>623</v>
      </c>
      <c r="E951" s="218" t="s">
        <v>8320</v>
      </c>
      <c r="F951" s="218" t="s">
        <v>4835</v>
      </c>
      <c r="G951" s="218">
        <v>6</v>
      </c>
      <c r="H951" s="218" t="s">
        <v>614</v>
      </c>
      <c r="I951" s="218" t="str">
        <f>("1401250113")</f>
        <v>1401250113</v>
      </c>
    </row>
    <row r="952" spans="1:10" x14ac:dyDescent="0.15">
      <c r="A952" s="406" t="str">
        <f t="shared" si="14"/>
        <v>カティオーラフットボールクラブＵ－１２　Ｎｅｘｔ_8</v>
      </c>
      <c r="B952" s="218" t="s">
        <v>1506</v>
      </c>
      <c r="C952" s="218" t="str">
        <f>("8")</f>
        <v>8</v>
      </c>
      <c r="D952" s="218" t="s">
        <v>615</v>
      </c>
      <c r="E952" s="218" t="s">
        <v>8321</v>
      </c>
      <c r="F952" s="218" t="s">
        <v>1089</v>
      </c>
      <c r="G952" s="218">
        <v>6</v>
      </c>
      <c r="H952" s="218" t="s">
        <v>614</v>
      </c>
      <c r="I952" s="218" t="str">
        <f>("1401220172")</f>
        <v>1401220172</v>
      </c>
      <c r="J952" s="218" t="s">
        <v>159</v>
      </c>
    </row>
    <row r="953" spans="1:10" x14ac:dyDescent="0.15">
      <c r="A953" s="406" t="str">
        <f t="shared" si="14"/>
        <v>カティオーラフットボールクラブＵ－１２　Ｎｅｘｔ_9</v>
      </c>
      <c r="B953" s="218" t="s">
        <v>1506</v>
      </c>
      <c r="C953" s="218" t="str">
        <f>("9")</f>
        <v>9</v>
      </c>
      <c r="D953" s="218" t="s">
        <v>623</v>
      </c>
      <c r="E953" s="218" t="s">
        <v>8322</v>
      </c>
      <c r="F953" s="218" t="s">
        <v>8323</v>
      </c>
      <c r="G953" s="218">
        <v>6</v>
      </c>
      <c r="H953" s="218" t="s">
        <v>614</v>
      </c>
      <c r="I953" s="218" t="str">
        <f>("1403120154")</f>
        <v>1403120154</v>
      </c>
    </row>
    <row r="954" spans="1:10" x14ac:dyDescent="0.15">
      <c r="A954" s="406" t="str">
        <f t="shared" si="14"/>
        <v>カティオーラフットボールクラブＵ－１２　Ｎｅｘｔ_11</v>
      </c>
      <c r="B954" s="218" t="s">
        <v>1506</v>
      </c>
      <c r="C954" s="218" t="str">
        <f>("11")</f>
        <v>11</v>
      </c>
      <c r="D954" s="218" t="s">
        <v>615</v>
      </c>
      <c r="E954" s="218" t="s">
        <v>8324</v>
      </c>
      <c r="F954" s="218" t="s">
        <v>1482</v>
      </c>
      <c r="G954" s="218">
        <v>6</v>
      </c>
      <c r="H954" s="218" t="s">
        <v>614</v>
      </c>
      <c r="I954" s="218" t="str">
        <f>("1307060153")</f>
        <v>1307060153</v>
      </c>
    </row>
    <row r="955" spans="1:10" x14ac:dyDescent="0.15">
      <c r="A955" s="406" t="str">
        <f t="shared" si="14"/>
        <v>カティオーラフットボールクラブＵ－１２　Ｎｅｘｔ_12</v>
      </c>
      <c r="B955" s="218" t="s">
        <v>1506</v>
      </c>
      <c r="C955" s="218" t="str">
        <f>("12")</f>
        <v>12</v>
      </c>
      <c r="D955" s="218" t="s">
        <v>615</v>
      </c>
      <c r="E955" s="218" t="s">
        <v>8325</v>
      </c>
      <c r="F955" s="218" t="s">
        <v>8326</v>
      </c>
      <c r="G955" s="218">
        <v>6</v>
      </c>
      <c r="H955" s="218" t="s">
        <v>614</v>
      </c>
      <c r="I955" s="218" t="str">
        <f>("1308220189")</f>
        <v>1308220189</v>
      </c>
    </row>
    <row r="956" spans="1:10" x14ac:dyDescent="0.15">
      <c r="A956" s="406" t="str">
        <f t="shared" si="14"/>
        <v>カティオーラフットボールクラブＵ－１２　Ｎｅｘｔ_13</v>
      </c>
      <c r="B956" s="218" t="s">
        <v>1506</v>
      </c>
      <c r="C956" s="218" t="str">
        <f>("13")</f>
        <v>13</v>
      </c>
      <c r="D956" s="218" t="s">
        <v>623</v>
      </c>
      <c r="E956" s="218" t="s">
        <v>8327</v>
      </c>
      <c r="F956" s="218" t="s">
        <v>8328</v>
      </c>
      <c r="G956" s="218">
        <v>5</v>
      </c>
      <c r="H956" s="218" t="s">
        <v>614</v>
      </c>
      <c r="I956" s="218" t="str">
        <f>("1410100153")</f>
        <v>1410100153</v>
      </c>
    </row>
    <row r="957" spans="1:10" x14ac:dyDescent="0.15">
      <c r="A957" s="406" t="str">
        <f t="shared" si="14"/>
        <v>カティオーラフットボールクラブＵ－１２　Ｆｕｔｕｒｅ_1</v>
      </c>
      <c r="B957" s="218" t="s">
        <v>1521</v>
      </c>
      <c r="C957" s="218" t="str">
        <f>("1")</f>
        <v>1</v>
      </c>
      <c r="D957" s="218" t="s">
        <v>624</v>
      </c>
      <c r="E957" s="218" t="s">
        <v>8329</v>
      </c>
      <c r="F957" s="218" t="s">
        <v>8330</v>
      </c>
      <c r="G957" s="218">
        <v>6</v>
      </c>
      <c r="H957" s="218" t="s">
        <v>614</v>
      </c>
      <c r="I957" s="218" t="str">
        <f>("1310030213")</f>
        <v>1310030213</v>
      </c>
    </row>
    <row r="958" spans="1:10" x14ac:dyDescent="0.15">
      <c r="A958" s="406" t="str">
        <f t="shared" si="14"/>
        <v>カティオーラフットボールクラブＵ－１２　Ｆｕｔｕｒｅ_2</v>
      </c>
      <c r="B958" s="218" t="s">
        <v>1521</v>
      </c>
      <c r="C958" s="218" t="str">
        <f>("2")</f>
        <v>2</v>
      </c>
      <c r="D958" s="218" t="s">
        <v>611</v>
      </c>
      <c r="E958" s="218" t="s">
        <v>8331</v>
      </c>
      <c r="F958" s="218" t="s">
        <v>1143</v>
      </c>
      <c r="G958" s="218">
        <v>4</v>
      </c>
      <c r="H958" s="218" t="s">
        <v>614</v>
      </c>
      <c r="I958" s="218" t="str">
        <f>("1504110105")</f>
        <v>1504110105</v>
      </c>
    </row>
    <row r="959" spans="1:10" x14ac:dyDescent="0.15">
      <c r="A959" s="406" t="str">
        <f t="shared" si="14"/>
        <v>カティオーラフットボールクラブＵ－１２　Ｆｕｔｕｒｅ_3</v>
      </c>
      <c r="B959" s="218" t="s">
        <v>1521</v>
      </c>
      <c r="C959" s="218" t="str">
        <f>("3")</f>
        <v>3</v>
      </c>
      <c r="D959" s="218" t="s">
        <v>611</v>
      </c>
      <c r="E959" s="218" t="s">
        <v>8332</v>
      </c>
      <c r="F959" s="218" t="s">
        <v>8333</v>
      </c>
      <c r="G959" s="218">
        <v>5</v>
      </c>
      <c r="H959" s="218" t="s">
        <v>614</v>
      </c>
      <c r="I959" s="218" t="str">
        <f>("1412010135")</f>
        <v>1412010135</v>
      </c>
    </row>
    <row r="960" spans="1:10" x14ac:dyDescent="0.15">
      <c r="A960" s="406" t="str">
        <f t="shared" si="14"/>
        <v>カティオーラフットボールクラブＵ－１２　Ｆｕｔｕｒｅ_4</v>
      </c>
      <c r="B960" s="218" t="s">
        <v>1521</v>
      </c>
      <c r="C960" s="218" t="str">
        <f>("4")</f>
        <v>4</v>
      </c>
      <c r="D960" s="218" t="s">
        <v>623</v>
      </c>
      <c r="E960" s="218" t="s">
        <v>8334</v>
      </c>
      <c r="F960" s="218" t="s">
        <v>8335</v>
      </c>
      <c r="G960" s="218">
        <v>5</v>
      </c>
      <c r="H960" s="218" t="s">
        <v>614</v>
      </c>
      <c r="I960" s="218" t="str">
        <f>("1405160183")</f>
        <v>1405160183</v>
      </c>
    </row>
    <row r="961" spans="1:10" x14ac:dyDescent="0.15">
      <c r="A961" s="406" t="str">
        <f t="shared" ref="A961:A1024" si="15">CONCATENATE(B961,"_",C961)</f>
        <v>カティオーラフットボールクラブＵ－１２　Ｆｕｔｕｒｅ_5</v>
      </c>
      <c r="B961" s="218" t="s">
        <v>1521</v>
      </c>
      <c r="C961" s="218" t="str">
        <f>("5")</f>
        <v>5</v>
      </c>
      <c r="D961" s="218" t="s">
        <v>611</v>
      </c>
      <c r="E961" s="218" t="s">
        <v>8336</v>
      </c>
      <c r="F961" s="218" t="s">
        <v>8337</v>
      </c>
      <c r="G961" s="218">
        <v>6</v>
      </c>
      <c r="H961" s="218" t="s">
        <v>614</v>
      </c>
      <c r="I961" s="218" t="str">
        <f>("1403030131")</f>
        <v>1403030131</v>
      </c>
    </row>
    <row r="962" spans="1:10" x14ac:dyDescent="0.15">
      <c r="A962" s="406" t="str">
        <f t="shared" si="15"/>
        <v>カティオーラフットボールクラブＵ－１２　Ｆｕｔｕｒｅ_6</v>
      </c>
      <c r="B962" s="218" t="s">
        <v>1521</v>
      </c>
      <c r="C962" s="218" t="str">
        <f>("6")</f>
        <v>6</v>
      </c>
      <c r="D962" s="218" t="s">
        <v>611</v>
      </c>
      <c r="E962" s="218" t="s">
        <v>8338</v>
      </c>
      <c r="F962" s="218" t="s">
        <v>8339</v>
      </c>
      <c r="G962" s="218">
        <v>6</v>
      </c>
      <c r="H962" s="218" t="s">
        <v>614</v>
      </c>
      <c r="I962" s="218" t="str">
        <f>("1402190145")</f>
        <v>1402190145</v>
      </c>
    </row>
    <row r="963" spans="1:10" x14ac:dyDescent="0.15">
      <c r="A963" s="406" t="str">
        <f t="shared" si="15"/>
        <v>カティオーラフットボールクラブＵ－１２　Ｆｕｔｕｒｅ_7</v>
      </c>
      <c r="B963" s="218" t="s">
        <v>1521</v>
      </c>
      <c r="C963" s="218" t="str">
        <f>("7")</f>
        <v>7</v>
      </c>
      <c r="D963" s="218" t="s">
        <v>615</v>
      </c>
      <c r="E963" s="218" t="s">
        <v>8340</v>
      </c>
      <c r="F963" s="218" t="s">
        <v>8341</v>
      </c>
      <c r="G963" s="218">
        <v>5</v>
      </c>
      <c r="H963" s="218" t="s">
        <v>614</v>
      </c>
      <c r="I963" s="218" t="str">
        <f>("1409070069")</f>
        <v>1409070069</v>
      </c>
    </row>
    <row r="964" spans="1:10" x14ac:dyDescent="0.15">
      <c r="A964" s="406" t="str">
        <f t="shared" si="15"/>
        <v>カティオーラフットボールクラブＵ－１２　Ｆｕｔｕｒｅ_8</v>
      </c>
      <c r="B964" s="218" t="s">
        <v>1521</v>
      </c>
      <c r="C964" s="218" t="str">
        <f>("8")</f>
        <v>8</v>
      </c>
      <c r="D964" s="218" t="s">
        <v>615</v>
      </c>
      <c r="E964" s="218" t="s">
        <v>8342</v>
      </c>
      <c r="F964" s="218" t="s">
        <v>8343</v>
      </c>
      <c r="G964" s="218">
        <v>5</v>
      </c>
      <c r="H964" s="218" t="s">
        <v>614</v>
      </c>
      <c r="I964" s="218" t="str">
        <f>("1406090117")</f>
        <v>1406090117</v>
      </c>
    </row>
    <row r="965" spans="1:10" x14ac:dyDescent="0.15">
      <c r="A965" s="406" t="str">
        <f t="shared" si="15"/>
        <v>カティオーラフットボールクラブＵ－１２　Ｆｕｔｕｒｅ_9</v>
      </c>
      <c r="B965" s="218" t="s">
        <v>1521</v>
      </c>
      <c r="C965" s="218" t="str">
        <f>("9")</f>
        <v>9</v>
      </c>
      <c r="D965" s="218" t="s">
        <v>623</v>
      </c>
      <c r="E965" s="218" t="s">
        <v>8344</v>
      </c>
      <c r="F965" s="218" t="s">
        <v>8345</v>
      </c>
      <c r="G965" s="218">
        <v>4</v>
      </c>
      <c r="H965" s="218" t="s">
        <v>614</v>
      </c>
      <c r="I965" s="218" t="str">
        <f>("1511280094")</f>
        <v>1511280094</v>
      </c>
    </row>
    <row r="966" spans="1:10" x14ac:dyDescent="0.15">
      <c r="A966" s="406" t="str">
        <f t="shared" si="15"/>
        <v>カティオーラフットボールクラブＵ－１２　Ｆｕｔｕｒｅ_10</v>
      </c>
      <c r="B966" s="218" t="s">
        <v>1521</v>
      </c>
      <c r="C966" s="218" t="str">
        <f>("10")</f>
        <v>10</v>
      </c>
      <c r="D966" s="218" t="s">
        <v>615</v>
      </c>
      <c r="E966" s="218" t="s">
        <v>8346</v>
      </c>
      <c r="F966" s="218" t="s">
        <v>8347</v>
      </c>
      <c r="G966" s="218">
        <v>6</v>
      </c>
      <c r="H966" s="218" t="s">
        <v>614</v>
      </c>
      <c r="I966" s="218" t="str">
        <f>("1401010119")</f>
        <v>1401010119</v>
      </c>
      <c r="J966" s="218" t="s">
        <v>159</v>
      </c>
    </row>
    <row r="967" spans="1:10" x14ac:dyDescent="0.15">
      <c r="A967" s="406" t="str">
        <f t="shared" si="15"/>
        <v>カティオーラフットボールクラブＵ－１２　Ｆｕｔｕｒｅ_11</v>
      </c>
      <c r="B967" s="218" t="s">
        <v>1521</v>
      </c>
      <c r="C967" s="218" t="str">
        <f>("11")</f>
        <v>11</v>
      </c>
      <c r="D967" s="218" t="s">
        <v>623</v>
      </c>
      <c r="E967" s="218" t="s">
        <v>8348</v>
      </c>
      <c r="F967" s="218" t="s">
        <v>8349</v>
      </c>
      <c r="G967" s="218">
        <v>6</v>
      </c>
      <c r="H967" s="218" t="s">
        <v>614</v>
      </c>
      <c r="I967" s="218" t="str">
        <f>("1312080153")</f>
        <v>1312080153</v>
      </c>
    </row>
    <row r="968" spans="1:10" x14ac:dyDescent="0.15">
      <c r="A968" s="406" t="str">
        <f t="shared" si="15"/>
        <v>カティオーラフットボールクラブＵ－１２　Ｆｕｔｕｒｅ_12</v>
      </c>
      <c r="B968" s="218" t="s">
        <v>1521</v>
      </c>
      <c r="C968" s="218" t="str">
        <f>("12")</f>
        <v>12</v>
      </c>
      <c r="D968" s="218" t="s">
        <v>624</v>
      </c>
      <c r="E968" s="218" t="s">
        <v>8350</v>
      </c>
      <c r="F968" s="218" t="s">
        <v>8351</v>
      </c>
      <c r="G968" s="218">
        <v>5</v>
      </c>
      <c r="H968" s="218" t="s">
        <v>614</v>
      </c>
      <c r="I968" s="218" t="str">
        <f>("1409190189")</f>
        <v>1409190189</v>
      </c>
    </row>
    <row r="969" spans="1:10" x14ac:dyDescent="0.15">
      <c r="A969" s="406" t="str">
        <f t="shared" si="15"/>
        <v>森岡サッカースポーツ少年団_1</v>
      </c>
      <c r="B969" s="218" t="s">
        <v>1527</v>
      </c>
      <c r="C969" s="218" t="str">
        <f>("1")</f>
        <v>1</v>
      </c>
      <c r="D969" s="218" t="s">
        <v>624</v>
      </c>
      <c r="E969" s="218" t="s">
        <v>8352</v>
      </c>
      <c r="F969" s="218" t="s">
        <v>8353</v>
      </c>
      <c r="G969" s="218">
        <v>6</v>
      </c>
      <c r="H969" s="218" t="s">
        <v>614</v>
      </c>
      <c r="I969" s="218" t="str">
        <f>("1307160211")</f>
        <v>1307160211</v>
      </c>
    </row>
    <row r="970" spans="1:10" x14ac:dyDescent="0.15">
      <c r="A970" s="406" t="str">
        <f t="shared" si="15"/>
        <v>森岡サッカースポーツ少年団_2</v>
      </c>
      <c r="B970" s="218" t="s">
        <v>1527</v>
      </c>
      <c r="C970" s="218" t="str">
        <f>("2")</f>
        <v>2</v>
      </c>
      <c r="D970" s="218" t="s">
        <v>611</v>
      </c>
      <c r="E970" s="218" t="s">
        <v>8354</v>
      </c>
      <c r="F970" s="218" t="s">
        <v>8355</v>
      </c>
      <c r="G970" s="218">
        <v>5</v>
      </c>
      <c r="H970" s="218" t="s">
        <v>614</v>
      </c>
      <c r="I970" s="218" t="str">
        <f>("1501250005")</f>
        <v>1501250005</v>
      </c>
    </row>
    <row r="971" spans="1:10" x14ac:dyDescent="0.15">
      <c r="A971" s="406" t="str">
        <f t="shared" si="15"/>
        <v>森岡サッカースポーツ少年団_3</v>
      </c>
      <c r="B971" s="218" t="s">
        <v>1527</v>
      </c>
      <c r="C971" s="218" t="str">
        <f>("3")</f>
        <v>3</v>
      </c>
      <c r="D971" s="218" t="s">
        <v>611</v>
      </c>
      <c r="E971" s="218" t="s">
        <v>8356</v>
      </c>
      <c r="F971" s="218" t="s">
        <v>8357</v>
      </c>
      <c r="G971" s="218">
        <v>5</v>
      </c>
      <c r="H971" s="218" t="s">
        <v>614</v>
      </c>
      <c r="I971" s="218" t="str">
        <f>("1406120201")</f>
        <v>1406120201</v>
      </c>
    </row>
    <row r="972" spans="1:10" x14ac:dyDescent="0.15">
      <c r="A972" s="406" t="str">
        <f t="shared" si="15"/>
        <v>森岡サッカースポーツ少年団_4</v>
      </c>
      <c r="B972" s="218" t="s">
        <v>1527</v>
      </c>
      <c r="C972" s="218" t="str">
        <f>("4")</f>
        <v>4</v>
      </c>
      <c r="D972" s="218" t="s">
        <v>611</v>
      </c>
      <c r="E972" s="218" t="s">
        <v>8358</v>
      </c>
      <c r="F972" s="218" t="s">
        <v>8359</v>
      </c>
      <c r="G972" s="218">
        <v>6</v>
      </c>
      <c r="H972" s="218" t="s">
        <v>614</v>
      </c>
      <c r="I972" s="218" t="str">
        <f>("1306140044")</f>
        <v>1306140044</v>
      </c>
    </row>
    <row r="973" spans="1:10" x14ac:dyDescent="0.15">
      <c r="A973" s="406" t="str">
        <f t="shared" si="15"/>
        <v>森岡サッカースポーツ少年団_5</v>
      </c>
      <c r="B973" s="218" t="s">
        <v>1527</v>
      </c>
      <c r="C973" s="218" t="str">
        <f>("5")</f>
        <v>5</v>
      </c>
      <c r="D973" s="218" t="s">
        <v>623</v>
      </c>
      <c r="E973" s="218" t="s">
        <v>8360</v>
      </c>
      <c r="F973" s="218" t="s">
        <v>8361</v>
      </c>
      <c r="G973" s="218">
        <v>6</v>
      </c>
      <c r="H973" s="218" t="s">
        <v>614</v>
      </c>
      <c r="I973" s="218" t="str">
        <f>("1305230035")</f>
        <v>1305230035</v>
      </c>
    </row>
    <row r="974" spans="1:10" x14ac:dyDescent="0.15">
      <c r="A974" s="406" t="str">
        <f t="shared" si="15"/>
        <v>森岡サッカースポーツ少年団_6</v>
      </c>
      <c r="B974" s="218" t="s">
        <v>1527</v>
      </c>
      <c r="C974" s="218" t="str">
        <f>("6")</f>
        <v>6</v>
      </c>
      <c r="D974" s="218" t="s">
        <v>611</v>
      </c>
      <c r="E974" s="218" t="s">
        <v>8362</v>
      </c>
      <c r="F974" s="218" t="s">
        <v>8363</v>
      </c>
      <c r="G974" s="218">
        <v>5</v>
      </c>
      <c r="H974" s="218" t="s">
        <v>614</v>
      </c>
      <c r="I974" s="218" t="str">
        <f>("1406060012")</f>
        <v>1406060012</v>
      </c>
    </row>
    <row r="975" spans="1:10" x14ac:dyDescent="0.15">
      <c r="A975" s="406" t="str">
        <f t="shared" si="15"/>
        <v>森岡サッカースポーツ少年団_7</v>
      </c>
      <c r="B975" s="218" t="s">
        <v>1527</v>
      </c>
      <c r="C975" s="218" t="str">
        <f>("7")</f>
        <v>7</v>
      </c>
      <c r="D975" s="218" t="s">
        <v>615</v>
      </c>
      <c r="E975" s="218" t="s">
        <v>8364</v>
      </c>
      <c r="F975" s="218" t="s">
        <v>8365</v>
      </c>
      <c r="G975" s="218">
        <v>6</v>
      </c>
      <c r="H975" s="218" t="s">
        <v>616</v>
      </c>
      <c r="I975" s="218" t="str">
        <f>("1305080109")</f>
        <v>1305080109</v>
      </c>
    </row>
    <row r="976" spans="1:10" x14ac:dyDescent="0.15">
      <c r="A976" s="406" t="str">
        <f t="shared" si="15"/>
        <v>森岡サッカースポーツ少年団_8</v>
      </c>
      <c r="B976" s="218" t="s">
        <v>1527</v>
      </c>
      <c r="C976" s="218" t="str">
        <f>("8")</f>
        <v>8</v>
      </c>
      <c r="D976" s="218" t="s">
        <v>615</v>
      </c>
      <c r="E976" s="218" t="s">
        <v>8366</v>
      </c>
      <c r="F976" s="218" t="s">
        <v>8367</v>
      </c>
      <c r="G976" s="218">
        <v>5</v>
      </c>
      <c r="H976" s="218" t="s">
        <v>614</v>
      </c>
      <c r="I976" s="218" t="str">
        <f>("1412160022")</f>
        <v>1412160022</v>
      </c>
    </row>
    <row r="977" spans="1:10" x14ac:dyDescent="0.15">
      <c r="A977" s="406" t="str">
        <f t="shared" si="15"/>
        <v>森岡サッカースポーツ少年団_9</v>
      </c>
      <c r="B977" s="218" t="s">
        <v>1527</v>
      </c>
      <c r="C977" s="218" t="str">
        <f>("9")</f>
        <v>9</v>
      </c>
      <c r="D977" s="218" t="s">
        <v>623</v>
      </c>
      <c r="E977" s="218" t="s">
        <v>8368</v>
      </c>
      <c r="F977" s="218" t="s">
        <v>8369</v>
      </c>
      <c r="G977" s="218">
        <v>5</v>
      </c>
      <c r="H977" s="218" t="s">
        <v>614</v>
      </c>
      <c r="I977" s="218" t="str">
        <f>("1406150086")</f>
        <v>1406150086</v>
      </c>
    </row>
    <row r="978" spans="1:10" x14ac:dyDescent="0.15">
      <c r="A978" s="406" t="str">
        <f t="shared" si="15"/>
        <v>森岡サッカースポーツ少年団_10</v>
      </c>
      <c r="B978" s="218" t="s">
        <v>1527</v>
      </c>
      <c r="C978" s="218" t="str">
        <f>("10")</f>
        <v>10</v>
      </c>
      <c r="D978" s="218" t="s">
        <v>615</v>
      </c>
      <c r="E978" s="218" t="s">
        <v>8370</v>
      </c>
      <c r="F978" s="218" t="s">
        <v>8371</v>
      </c>
      <c r="G978" s="218">
        <v>6</v>
      </c>
      <c r="H978" s="218" t="s">
        <v>614</v>
      </c>
      <c r="I978" s="218" t="str">
        <f>("1305230034")</f>
        <v>1305230034</v>
      </c>
      <c r="J978" s="218" t="s">
        <v>159</v>
      </c>
    </row>
    <row r="979" spans="1:10" x14ac:dyDescent="0.15">
      <c r="A979" s="406" t="str">
        <f t="shared" si="15"/>
        <v>森岡サッカースポーツ少年団_11</v>
      </c>
      <c r="B979" s="218" t="s">
        <v>1527</v>
      </c>
      <c r="C979" s="218" t="str">
        <f>("11")</f>
        <v>11</v>
      </c>
      <c r="D979" s="218" t="s">
        <v>615</v>
      </c>
      <c r="E979" s="218" t="s">
        <v>8372</v>
      </c>
      <c r="F979" s="218" t="s">
        <v>8373</v>
      </c>
      <c r="G979" s="218">
        <v>5</v>
      </c>
      <c r="H979" s="218" t="s">
        <v>614</v>
      </c>
      <c r="I979" s="218" t="str">
        <f>("1404200007")</f>
        <v>1404200007</v>
      </c>
    </row>
    <row r="980" spans="1:10" x14ac:dyDescent="0.15">
      <c r="A980" s="406" t="str">
        <f t="shared" si="15"/>
        <v>森岡サッカースポーツ少年団_12</v>
      </c>
      <c r="B980" s="218" t="s">
        <v>1527</v>
      </c>
      <c r="C980" s="218" t="str">
        <f>("12")</f>
        <v>12</v>
      </c>
      <c r="D980" s="218" t="s">
        <v>624</v>
      </c>
      <c r="E980" s="218" t="s">
        <v>8374</v>
      </c>
      <c r="F980" s="218" t="s">
        <v>8375</v>
      </c>
      <c r="G980" s="218">
        <v>5</v>
      </c>
      <c r="H980" s="218" t="s">
        <v>614</v>
      </c>
      <c r="I980" s="218" t="str">
        <f>("1404110009")</f>
        <v>1404110009</v>
      </c>
    </row>
    <row r="981" spans="1:10" x14ac:dyDescent="0.15">
      <c r="A981" s="406" t="str">
        <f t="shared" si="15"/>
        <v>森岡サッカースポーツ少年団_14</v>
      </c>
      <c r="B981" s="218" t="s">
        <v>1527</v>
      </c>
      <c r="C981" s="218" t="str">
        <f>("14")</f>
        <v>14</v>
      </c>
      <c r="D981" s="218" t="s">
        <v>615</v>
      </c>
      <c r="E981" s="218" t="s">
        <v>8376</v>
      </c>
      <c r="F981" s="218" t="s">
        <v>8377</v>
      </c>
      <c r="G981" s="218">
        <v>4</v>
      </c>
      <c r="H981" s="218" t="s">
        <v>614</v>
      </c>
      <c r="I981" s="218" t="str">
        <f>("1506240050")</f>
        <v>1506240050</v>
      </c>
    </row>
    <row r="982" spans="1:10" x14ac:dyDescent="0.15">
      <c r="A982" s="406" t="str">
        <f t="shared" si="15"/>
        <v>森岡サッカースポーツ少年団_15</v>
      </c>
      <c r="B982" s="218" t="s">
        <v>1527</v>
      </c>
      <c r="C982" s="218" t="str">
        <f>("15")</f>
        <v>15</v>
      </c>
      <c r="D982" s="218" t="s">
        <v>615</v>
      </c>
      <c r="E982" s="218" t="s">
        <v>8378</v>
      </c>
      <c r="F982" s="218" t="s">
        <v>8379</v>
      </c>
      <c r="G982" s="218">
        <v>4</v>
      </c>
      <c r="H982" s="218" t="s">
        <v>614</v>
      </c>
      <c r="I982" s="218" t="str">
        <f>("1505240034")</f>
        <v>1505240034</v>
      </c>
    </row>
    <row r="983" spans="1:10" x14ac:dyDescent="0.15">
      <c r="A983" s="406" t="str">
        <f t="shared" si="15"/>
        <v>森岡サッカースポーツ少年団_16</v>
      </c>
      <c r="B983" s="218" t="s">
        <v>1527</v>
      </c>
      <c r="C983" s="218" t="str">
        <f>("16")</f>
        <v>16</v>
      </c>
      <c r="D983" s="218" t="s">
        <v>611</v>
      </c>
      <c r="E983" s="218" t="s">
        <v>8380</v>
      </c>
      <c r="F983" s="218" t="s">
        <v>8381</v>
      </c>
      <c r="G983" s="218">
        <v>4</v>
      </c>
      <c r="H983" s="218" t="s">
        <v>614</v>
      </c>
      <c r="I983" s="218" t="str">
        <f>("1510220043")</f>
        <v>1510220043</v>
      </c>
    </row>
    <row r="984" spans="1:10" x14ac:dyDescent="0.15">
      <c r="A984" s="406" t="str">
        <f t="shared" si="15"/>
        <v>由布川サッカースポーツ少年団_1</v>
      </c>
      <c r="B984" s="218" t="s">
        <v>1532</v>
      </c>
      <c r="C984" s="218" t="str">
        <f>("1")</f>
        <v>1</v>
      </c>
      <c r="D984" s="218" t="s">
        <v>623</v>
      </c>
      <c r="E984" s="218" t="s">
        <v>1538</v>
      </c>
      <c r="F984" s="218" t="s">
        <v>1539</v>
      </c>
      <c r="G984" s="218">
        <v>6</v>
      </c>
      <c r="H984" s="218" t="s">
        <v>614</v>
      </c>
      <c r="I984" s="218" t="str">
        <f>("1309290115")</f>
        <v>1309290115</v>
      </c>
      <c r="J984" s="218" t="s">
        <v>159</v>
      </c>
    </row>
    <row r="985" spans="1:10" x14ac:dyDescent="0.15">
      <c r="A985" s="406" t="str">
        <f t="shared" si="15"/>
        <v>由布川サッカースポーツ少年団_3</v>
      </c>
      <c r="B985" s="218" t="s">
        <v>1532</v>
      </c>
      <c r="C985" s="218" t="str">
        <f>("3")</f>
        <v>3</v>
      </c>
      <c r="D985" s="218" t="s">
        <v>615</v>
      </c>
      <c r="E985" s="218" t="s">
        <v>8382</v>
      </c>
      <c r="F985" s="218" t="s">
        <v>8383</v>
      </c>
      <c r="G985" s="218">
        <v>5</v>
      </c>
      <c r="H985" s="218" t="s">
        <v>614</v>
      </c>
      <c r="I985" s="218" t="str">
        <f>("1406100169")</f>
        <v>1406100169</v>
      </c>
    </row>
    <row r="986" spans="1:10" x14ac:dyDescent="0.15">
      <c r="A986" s="406" t="str">
        <f t="shared" si="15"/>
        <v>由布川サッカースポーツ少年団_4</v>
      </c>
      <c r="B986" s="218" t="s">
        <v>1532</v>
      </c>
      <c r="C986" s="218" t="str">
        <f>("4")</f>
        <v>4</v>
      </c>
      <c r="D986" s="218" t="s">
        <v>623</v>
      </c>
      <c r="E986" s="218" t="s">
        <v>8384</v>
      </c>
      <c r="F986" s="218" t="s">
        <v>6949</v>
      </c>
      <c r="G986" s="218">
        <v>5</v>
      </c>
      <c r="H986" s="218" t="s">
        <v>614</v>
      </c>
      <c r="I986" s="218" t="str">
        <f>("1408080172")</f>
        <v>1408080172</v>
      </c>
    </row>
    <row r="987" spans="1:10" x14ac:dyDescent="0.15">
      <c r="A987" s="406" t="str">
        <f t="shared" si="15"/>
        <v>由布川サッカースポーツ少年団_5</v>
      </c>
      <c r="B987" s="218" t="s">
        <v>1532</v>
      </c>
      <c r="C987" s="218" t="str">
        <f>("5")</f>
        <v>5</v>
      </c>
      <c r="D987" s="218" t="s">
        <v>611</v>
      </c>
      <c r="E987" s="218" t="s">
        <v>8385</v>
      </c>
      <c r="F987" s="218" t="s">
        <v>8386</v>
      </c>
      <c r="G987" s="218">
        <v>5</v>
      </c>
      <c r="H987" s="218" t="s">
        <v>614</v>
      </c>
      <c r="I987" s="218" t="str">
        <f>("1409140117")</f>
        <v>1409140117</v>
      </c>
    </row>
    <row r="988" spans="1:10" x14ac:dyDescent="0.15">
      <c r="A988" s="406" t="str">
        <f t="shared" si="15"/>
        <v>由布川サッカースポーツ少年団_6</v>
      </c>
      <c r="B988" s="218" t="s">
        <v>1532</v>
      </c>
      <c r="C988" s="218" t="str">
        <f>("6")</f>
        <v>6</v>
      </c>
      <c r="D988" s="218" t="s">
        <v>615</v>
      </c>
      <c r="E988" s="218" t="s">
        <v>8387</v>
      </c>
      <c r="F988" s="218" t="s">
        <v>8388</v>
      </c>
      <c r="G988" s="218">
        <v>5</v>
      </c>
      <c r="H988" s="218" t="s">
        <v>614</v>
      </c>
      <c r="I988" s="218" t="str">
        <f>("1411140145")</f>
        <v>1411140145</v>
      </c>
    </row>
    <row r="989" spans="1:10" x14ac:dyDescent="0.15">
      <c r="A989" s="406" t="str">
        <f t="shared" si="15"/>
        <v>由布川サッカースポーツ少年団_7</v>
      </c>
      <c r="B989" s="218" t="s">
        <v>1532</v>
      </c>
      <c r="C989" s="218" t="str">
        <f>("7")</f>
        <v>7</v>
      </c>
      <c r="D989" s="218" t="s">
        <v>615</v>
      </c>
      <c r="E989" s="218" t="s">
        <v>8389</v>
      </c>
      <c r="F989" s="218" t="s">
        <v>4307</v>
      </c>
      <c r="G989" s="218">
        <v>5</v>
      </c>
      <c r="H989" s="218" t="s">
        <v>614</v>
      </c>
      <c r="I989" s="218" t="str">
        <f>("1411200168")</f>
        <v>1411200168</v>
      </c>
    </row>
    <row r="990" spans="1:10" x14ac:dyDescent="0.15">
      <c r="A990" s="406" t="str">
        <f t="shared" si="15"/>
        <v>由布川サッカースポーツ少年団_8</v>
      </c>
      <c r="B990" s="218" t="s">
        <v>1532</v>
      </c>
      <c r="C990" s="218" t="str">
        <f>("8")</f>
        <v>8</v>
      </c>
      <c r="D990" s="218" t="s">
        <v>615</v>
      </c>
      <c r="E990" s="218" t="s">
        <v>8390</v>
      </c>
      <c r="F990" s="218" t="s">
        <v>8391</v>
      </c>
      <c r="G990" s="218">
        <v>4</v>
      </c>
      <c r="H990" s="218" t="s">
        <v>614</v>
      </c>
      <c r="I990" s="218" t="str">
        <f>("1504280136")</f>
        <v>1504280136</v>
      </c>
    </row>
    <row r="991" spans="1:10" x14ac:dyDescent="0.15">
      <c r="A991" s="406" t="str">
        <f t="shared" si="15"/>
        <v>由布川サッカースポーツ少年団_9</v>
      </c>
      <c r="B991" s="218" t="s">
        <v>1532</v>
      </c>
      <c r="C991" s="218" t="str">
        <f>("9")</f>
        <v>9</v>
      </c>
      <c r="D991" s="218" t="s">
        <v>611</v>
      </c>
      <c r="E991" s="218" t="s">
        <v>8392</v>
      </c>
      <c r="F991" s="218" t="s">
        <v>8393</v>
      </c>
      <c r="G991" s="218">
        <v>4</v>
      </c>
      <c r="H991" s="218" t="s">
        <v>614</v>
      </c>
      <c r="I991" s="218" t="str">
        <f>("1505120155")</f>
        <v>1505120155</v>
      </c>
    </row>
    <row r="992" spans="1:10" x14ac:dyDescent="0.15">
      <c r="A992" s="406" t="str">
        <f t="shared" si="15"/>
        <v>由布川サッカースポーツ少年団_10</v>
      </c>
      <c r="B992" s="218" t="s">
        <v>1532</v>
      </c>
      <c r="C992" s="218" t="str">
        <f>("10")</f>
        <v>10</v>
      </c>
      <c r="D992" s="218" t="s">
        <v>615</v>
      </c>
      <c r="E992" s="218" t="s">
        <v>8394</v>
      </c>
      <c r="F992" s="218" t="s">
        <v>8395</v>
      </c>
      <c r="G992" s="218">
        <v>4</v>
      </c>
      <c r="H992" s="218" t="s">
        <v>614</v>
      </c>
      <c r="I992" s="218" t="str">
        <f>("1508030137")</f>
        <v>1508030137</v>
      </c>
    </row>
    <row r="993" spans="1:10" x14ac:dyDescent="0.15">
      <c r="A993" s="406" t="str">
        <f t="shared" si="15"/>
        <v>由布川サッカースポーツ少年団_11</v>
      </c>
      <c r="B993" s="218" t="s">
        <v>1532</v>
      </c>
      <c r="C993" s="218" t="str">
        <f>("11")</f>
        <v>11</v>
      </c>
      <c r="D993" s="218" t="s">
        <v>615</v>
      </c>
      <c r="E993" s="218" t="s">
        <v>1536</v>
      </c>
      <c r="F993" s="218" t="s">
        <v>1537</v>
      </c>
      <c r="G993" s="218">
        <v>6</v>
      </c>
      <c r="H993" s="218" t="s">
        <v>614</v>
      </c>
      <c r="I993" s="218" t="str">
        <f>("1307120141")</f>
        <v>1307120141</v>
      </c>
    </row>
    <row r="994" spans="1:10" x14ac:dyDescent="0.15">
      <c r="A994" s="406" t="str">
        <f t="shared" si="15"/>
        <v>由布川サッカースポーツ少年団_12</v>
      </c>
      <c r="B994" s="218" t="s">
        <v>1532</v>
      </c>
      <c r="C994" s="218" t="str">
        <f>("12")</f>
        <v>12</v>
      </c>
      <c r="D994" s="218" t="s">
        <v>623</v>
      </c>
      <c r="E994" s="218" t="s">
        <v>8396</v>
      </c>
      <c r="F994" s="218" t="s">
        <v>8397</v>
      </c>
      <c r="G994" s="218">
        <v>4</v>
      </c>
      <c r="H994" s="218" t="s">
        <v>614</v>
      </c>
      <c r="I994" s="218" t="str">
        <f>("1509150146")</f>
        <v>1509150146</v>
      </c>
    </row>
    <row r="995" spans="1:10" x14ac:dyDescent="0.15">
      <c r="A995" s="406" t="str">
        <f t="shared" si="15"/>
        <v>由布川サッカースポーツ少年団_13</v>
      </c>
      <c r="B995" s="218" t="s">
        <v>1532</v>
      </c>
      <c r="C995" s="218" t="str">
        <f>("13")</f>
        <v>13</v>
      </c>
      <c r="D995" s="218" t="s">
        <v>611</v>
      </c>
      <c r="E995" s="218" t="s">
        <v>8398</v>
      </c>
      <c r="F995" s="218" t="s">
        <v>8399</v>
      </c>
      <c r="G995" s="218">
        <v>4</v>
      </c>
      <c r="H995" s="218" t="s">
        <v>614</v>
      </c>
      <c r="I995" s="218" t="str">
        <f>("1510270142")</f>
        <v>1510270142</v>
      </c>
    </row>
    <row r="996" spans="1:10" x14ac:dyDescent="0.15">
      <c r="A996" s="406" t="str">
        <f t="shared" si="15"/>
        <v>由布川サッカースポーツ少年団_14</v>
      </c>
      <c r="B996" s="218" t="s">
        <v>1532</v>
      </c>
      <c r="C996" s="218" t="str">
        <f>("14")</f>
        <v>14</v>
      </c>
      <c r="D996" s="218" t="s">
        <v>615</v>
      </c>
      <c r="E996" s="218" t="s">
        <v>8400</v>
      </c>
      <c r="F996" s="218" t="s">
        <v>8401</v>
      </c>
      <c r="G996" s="218">
        <v>4</v>
      </c>
      <c r="H996" s="218" t="s">
        <v>614</v>
      </c>
      <c r="I996" s="218" t="str">
        <f>("1603300092")</f>
        <v>1603300092</v>
      </c>
    </row>
    <row r="997" spans="1:10" x14ac:dyDescent="0.15">
      <c r="A997" s="406" t="str">
        <f t="shared" si="15"/>
        <v>由布川サッカースポーツ少年団_16</v>
      </c>
      <c r="B997" s="218" t="s">
        <v>1532</v>
      </c>
      <c r="C997" s="218" t="str">
        <f>("16")</f>
        <v>16</v>
      </c>
      <c r="D997" s="218" t="s">
        <v>624</v>
      </c>
      <c r="E997" s="218" t="s">
        <v>8402</v>
      </c>
      <c r="F997" s="218" t="s">
        <v>8403</v>
      </c>
      <c r="G997" s="218">
        <v>5</v>
      </c>
      <c r="H997" s="218" t="s">
        <v>614</v>
      </c>
      <c r="I997" s="218" t="str">
        <f>("1406100170")</f>
        <v>1406100170</v>
      </c>
    </row>
    <row r="998" spans="1:10" x14ac:dyDescent="0.15">
      <c r="A998" s="406" t="str">
        <f t="shared" si="15"/>
        <v>ＫＩＮＧＳ　ＦＯＯＴＢＡＬＬＣＬＵＢ　Ｕ－１２_1</v>
      </c>
      <c r="B998" s="218" t="s">
        <v>1542</v>
      </c>
      <c r="C998" s="218" t="str">
        <f>("1")</f>
        <v>1</v>
      </c>
      <c r="D998" s="218" t="s">
        <v>624</v>
      </c>
      <c r="E998" s="218" t="s">
        <v>8404</v>
      </c>
      <c r="F998" s="218" t="s">
        <v>8405</v>
      </c>
      <c r="G998" s="218">
        <v>6</v>
      </c>
      <c r="H998" s="218" t="s">
        <v>614</v>
      </c>
      <c r="I998" s="218" t="str">
        <f>("1402260169")</f>
        <v>1402260169</v>
      </c>
    </row>
    <row r="999" spans="1:10" x14ac:dyDescent="0.15">
      <c r="A999" s="406" t="str">
        <f t="shared" si="15"/>
        <v>ＫＩＮＧＳ　ＦＯＯＴＢＡＬＬＣＬＵＢ　Ｕ－１２_2</v>
      </c>
      <c r="B999" s="218" t="s">
        <v>1542</v>
      </c>
      <c r="C999" s="218" t="str">
        <f>("2")</f>
        <v>2</v>
      </c>
      <c r="D999" s="218" t="s">
        <v>615</v>
      </c>
      <c r="E999" s="218" t="s">
        <v>8406</v>
      </c>
      <c r="F999" s="218" t="s">
        <v>8407</v>
      </c>
      <c r="G999" s="218">
        <v>5</v>
      </c>
      <c r="H999" s="218" t="s">
        <v>614</v>
      </c>
      <c r="I999" s="218" t="str">
        <f>("1406050125")</f>
        <v>1406050125</v>
      </c>
    </row>
    <row r="1000" spans="1:10" x14ac:dyDescent="0.15">
      <c r="A1000" s="406" t="str">
        <f t="shared" si="15"/>
        <v>ＫＩＮＧＳ　ＦＯＯＴＢＡＬＬＣＬＵＢ　Ｕ－１２_3</v>
      </c>
      <c r="B1000" s="218" t="s">
        <v>1542</v>
      </c>
      <c r="C1000" s="218" t="str">
        <f>("3")</f>
        <v>3</v>
      </c>
      <c r="D1000" s="218" t="s">
        <v>623</v>
      </c>
      <c r="E1000" s="218" t="s">
        <v>8408</v>
      </c>
      <c r="F1000" s="218" t="s">
        <v>8409</v>
      </c>
      <c r="G1000" s="218">
        <v>6</v>
      </c>
      <c r="H1000" s="218" t="s">
        <v>614</v>
      </c>
      <c r="I1000" s="218" t="str">
        <f>("1312060178")</f>
        <v>1312060178</v>
      </c>
    </row>
    <row r="1001" spans="1:10" x14ac:dyDescent="0.15">
      <c r="A1001" s="406" t="str">
        <f t="shared" si="15"/>
        <v>ＫＩＮＧＳ　ＦＯＯＴＢＡＬＬＣＬＵＢ　Ｕ－１２_4</v>
      </c>
      <c r="B1001" s="218" t="s">
        <v>1542</v>
      </c>
      <c r="C1001" s="218" t="str">
        <f>("4")</f>
        <v>4</v>
      </c>
      <c r="D1001" s="218" t="s">
        <v>611</v>
      </c>
      <c r="E1001" s="218" t="s">
        <v>8410</v>
      </c>
      <c r="F1001" s="218" t="s">
        <v>8411</v>
      </c>
      <c r="G1001" s="218">
        <v>6</v>
      </c>
      <c r="H1001" s="218" t="s">
        <v>614</v>
      </c>
      <c r="I1001" s="218" t="str">
        <f>("1403130157")</f>
        <v>1403130157</v>
      </c>
    </row>
    <row r="1002" spans="1:10" x14ac:dyDescent="0.15">
      <c r="A1002" s="406" t="str">
        <f t="shared" si="15"/>
        <v>ＫＩＮＧＳ　ＦＯＯＴＢＡＬＬＣＬＵＢ　Ｕ－１２_5</v>
      </c>
      <c r="B1002" s="218" t="s">
        <v>1542</v>
      </c>
      <c r="C1002" s="218" t="str">
        <f>("5")</f>
        <v>5</v>
      </c>
      <c r="D1002" s="218" t="s">
        <v>611</v>
      </c>
      <c r="E1002" s="218" t="s">
        <v>8412</v>
      </c>
      <c r="F1002" s="218" t="s">
        <v>8413</v>
      </c>
      <c r="G1002" s="218">
        <v>5</v>
      </c>
      <c r="H1002" s="218" t="s">
        <v>614</v>
      </c>
      <c r="I1002" s="218" t="str">
        <f>("1404220185")</f>
        <v>1404220185</v>
      </c>
    </row>
    <row r="1003" spans="1:10" x14ac:dyDescent="0.15">
      <c r="A1003" s="406" t="str">
        <f t="shared" si="15"/>
        <v>ＫＩＮＧＳ　ＦＯＯＴＢＡＬＬＣＬＵＢ　Ｕ－１２_6</v>
      </c>
      <c r="B1003" s="218" t="s">
        <v>1542</v>
      </c>
      <c r="C1003" s="218" t="str">
        <f>("6")</f>
        <v>6</v>
      </c>
      <c r="D1003" s="218" t="s">
        <v>611</v>
      </c>
      <c r="E1003" s="218" t="s">
        <v>8414</v>
      </c>
      <c r="F1003" s="218" t="s">
        <v>8415</v>
      </c>
      <c r="G1003" s="218">
        <v>6</v>
      </c>
      <c r="H1003" s="218" t="s">
        <v>614</v>
      </c>
      <c r="I1003" s="218" t="str">
        <f>("1310130111")</f>
        <v>1310130111</v>
      </c>
    </row>
    <row r="1004" spans="1:10" x14ac:dyDescent="0.15">
      <c r="A1004" s="406" t="str">
        <f t="shared" si="15"/>
        <v>ＫＩＮＧＳ　ＦＯＯＴＢＡＬＬＣＬＵＢ　Ｕ－１２_7</v>
      </c>
      <c r="B1004" s="218" t="s">
        <v>1542</v>
      </c>
      <c r="C1004" s="218" t="str">
        <f>("7")</f>
        <v>7</v>
      </c>
      <c r="D1004" s="218" t="s">
        <v>623</v>
      </c>
      <c r="E1004" s="218" t="s">
        <v>8416</v>
      </c>
      <c r="F1004" s="218" t="s">
        <v>8417</v>
      </c>
      <c r="G1004" s="218">
        <v>6</v>
      </c>
      <c r="H1004" s="218" t="s">
        <v>614</v>
      </c>
      <c r="I1004" s="218" t="str">
        <f>("1307140132")</f>
        <v>1307140132</v>
      </c>
    </row>
    <row r="1005" spans="1:10" x14ac:dyDescent="0.15">
      <c r="A1005" s="406" t="str">
        <f t="shared" si="15"/>
        <v>ＫＩＮＧＳ　ＦＯＯＴＢＡＬＬＣＬＵＢ　Ｕ－１２_8</v>
      </c>
      <c r="B1005" s="218" t="s">
        <v>1542</v>
      </c>
      <c r="C1005" s="218" t="str">
        <f>("8")</f>
        <v>8</v>
      </c>
      <c r="D1005" s="218" t="s">
        <v>615</v>
      </c>
      <c r="E1005" s="218" t="s">
        <v>8418</v>
      </c>
      <c r="F1005" s="218" t="s">
        <v>8419</v>
      </c>
      <c r="G1005" s="218">
        <v>6</v>
      </c>
      <c r="H1005" s="218" t="s">
        <v>614</v>
      </c>
      <c r="I1005" s="218" t="str">
        <f>("1304130180")</f>
        <v>1304130180</v>
      </c>
    </row>
    <row r="1006" spans="1:10" x14ac:dyDescent="0.15">
      <c r="A1006" s="406" t="str">
        <f t="shared" si="15"/>
        <v>ＫＩＮＧＳ　ＦＯＯＴＢＡＬＬＣＬＵＢ　Ｕ－１２_9</v>
      </c>
      <c r="B1006" s="218" t="s">
        <v>1542</v>
      </c>
      <c r="C1006" s="218" t="str">
        <f>("9")</f>
        <v>9</v>
      </c>
      <c r="D1006" s="218" t="s">
        <v>623</v>
      </c>
      <c r="E1006" s="218" t="s">
        <v>8420</v>
      </c>
      <c r="F1006" s="218" t="s">
        <v>8421</v>
      </c>
      <c r="G1006" s="218">
        <v>6</v>
      </c>
      <c r="H1006" s="218" t="s">
        <v>614</v>
      </c>
      <c r="I1006" s="218" t="str">
        <f>("1312060109")</f>
        <v>1312060109</v>
      </c>
    </row>
    <row r="1007" spans="1:10" x14ac:dyDescent="0.15">
      <c r="A1007" s="406" t="str">
        <f t="shared" si="15"/>
        <v>ＫＩＮＧＳ　ＦＯＯＴＢＡＬＬＣＬＵＢ　Ｕ－１２_10</v>
      </c>
      <c r="B1007" s="218" t="s">
        <v>1542</v>
      </c>
      <c r="C1007" s="218" t="str">
        <f>("10")</f>
        <v>10</v>
      </c>
      <c r="D1007" s="218" t="s">
        <v>615</v>
      </c>
      <c r="E1007" s="218" t="s">
        <v>8422</v>
      </c>
      <c r="F1007" s="218" t="s">
        <v>8423</v>
      </c>
      <c r="G1007" s="218">
        <v>6</v>
      </c>
      <c r="H1007" s="218" t="s">
        <v>614</v>
      </c>
      <c r="I1007" s="218" t="str">
        <f>("1310070105")</f>
        <v>1310070105</v>
      </c>
      <c r="J1007" s="218" t="s">
        <v>159</v>
      </c>
    </row>
    <row r="1008" spans="1:10" x14ac:dyDescent="0.15">
      <c r="A1008" s="406" t="str">
        <f t="shared" si="15"/>
        <v>ＫＩＮＧＳ　ＦＯＯＴＢＡＬＬＣＬＵＢ　Ｕ－１２_11</v>
      </c>
      <c r="B1008" s="218" t="s">
        <v>1542</v>
      </c>
      <c r="C1008" s="218" t="str">
        <f>("11")</f>
        <v>11</v>
      </c>
      <c r="D1008" s="218" t="s">
        <v>615</v>
      </c>
      <c r="E1008" s="218" t="s">
        <v>8424</v>
      </c>
      <c r="F1008" s="218" t="s">
        <v>8425</v>
      </c>
      <c r="G1008" s="218">
        <v>6</v>
      </c>
      <c r="H1008" s="218" t="s">
        <v>614</v>
      </c>
      <c r="I1008" s="218" t="str">
        <f>("1403160126")</f>
        <v>1403160126</v>
      </c>
    </row>
    <row r="1009" spans="1:10" x14ac:dyDescent="0.15">
      <c r="A1009" s="406" t="str">
        <f t="shared" si="15"/>
        <v>ＫＩＮＧＳ　ＦＯＯＴＢＡＬＬＣＬＵＢ　Ｕ－１２_12</v>
      </c>
      <c r="B1009" s="218" t="s">
        <v>1542</v>
      </c>
      <c r="C1009" s="218" t="str">
        <f>("12")</f>
        <v>12</v>
      </c>
      <c r="D1009" s="218" t="s">
        <v>624</v>
      </c>
      <c r="E1009" s="218" t="s">
        <v>8426</v>
      </c>
      <c r="F1009" s="218" t="s">
        <v>8427</v>
      </c>
      <c r="G1009" s="218">
        <v>4</v>
      </c>
      <c r="H1009" s="218" t="s">
        <v>614</v>
      </c>
      <c r="I1009" s="218" t="str">
        <f>("1504150196")</f>
        <v>1504150196</v>
      </c>
    </row>
    <row r="1010" spans="1:10" x14ac:dyDescent="0.15">
      <c r="A1010" s="406" t="str">
        <f t="shared" si="15"/>
        <v>ＫＩＮＧＳ　ＦＯＯＴＢＡＬＬＣＬＵＢ　Ｕ－１２_13</v>
      </c>
      <c r="B1010" s="218" t="s">
        <v>1542</v>
      </c>
      <c r="C1010" s="218" t="str">
        <f>("13")</f>
        <v>13</v>
      </c>
      <c r="D1010" s="218" t="s">
        <v>615</v>
      </c>
      <c r="E1010" s="218" t="s">
        <v>8428</v>
      </c>
      <c r="F1010" s="218" t="s">
        <v>8429</v>
      </c>
      <c r="G1010" s="218">
        <v>5</v>
      </c>
      <c r="H1010" s="218" t="s">
        <v>614</v>
      </c>
      <c r="I1010" s="218" t="str">
        <f>("1410140191")</f>
        <v>1410140191</v>
      </c>
    </row>
    <row r="1011" spans="1:10" x14ac:dyDescent="0.15">
      <c r="A1011" s="406" t="str">
        <f t="shared" si="15"/>
        <v>ＫＩＮＧＳ　ＦＯＯＴＢＡＬＬＣＬＵＢ　Ｕ－１２_14</v>
      </c>
      <c r="B1011" s="218" t="s">
        <v>1542</v>
      </c>
      <c r="C1011" s="218" t="str">
        <f>("14")</f>
        <v>14</v>
      </c>
      <c r="D1011" s="218" t="s">
        <v>615</v>
      </c>
      <c r="E1011" s="218" t="s">
        <v>8430</v>
      </c>
      <c r="F1011" s="218" t="s">
        <v>8431</v>
      </c>
      <c r="G1011" s="218">
        <v>3</v>
      </c>
      <c r="H1011" s="218" t="s">
        <v>614</v>
      </c>
      <c r="I1011" s="218" t="str">
        <f>("1609300083")</f>
        <v>1609300083</v>
      </c>
    </row>
    <row r="1012" spans="1:10" x14ac:dyDescent="0.15">
      <c r="A1012" s="406" t="str">
        <f t="shared" si="15"/>
        <v>ＫＩＮＧＳ　ＦＯＯＴＢＡＬＬＣＬＵＢ　Ｕ－１２_15</v>
      </c>
      <c r="B1012" s="218" t="s">
        <v>1542</v>
      </c>
      <c r="C1012" s="218" t="str">
        <f>("15")</f>
        <v>15</v>
      </c>
      <c r="D1012" s="218" t="s">
        <v>611</v>
      </c>
      <c r="E1012" s="218" t="s">
        <v>8432</v>
      </c>
      <c r="F1012" s="218" t="s">
        <v>8433</v>
      </c>
      <c r="G1012" s="218">
        <v>5</v>
      </c>
      <c r="H1012" s="218" t="s">
        <v>614</v>
      </c>
      <c r="I1012" s="218" t="str">
        <f>("1408010203")</f>
        <v>1408010203</v>
      </c>
    </row>
    <row r="1013" spans="1:10" x14ac:dyDescent="0.15">
      <c r="A1013" s="406" t="str">
        <f t="shared" si="15"/>
        <v>ＫＩＮＧＳ　ＦＯＯＴＢＡＬＬＣＬＵＢ　Ｕ－１２_16</v>
      </c>
      <c r="B1013" s="218" t="s">
        <v>1542</v>
      </c>
      <c r="C1013" s="218" t="str">
        <f>("16")</f>
        <v>16</v>
      </c>
      <c r="D1013" s="218" t="s">
        <v>615</v>
      </c>
      <c r="E1013" s="218" t="s">
        <v>8434</v>
      </c>
      <c r="F1013" s="218" t="s">
        <v>8435</v>
      </c>
      <c r="G1013" s="218">
        <v>4</v>
      </c>
      <c r="H1013" s="218" t="s">
        <v>614</v>
      </c>
      <c r="I1013" s="218" t="str">
        <f>("1505290098")</f>
        <v>1505290098</v>
      </c>
    </row>
    <row r="1014" spans="1:10" x14ac:dyDescent="0.15">
      <c r="A1014" s="406" t="str">
        <f t="shared" si="15"/>
        <v>スマイスＦＣ_1</v>
      </c>
      <c r="B1014" s="218" t="s">
        <v>1557</v>
      </c>
      <c r="C1014" s="218" t="str">
        <f>("1")</f>
        <v>1</v>
      </c>
      <c r="D1014" s="218" t="s">
        <v>624</v>
      </c>
      <c r="E1014" s="218" t="s">
        <v>8436</v>
      </c>
      <c r="F1014" s="218" t="s">
        <v>8437</v>
      </c>
      <c r="G1014" s="218">
        <v>5</v>
      </c>
      <c r="H1014" s="218" t="s">
        <v>614</v>
      </c>
      <c r="I1014" s="218" t="str">
        <f>("1406130249")</f>
        <v>1406130249</v>
      </c>
    </row>
    <row r="1015" spans="1:10" x14ac:dyDescent="0.15">
      <c r="A1015" s="406" t="str">
        <f t="shared" si="15"/>
        <v>スマイスＦＣ_2</v>
      </c>
      <c r="B1015" s="218" t="s">
        <v>1557</v>
      </c>
      <c r="C1015" s="218" t="str">
        <f>("2")</f>
        <v>2</v>
      </c>
      <c r="D1015" s="218" t="s">
        <v>611</v>
      </c>
      <c r="E1015" s="218" t="s">
        <v>8438</v>
      </c>
      <c r="F1015" s="218" t="s">
        <v>8439</v>
      </c>
      <c r="G1015" s="218">
        <v>5</v>
      </c>
      <c r="H1015" s="218" t="s">
        <v>614</v>
      </c>
      <c r="I1015" s="218" t="str">
        <f>("1411160103")</f>
        <v>1411160103</v>
      </c>
    </row>
    <row r="1016" spans="1:10" x14ac:dyDescent="0.15">
      <c r="A1016" s="406" t="str">
        <f t="shared" si="15"/>
        <v>スマイスＦＣ_3</v>
      </c>
      <c r="B1016" s="218" t="s">
        <v>1557</v>
      </c>
      <c r="C1016" s="218" t="str">
        <f>("3")</f>
        <v>3</v>
      </c>
      <c r="D1016" s="218" t="s">
        <v>611</v>
      </c>
      <c r="E1016" s="218" t="s">
        <v>8440</v>
      </c>
      <c r="F1016" s="218" t="s">
        <v>8441</v>
      </c>
      <c r="G1016" s="218">
        <v>5</v>
      </c>
      <c r="H1016" s="218" t="s">
        <v>614</v>
      </c>
      <c r="I1016" s="218" t="str">
        <f>("1408050235")</f>
        <v>1408050235</v>
      </c>
    </row>
    <row r="1017" spans="1:10" x14ac:dyDescent="0.15">
      <c r="A1017" s="406" t="str">
        <f t="shared" si="15"/>
        <v>スマイスＦＣ_4</v>
      </c>
      <c r="B1017" s="218" t="s">
        <v>1557</v>
      </c>
      <c r="C1017" s="218" t="str">
        <f>("4")</f>
        <v>4</v>
      </c>
      <c r="D1017" s="218" t="s">
        <v>615</v>
      </c>
      <c r="E1017" s="218" t="s">
        <v>8442</v>
      </c>
      <c r="F1017" s="218" t="s">
        <v>8443</v>
      </c>
      <c r="G1017" s="218">
        <v>5</v>
      </c>
      <c r="H1017" s="218" t="s">
        <v>614</v>
      </c>
      <c r="I1017" s="218" t="str">
        <f>("1408110159")</f>
        <v>1408110159</v>
      </c>
    </row>
    <row r="1018" spans="1:10" x14ac:dyDescent="0.15">
      <c r="A1018" s="406" t="str">
        <f t="shared" si="15"/>
        <v>スマイスＦＣ_5</v>
      </c>
      <c r="B1018" s="218" t="s">
        <v>1557</v>
      </c>
      <c r="C1018" s="218" t="str">
        <f>("5")</f>
        <v>5</v>
      </c>
      <c r="D1018" s="218" t="s">
        <v>615</v>
      </c>
      <c r="E1018" s="218" t="s">
        <v>8444</v>
      </c>
      <c r="F1018" s="218" t="s">
        <v>8445</v>
      </c>
      <c r="G1018" s="218">
        <v>5</v>
      </c>
      <c r="H1018" s="218" t="s">
        <v>614</v>
      </c>
      <c r="I1018" s="218" t="str">
        <f>("1408110117")</f>
        <v>1408110117</v>
      </c>
    </row>
    <row r="1019" spans="1:10" x14ac:dyDescent="0.15">
      <c r="A1019" s="406" t="str">
        <f t="shared" si="15"/>
        <v>スマイスＦＣ_6</v>
      </c>
      <c r="B1019" s="218" t="s">
        <v>1557</v>
      </c>
      <c r="C1019" s="218" t="str">
        <f>("6")</f>
        <v>6</v>
      </c>
      <c r="D1019" s="218" t="s">
        <v>615</v>
      </c>
      <c r="E1019" s="218" t="s">
        <v>8446</v>
      </c>
      <c r="F1019" s="218" t="s">
        <v>1558</v>
      </c>
      <c r="G1019" s="218">
        <v>5</v>
      </c>
      <c r="H1019" s="218" t="s">
        <v>614</v>
      </c>
      <c r="I1019" s="218" t="str">
        <f>("1409220241")</f>
        <v>1409220241</v>
      </c>
    </row>
    <row r="1020" spans="1:10" x14ac:dyDescent="0.15">
      <c r="A1020" s="406" t="str">
        <f t="shared" si="15"/>
        <v>スマイスＦＣ_7</v>
      </c>
      <c r="B1020" s="218" t="s">
        <v>1557</v>
      </c>
      <c r="C1020" s="218" t="str">
        <f>("7")</f>
        <v>7</v>
      </c>
      <c r="D1020" s="218" t="s">
        <v>615</v>
      </c>
      <c r="E1020" s="218" t="s">
        <v>8447</v>
      </c>
      <c r="F1020" s="218" t="s">
        <v>8448</v>
      </c>
      <c r="G1020" s="218">
        <v>5</v>
      </c>
      <c r="H1020" s="218" t="s">
        <v>614</v>
      </c>
      <c r="I1020" s="218" t="str">
        <f>("1412180146")</f>
        <v>1412180146</v>
      </c>
    </row>
    <row r="1021" spans="1:10" x14ac:dyDescent="0.15">
      <c r="A1021" s="406" t="str">
        <f t="shared" si="15"/>
        <v>スマイスＦＣ_8</v>
      </c>
      <c r="B1021" s="218" t="s">
        <v>1557</v>
      </c>
      <c r="C1021" s="218" t="str">
        <f>("8")</f>
        <v>8</v>
      </c>
      <c r="D1021" s="218" t="s">
        <v>623</v>
      </c>
      <c r="E1021" s="218" t="s">
        <v>8449</v>
      </c>
      <c r="F1021" s="218" t="s">
        <v>8450</v>
      </c>
      <c r="G1021" s="218">
        <v>6</v>
      </c>
      <c r="H1021" s="218" t="s">
        <v>614</v>
      </c>
      <c r="I1021" s="218" t="str">
        <f>("1401200187")</f>
        <v>1401200187</v>
      </c>
    </row>
    <row r="1022" spans="1:10" x14ac:dyDescent="0.15">
      <c r="A1022" s="406" t="str">
        <f t="shared" si="15"/>
        <v>スマイスＦＣ_9</v>
      </c>
      <c r="B1022" s="218" t="s">
        <v>1557</v>
      </c>
      <c r="C1022" s="218" t="str">
        <f>("9")</f>
        <v>9</v>
      </c>
      <c r="D1022" s="218" t="s">
        <v>623</v>
      </c>
      <c r="E1022" s="218" t="s">
        <v>8451</v>
      </c>
      <c r="F1022" s="218" t="s">
        <v>8452</v>
      </c>
      <c r="G1022" s="218">
        <v>5</v>
      </c>
      <c r="H1022" s="218" t="s">
        <v>614</v>
      </c>
      <c r="I1022" s="218" t="str">
        <f>("1409200144")</f>
        <v>1409200144</v>
      </c>
    </row>
    <row r="1023" spans="1:10" x14ac:dyDescent="0.15">
      <c r="A1023" s="406" t="str">
        <f t="shared" si="15"/>
        <v>スマイスＦＣ_10</v>
      </c>
      <c r="B1023" s="218" t="s">
        <v>1557</v>
      </c>
      <c r="C1023" s="218" t="str">
        <f>("10")</f>
        <v>10</v>
      </c>
      <c r="D1023" s="218" t="s">
        <v>615</v>
      </c>
      <c r="E1023" s="218" t="s">
        <v>1559</v>
      </c>
      <c r="F1023" s="218" t="s">
        <v>1560</v>
      </c>
      <c r="G1023" s="218">
        <v>6</v>
      </c>
      <c r="H1023" s="218" t="s">
        <v>614</v>
      </c>
      <c r="I1023" s="218" t="str">
        <f>("1402160088")</f>
        <v>1402160088</v>
      </c>
      <c r="J1023" s="218" t="s">
        <v>159</v>
      </c>
    </row>
    <row r="1024" spans="1:10" x14ac:dyDescent="0.15">
      <c r="A1024" s="406" t="str">
        <f t="shared" si="15"/>
        <v>スマイスＦＣ_11</v>
      </c>
      <c r="B1024" s="218" t="s">
        <v>1557</v>
      </c>
      <c r="C1024" s="218" t="str">
        <f>("11")</f>
        <v>11</v>
      </c>
      <c r="D1024" s="218" t="s">
        <v>615</v>
      </c>
      <c r="E1024" s="218" t="s">
        <v>8453</v>
      </c>
      <c r="F1024" s="218" t="s">
        <v>8454</v>
      </c>
      <c r="G1024" s="218">
        <v>6</v>
      </c>
      <c r="H1024" s="218" t="s">
        <v>614</v>
      </c>
      <c r="I1024" s="218" t="str">
        <f>("1310010232")</f>
        <v>1310010232</v>
      </c>
    </row>
    <row r="1025" spans="1:10" x14ac:dyDescent="0.15">
      <c r="A1025" s="406" t="str">
        <f t="shared" ref="A1025:A1088" si="16">CONCATENATE(B1025,"_",C1025)</f>
        <v>スマイスＦＣ_12</v>
      </c>
      <c r="B1025" s="218" t="s">
        <v>1557</v>
      </c>
      <c r="C1025" s="218" t="str">
        <f>("12")</f>
        <v>12</v>
      </c>
      <c r="D1025" s="218" t="s">
        <v>615</v>
      </c>
      <c r="E1025" s="218" t="s">
        <v>8455</v>
      </c>
      <c r="F1025" s="218" t="s">
        <v>8456</v>
      </c>
      <c r="G1025" s="218">
        <v>5</v>
      </c>
      <c r="H1025" s="218" t="s">
        <v>614</v>
      </c>
      <c r="I1025" s="218" t="str">
        <f>("1407090168")</f>
        <v>1407090168</v>
      </c>
    </row>
    <row r="1026" spans="1:10" x14ac:dyDescent="0.15">
      <c r="A1026" s="406" t="str">
        <f t="shared" si="16"/>
        <v>スマイスＦＣ_13</v>
      </c>
      <c r="B1026" s="218" t="s">
        <v>1557</v>
      </c>
      <c r="C1026" s="218" t="str">
        <f>("13")</f>
        <v>13</v>
      </c>
      <c r="D1026" s="218" t="s">
        <v>615</v>
      </c>
      <c r="E1026" s="218" t="s">
        <v>8457</v>
      </c>
      <c r="F1026" s="218" t="s">
        <v>8458</v>
      </c>
      <c r="G1026" s="218">
        <v>4</v>
      </c>
      <c r="H1026" s="218" t="s">
        <v>614</v>
      </c>
      <c r="I1026" s="218" t="str">
        <f>("1511170173")</f>
        <v>1511170173</v>
      </c>
    </row>
    <row r="1027" spans="1:10" x14ac:dyDescent="0.15">
      <c r="A1027" s="406" t="str">
        <f t="shared" si="16"/>
        <v>スマイスＦＣ_14</v>
      </c>
      <c r="B1027" s="218" t="s">
        <v>1557</v>
      </c>
      <c r="C1027" s="218" t="str">
        <f>("14")</f>
        <v>14</v>
      </c>
      <c r="D1027" s="218" t="s">
        <v>611</v>
      </c>
      <c r="E1027" s="218" t="s">
        <v>8459</v>
      </c>
      <c r="F1027" s="218" t="s">
        <v>8460</v>
      </c>
      <c r="G1027" s="218">
        <v>5</v>
      </c>
      <c r="H1027" s="218" t="s">
        <v>614</v>
      </c>
      <c r="I1027" s="218" t="str">
        <f>("1501040135")</f>
        <v>1501040135</v>
      </c>
    </row>
    <row r="1028" spans="1:10" x14ac:dyDescent="0.15">
      <c r="A1028" s="406" t="str">
        <f t="shared" si="16"/>
        <v>スマイスＦＣ_15</v>
      </c>
      <c r="B1028" s="218" t="s">
        <v>1557</v>
      </c>
      <c r="C1028" s="218" t="str">
        <f>("15")</f>
        <v>15</v>
      </c>
      <c r="D1028" s="218" t="s">
        <v>615</v>
      </c>
      <c r="E1028" s="218" t="s">
        <v>8461</v>
      </c>
      <c r="F1028" s="218" t="s">
        <v>8462</v>
      </c>
      <c r="G1028" s="218">
        <v>5</v>
      </c>
      <c r="H1028" s="218" t="s">
        <v>614</v>
      </c>
      <c r="I1028" s="218" t="str">
        <f>("1405310157")</f>
        <v>1405310157</v>
      </c>
    </row>
    <row r="1029" spans="1:10" x14ac:dyDescent="0.15">
      <c r="A1029" s="406" t="str">
        <f t="shared" si="16"/>
        <v>スマイスＦＣ_16</v>
      </c>
      <c r="B1029" s="218" t="s">
        <v>1557</v>
      </c>
      <c r="C1029" s="218" t="str">
        <f>("16")</f>
        <v>16</v>
      </c>
      <c r="D1029" s="218" t="s">
        <v>624</v>
      </c>
      <c r="E1029" s="218" t="s">
        <v>8463</v>
      </c>
      <c r="F1029" s="218" t="s">
        <v>8464</v>
      </c>
      <c r="G1029" s="218">
        <v>5</v>
      </c>
      <c r="H1029" s="218" t="s">
        <v>614</v>
      </c>
      <c r="I1029" s="218" t="str">
        <f>("1409290225")</f>
        <v>1409290225</v>
      </c>
    </row>
    <row r="1030" spans="1:10" x14ac:dyDescent="0.15">
      <c r="A1030" s="406" t="str">
        <f t="shared" si="16"/>
        <v>市浜レッドソックス_1</v>
      </c>
      <c r="B1030" s="218" t="s">
        <v>1561</v>
      </c>
      <c r="C1030" s="218" t="str">
        <f>("1")</f>
        <v>1</v>
      </c>
      <c r="D1030" s="218" t="s">
        <v>624</v>
      </c>
      <c r="E1030" s="218" t="s">
        <v>1570</v>
      </c>
      <c r="F1030" s="218" t="s">
        <v>1571</v>
      </c>
      <c r="G1030" s="218">
        <v>6</v>
      </c>
      <c r="H1030" s="218" t="s">
        <v>614</v>
      </c>
      <c r="I1030" s="218" t="str">
        <f>("1305080158")</f>
        <v>1305080158</v>
      </c>
      <c r="J1030" s="218" t="s">
        <v>159</v>
      </c>
    </row>
    <row r="1031" spans="1:10" x14ac:dyDescent="0.15">
      <c r="A1031" s="406" t="str">
        <f t="shared" si="16"/>
        <v>市浜レッドソックス_2</v>
      </c>
      <c r="B1031" s="218" t="s">
        <v>1561</v>
      </c>
      <c r="C1031" s="218" t="str">
        <f>("2")</f>
        <v>2</v>
      </c>
      <c r="D1031" s="218" t="s">
        <v>611</v>
      </c>
      <c r="E1031" s="218" t="s">
        <v>8465</v>
      </c>
      <c r="F1031" s="218" t="s">
        <v>8466</v>
      </c>
      <c r="G1031" s="218">
        <v>6</v>
      </c>
      <c r="H1031" s="218" t="s">
        <v>614</v>
      </c>
      <c r="I1031" s="218" t="str">
        <f>("1307150146")</f>
        <v>1307150146</v>
      </c>
    </row>
    <row r="1032" spans="1:10" x14ac:dyDescent="0.15">
      <c r="A1032" s="406" t="str">
        <f t="shared" si="16"/>
        <v>市浜レッドソックス_3</v>
      </c>
      <c r="B1032" s="218" t="s">
        <v>1561</v>
      </c>
      <c r="C1032" s="218" t="str">
        <f>("3")</f>
        <v>3</v>
      </c>
      <c r="D1032" s="218" t="s">
        <v>611</v>
      </c>
      <c r="E1032" s="218" t="s">
        <v>1564</v>
      </c>
      <c r="F1032" s="218" t="s">
        <v>1565</v>
      </c>
      <c r="G1032" s="218">
        <v>6</v>
      </c>
      <c r="H1032" s="218" t="s">
        <v>614</v>
      </c>
      <c r="I1032" s="218" t="str">
        <f>("1401040074")</f>
        <v>1401040074</v>
      </c>
    </row>
    <row r="1033" spans="1:10" x14ac:dyDescent="0.15">
      <c r="A1033" s="406" t="str">
        <f t="shared" si="16"/>
        <v>市浜レッドソックス_4</v>
      </c>
      <c r="B1033" s="218" t="s">
        <v>1561</v>
      </c>
      <c r="C1033" s="218" t="str">
        <f>("4")</f>
        <v>4</v>
      </c>
      <c r="D1033" s="218" t="s">
        <v>611</v>
      </c>
      <c r="E1033" s="218" t="s">
        <v>8467</v>
      </c>
      <c r="F1033" s="218" t="s">
        <v>8468</v>
      </c>
      <c r="G1033" s="218">
        <v>5</v>
      </c>
      <c r="H1033" s="218" t="s">
        <v>614</v>
      </c>
      <c r="I1033" s="218" t="str">
        <f>("1412120186")</f>
        <v>1412120186</v>
      </c>
    </row>
    <row r="1034" spans="1:10" x14ac:dyDescent="0.15">
      <c r="A1034" s="406" t="str">
        <f t="shared" si="16"/>
        <v>市浜レッドソックス_5</v>
      </c>
      <c r="B1034" s="218" t="s">
        <v>1561</v>
      </c>
      <c r="C1034" s="218" t="str">
        <f>("5")</f>
        <v>5</v>
      </c>
      <c r="D1034" s="218" t="s">
        <v>615</v>
      </c>
      <c r="E1034" s="218" t="s">
        <v>8469</v>
      </c>
      <c r="F1034" s="218" t="s">
        <v>8470</v>
      </c>
      <c r="G1034" s="218">
        <v>5</v>
      </c>
      <c r="H1034" s="218" t="s">
        <v>616</v>
      </c>
      <c r="I1034" s="218" t="str">
        <f>("1410220217")</f>
        <v>1410220217</v>
      </c>
    </row>
    <row r="1035" spans="1:10" x14ac:dyDescent="0.15">
      <c r="A1035" s="406" t="str">
        <f t="shared" si="16"/>
        <v>市浜レッドソックス_6</v>
      </c>
      <c r="B1035" s="218" t="s">
        <v>1561</v>
      </c>
      <c r="C1035" s="218" t="str">
        <f>("6")</f>
        <v>6</v>
      </c>
      <c r="D1035" s="218" t="s">
        <v>615</v>
      </c>
      <c r="E1035" s="218" t="s">
        <v>1568</v>
      </c>
      <c r="F1035" s="218" t="s">
        <v>1569</v>
      </c>
      <c r="G1035" s="218">
        <v>6</v>
      </c>
      <c r="H1035" s="218" t="s">
        <v>614</v>
      </c>
      <c r="I1035" s="218" t="str">
        <f>("1311110160")</f>
        <v>1311110160</v>
      </c>
    </row>
    <row r="1036" spans="1:10" x14ac:dyDescent="0.15">
      <c r="A1036" s="406" t="str">
        <f t="shared" si="16"/>
        <v>市浜レッドソックス_7</v>
      </c>
      <c r="B1036" s="218" t="s">
        <v>1561</v>
      </c>
      <c r="C1036" s="218" t="str">
        <f>("7")</f>
        <v>7</v>
      </c>
      <c r="D1036" s="218" t="s">
        <v>615</v>
      </c>
      <c r="E1036" s="218" t="s">
        <v>8471</v>
      </c>
      <c r="F1036" s="218" t="s">
        <v>8472</v>
      </c>
      <c r="G1036" s="218">
        <v>5</v>
      </c>
      <c r="H1036" s="218" t="s">
        <v>614</v>
      </c>
      <c r="I1036" s="218" t="str">
        <f>("1410060203")</f>
        <v>1410060203</v>
      </c>
    </row>
    <row r="1037" spans="1:10" x14ac:dyDescent="0.15">
      <c r="A1037" s="406" t="str">
        <f t="shared" si="16"/>
        <v>市浜レッドソックス_8</v>
      </c>
      <c r="B1037" s="218" t="s">
        <v>1561</v>
      </c>
      <c r="C1037" s="218" t="str">
        <f>("8")</f>
        <v>8</v>
      </c>
      <c r="D1037" s="218" t="s">
        <v>611</v>
      </c>
      <c r="E1037" s="218" t="s">
        <v>8473</v>
      </c>
      <c r="F1037" s="218" t="s">
        <v>8474</v>
      </c>
      <c r="G1037" s="218">
        <v>5</v>
      </c>
      <c r="H1037" s="218" t="s">
        <v>614</v>
      </c>
      <c r="I1037" s="218" t="str">
        <f>("1406130147")</f>
        <v>1406130147</v>
      </c>
    </row>
    <row r="1038" spans="1:10" x14ac:dyDescent="0.15">
      <c r="A1038" s="406" t="str">
        <f t="shared" si="16"/>
        <v>市浜レッドソックス_9</v>
      </c>
      <c r="B1038" s="218" t="s">
        <v>1561</v>
      </c>
      <c r="C1038" s="218" t="str">
        <f>("9")</f>
        <v>9</v>
      </c>
      <c r="D1038" s="218" t="s">
        <v>615</v>
      </c>
      <c r="E1038" s="218" t="s">
        <v>8475</v>
      </c>
      <c r="F1038" s="218" t="s">
        <v>8476</v>
      </c>
      <c r="G1038" s="218">
        <v>5</v>
      </c>
      <c r="H1038" s="218" t="s">
        <v>614</v>
      </c>
      <c r="I1038" s="218" t="str">
        <f>("1405190133")</f>
        <v>1405190133</v>
      </c>
    </row>
    <row r="1039" spans="1:10" x14ac:dyDescent="0.15">
      <c r="A1039" s="406" t="str">
        <f t="shared" si="16"/>
        <v>市浜レッドソックス_10</v>
      </c>
      <c r="B1039" s="218" t="s">
        <v>1561</v>
      </c>
      <c r="C1039" s="218" t="str">
        <f>("10")</f>
        <v>10</v>
      </c>
      <c r="D1039" s="218" t="s">
        <v>615</v>
      </c>
      <c r="E1039" s="218" t="s">
        <v>8477</v>
      </c>
      <c r="F1039" s="218" t="s">
        <v>8478</v>
      </c>
      <c r="G1039" s="218">
        <v>6</v>
      </c>
      <c r="H1039" s="218" t="s">
        <v>614</v>
      </c>
      <c r="I1039" s="218" t="str">
        <f>("1308020165")</f>
        <v>1308020165</v>
      </c>
    </row>
    <row r="1040" spans="1:10" x14ac:dyDescent="0.15">
      <c r="A1040" s="406" t="str">
        <f t="shared" si="16"/>
        <v>市浜レッドソックス_11</v>
      </c>
      <c r="B1040" s="218" t="s">
        <v>1561</v>
      </c>
      <c r="C1040" s="218" t="str">
        <f>("11")</f>
        <v>11</v>
      </c>
      <c r="D1040" s="218" t="s">
        <v>623</v>
      </c>
      <c r="E1040" s="218" t="s">
        <v>8479</v>
      </c>
      <c r="F1040" s="218" t="s">
        <v>8480</v>
      </c>
      <c r="G1040" s="218">
        <v>5</v>
      </c>
      <c r="H1040" s="218" t="s">
        <v>614</v>
      </c>
      <c r="I1040" s="218" t="str">
        <f>("1409250174")</f>
        <v>1409250174</v>
      </c>
    </row>
    <row r="1041" spans="1:10" x14ac:dyDescent="0.15">
      <c r="A1041" s="406" t="str">
        <f t="shared" si="16"/>
        <v>市浜レッドソックス_12</v>
      </c>
      <c r="B1041" s="218" t="s">
        <v>1561</v>
      </c>
      <c r="C1041" s="218" t="str">
        <f>("12")</f>
        <v>12</v>
      </c>
      <c r="D1041" s="218" t="s">
        <v>615</v>
      </c>
      <c r="E1041" s="218" t="s">
        <v>8481</v>
      </c>
      <c r="F1041" s="218" t="s">
        <v>8482</v>
      </c>
      <c r="G1041" s="218">
        <v>5</v>
      </c>
      <c r="H1041" s="218" t="s">
        <v>614</v>
      </c>
      <c r="I1041" s="218" t="str">
        <f>("1408290190")</f>
        <v>1408290190</v>
      </c>
    </row>
    <row r="1042" spans="1:10" x14ac:dyDescent="0.15">
      <c r="A1042" s="406" t="str">
        <f t="shared" si="16"/>
        <v>市浜レッドソックス_13</v>
      </c>
      <c r="B1042" s="218" t="s">
        <v>1561</v>
      </c>
      <c r="C1042" s="218" t="str">
        <f>("13")</f>
        <v>13</v>
      </c>
      <c r="D1042" s="218" t="s">
        <v>615</v>
      </c>
      <c r="E1042" s="218" t="s">
        <v>8483</v>
      </c>
      <c r="F1042" s="218" t="s">
        <v>8484</v>
      </c>
      <c r="G1042" s="218">
        <v>5</v>
      </c>
      <c r="H1042" s="218" t="s">
        <v>614</v>
      </c>
      <c r="I1042" s="218" t="str">
        <f>("1411040250")</f>
        <v>1411040250</v>
      </c>
    </row>
    <row r="1043" spans="1:10" x14ac:dyDescent="0.15">
      <c r="A1043" s="406" t="str">
        <f t="shared" si="16"/>
        <v>市浜レッドソックス_14</v>
      </c>
      <c r="B1043" s="218" t="s">
        <v>1561</v>
      </c>
      <c r="C1043" s="218" t="str">
        <f>("14")</f>
        <v>14</v>
      </c>
      <c r="D1043" s="218" t="s">
        <v>615</v>
      </c>
      <c r="E1043" s="218" t="s">
        <v>8485</v>
      </c>
      <c r="F1043" s="218" t="s">
        <v>8486</v>
      </c>
      <c r="G1043" s="218">
        <v>5</v>
      </c>
      <c r="H1043" s="218" t="s">
        <v>614</v>
      </c>
      <c r="I1043" s="218" t="str">
        <f>("1411090060")</f>
        <v>1411090060</v>
      </c>
    </row>
    <row r="1044" spans="1:10" x14ac:dyDescent="0.15">
      <c r="A1044" s="406" t="str">
        <f t="shared" si="16"/>
        <v>市浜レッドソックス_15</v>
      </c>
      <c r="B1044" s="218" t="s">
        <v>1561</v>
      </c>
      <c r="C1044" s="218" t="str">
        <f>("15")</f>
        <v>15</v>
      </c>
      <c r="D1044" s="218" t="s">
        <v>623</v>
      </c>
      <c r="E1044" s="218" t="s">
        <v>8487</v>
      </c>
      <c r="F1044" s="218" t="s">
        <v>8488</v>
      </c>
      <c r="G1044" s="218">
        <v>4</v>
      </c>
      <c r="H1044" s="218" t="s">
        <v>614</v>
      </c>
      <c r="I1044" s="218" t="str">
        <f>("1602220032")</f>
        <v>1602220032</v>
      </c>
    </row>
    <row r="1045" spans="1:10" x14ac:dyDescent="0.15">
      <c r="A1045" s="406" t="str">
        <f t="shared" si="16"/>
        <v>市浜レッドソックス_16</v>
      </c>
      <c r="B1045" s="218" t="s">
        <v>1561</v>
      </c>
      <c r="C1045" s="218" t="str">
        <f>("16")</f>
        <v>16</v>
      </c>
      <c r="D1045" s="218" t="s">
        <v>624</v>
      </c>
      <c r="E1045" s="218" t="s">
        <v>8489</v>
      </c>
      <c r="F1045" s="218" t="s">
        <v>8490</v>
      </c>
      <c r="G1045" s="218">
        <v>5</v>
      </c>
      <c r="H1045" s="218" t="s">
        <v>614</v>
      </c>
      <c r="I1045" s="218" t="str">
        <f>("1502140153")</f>
        <v>1502140153</v>
      </c>
    </row>
    <row r="1046" spans="1:10" x14ac:dyDescent="0.15">
      <c r="A1046" s="406" t="str">
        <f t="shared" si="16"/>
        <v>県央おおのＪＦＣ_1</v>
      </c>
      <c r="B1046" s="218" t="s">
        <v>1572</v>
      </c>
      <c r="C1046" s="218" t="str">
        <f>("1")</f>
        <v>1</v>
      </c>
      <c r="D1046" s="218" t="s">
        <v>624</v>
      </c>
      <c r="E1046" s="218" t="s">
        <v>8491</v>
      </c>
      <c r="F1046" s="218" t="s">
        <v>8492</v>
      </c>
      <c r="G1046" s="218">
        <v>6</v>
      </c>
      <c r="H1046" s="218" t="s">
        <v>614</v>
      </c>
      <c r="I1046" s="218" t="str">
        <f>("0112040455")</f>
        <v>0112040455</v>
      </c>
    </row>
    <row r="1047" spans="1:10" x14ac:dyDescent="0.15">
      <c r="A1047" s="406" t="str">
        <f t="shared" si="16"/>
        <v>県央おおのＪＦＣ_2</v>
      </c>
      <c r="B1047" s="218" t="s">
        <v>1572</v>
      </c>
      <c r="C1047" s="218" t="str">
        <f>("2")</f>
        <v>2</v>
      </c>
      <c r="D1047" s="218" t="s">
        <v>615</v>
      </c>
      <c r="E1047" s="218" t="s">
        <v>8493</v>
      </c>
      <c r="F1047" s="218" t="s">
        <v>8494</v>
      </c>
      <c r="G1047" s="218">
        <v>3</v>
      </c>
      <c r="H1047" s="218" t="s">
        <v>614</v>
      </c>
      <c r="I1047" s="218" t="str">
        <f>("1609260021")</f>
        <v>1609260021</v>
      </c>
    </row>
    <row r="1048" spans="1:10" x14ac:dyDescent="0.15">
      <c r="A1048" s="406" t="str">
        <f t="shared" si="16"/>
        <v>県央おおのＪＦＣ_3</v>
      </c>
      <c r="B1048" s="218" t="s">
        <v>1572</v>
      </c>
      <c r="C1048" s="218" t="str">
        <f>("3")</f>
        <v>3</v>
      </c>
      <c r="D1048" s="218" t="s">
        <v>611</v>
      </c>
      <c r="E1048" s="218" t="s">
        <v>8495</v>
      </c>
      <c r="F1048" s="218" t="s">
        <v>8496</v>
      </c>
      <c r="G1048" s="218">
        <v>3</v>
      </c>
      <c r="H1048" s="218" t="s">
        <v>614</v>
      </c>
      <c r="I1048" s="218" t="str">
        <f>("1610100013")</f>
        <v>1610100013</v>
      </c>
    </row>
    <row r="1049" spans="1:10" x14ac:dyDescent="0.15">
      <c r="A1049" s="406" t="str">
        <f t="shared" si="16"/>
        <v>県央おおのＪＦＣ_4</v>
      </c>
      <c r="B1049" s="218" t="s">
        <v>1572</v>
      </c>
      <c r="C1049" s="218" t="str">
        <f>("4")</f>
        <v>4</v>
      </c>
      <c r="D1049" s="218" t="s">
        <v>611</v>
      </c>
      <c r="E1049" s="218" t="s">
        <v>8497</v>
      </c>
      <c r="F1049" s="218" t="s">
        <v>8498</v>
      </c>
      <c r="G1049" s="218">
        <v>3</v>
      </c>
      <c r="H1049" s="218" t="s">
        <v>614</v>
      </c>
      <c r="I1049" s="218" t="str">
        <f>("1608310014")</f>
        <v>1608310014</v>
      </c>
    </row>
    <row r="1050" spans="1:10" x14ac:dyDescent="0.15">
      <c r="A1050" s="406" t="str">
        <f t="shared" si="16"/>
        <v>県央おおのＪＦＣ_5</v>
      </c>
      <c r="B1050" s="218" t="s">
        <v>1572</v>
      </c>
      <c r="C1050" s="218" t="str">
        <f>("5")</f>
        <v>5</v>
      </c>
      <c r="D1050" s="218" t="s">
        <v>615</v>
      </c>
      <c r="E1050" s="218" t="s">
        <v>8499</v>
      </c>
      <c r="F1050" s="218" t="s">
        <v>8500</v>
      </c>
      <c r="G1050" s="218">
        <v>3</v>
      </c>
      <c r="H1050" s="218" t="s">
        <v>614</v>
      </c>
      <c r="I1050" s="218" t="str">
        <f>("1610130011")</f>
        <v>1610130011</v>
      </c>
    </row>
    <row r="1051" spans="1:10" x14ac:dyDescent="0.15">
      <c r="A1051" s="406" t="str">
        <f t="shared" si="16"/>
        <v>県央おおのＪＦＣ_6</v>
      </c>
      <c r="B1051" s="218" t="s">
        <v>1572</v>
      </c>
      <c r="C1051" s="218" t="str">
        <f>("6")</f>
        <v>6</v>
      </c>
      <c r="D1051" s="218" t="s">
        <v>611</v>
      </c>
      <c r="E1051" s="218" t="s">
        <v>8501</v>
      </c>
      <c r="F1051" s="218" t="s">
        <v>8502</v>
      </c>
      <c r="G1051" s="218">
        <v>4</v>
      </c>
      <c r="H1051" s="218" t="s">
        <v>614</v>
      </c>
      <c r="I1051" s="218" t="str">
        <f>("1512120040")</f>
        <v>1512120040</v>
      </c>
    </row>
    <row r="1052" spans="1:10" x14ac:dyDescent="0.15">
      <c r="A1052" s="406" t="str">
        <f t="shared" si="16"/>
        <v>県央おおのＪＦＣ_7</v>
      </c>
      <c r="B1052" s="218" t="s">
        <v>1572</v>
      </c>
      <c r="C1052" s="218" t="str">
        <f>("7")</f>
        <v>7</v>
      </c>
      <c r="D1052" s="218" t="s">
        <v>611</v>
      </c>
      <c r="E1052" s="218" t="s">
        <v>8503</v>
      </c>
      <c r="F1052" s="218" t="s">
        <v>8504</v>
      </c>
      <c r="G1052" s="218">
        <v>4</v>
      </c>
      <c r="H1052" s="218" t="s">
        <v>614</v>
      </c>
      <c r="I1052" s="218" t="str">
        <f>("1511260032")</f>
        <v>1511260032</v>
      </c>
    </row>
    <row r="1053" spans="1:10" x14ac:dyDescent="0.15">
      <c r="A1053" s="406" t="str">
        <f t="shared" si="16"/>
        <v>県央おおのＪＦＣ_8</v>
      </c>
      <c r="B1053" s="218" t="s">
        <v>1572</v>
      </c>
      <c r="C1053" s="218" t="str">
        <f>("8")</f>
        <v>8</v>
      </c>
      <c r="D1053" s="218" t="s">
        <v>611</v>
      </c>
      <c r="E1053" s="218" t="s">
        <v>1580</v>
      </c>
      <c r="F1053" s="218" t="s">
        <v>1581</v>
      </c>
      <c r="G1053" s="218">
        <v>5</v>
      </c>
      <c r="H1053" s="218" t="s">
        <v>616</v>
      </c>
      <c r="I1053" s="218" t="str">
        <f>("1411120015")</f>
        <v>1411120015</v>
      </c>
    </row>
    <row r="1054" spans="1:10" x14ac:dyDescent="0.15">
      <c r="A1054" s="406" t="str">
        <f t="shared" si="16"/>
        <v>県央おおのＪＦＣ_9</v>
      </c>
      <c r="B1054" s="218" t="s">
        <v>1572</v>
      </c>
      <c r="C1054" s="218" t="str">
        <f>("9")</f>
        <v>9</v>
      </c>
      <c r="D1054" s="218" t="s">
        <v>623</v>
      </c>
      <c r="E1054" s="218" t="s">
        <v>8505</v>
      </c>
      <c r="F1054" s="218" t="s">
        <v>8506</v>
      </c>
      <c r="G1054" s="218">
        <v>5</v>
      </c>
      <c r="H1054" s="218" t="s">
        <v>614</v>
      </c>
      <c r="I1054" s="218" t="str">
        <f>("1406190184")</f>
        <v>1406190184</v>
      </c>
    </row>
    <row r="1055" spans="1:10" x14ac:dyDescent="0.15">
      <c r="A1055" s="406" t="str">
        <f t="shared" si="16"/>
        <v>県央おおのＪＦＣ_10</v>
      </c>
      <c r="B1055" s="218" t="s">
        <v>1572</v>
      </c>
      <c r="C1055" s="218" t="str">
        <f>("10")</f>
        <v>10</v>
      </c>
      <c r="D1055" s="218" t="s">
        <v>615</v>
      </c>
      <c r="E1055" s="218" t="s">
        <v>1575</v>
      </c>
      <c r="F1055" s="218" t="s">
        <v>1576</v>
      </c>
      <c r="G1055" s="218">
        <v>6</v>
      </c>
      <c r="H1055" s="218" t="s">
        <v>614</v>
      </c>
      <c r="I1055" s="218" t="str">
        <f>("1305180099")</f>
        <v>1305180099</v>
      </c>
      <c r="J1055" s="218" t="s">
        <v>159</v>
      </c>
    </row>
    <row r="1056" spans="1:10" x14ac:dyDescent="0.15">
      <c r="A1056" s="406" t="str">
        <f t="shared" si="16"/>
        <v>県央おおのＪＦＣ_11</v>
      </c>
      <c r="B1056" s="218" t="s">
        <v>1572</v>
      </c>
      <c r="C1056" s="218" t="str">
        <f>("11")</f>
        <v>11</v>
      </c>
      <c r="D1056" s="218" t="s">
        <v>623</v>
      </c>
      <c r="E1056" s="218" t="s">
        <v>8507</v>
      </c>
      <c r="F1056" s="218" t="s">
        <v>8508</v>
      </c>
      <c r="G1056" s="218">
        <v>5</v>
      </c>
      <c r="H1056" s="218" t="s">
        <v>614</v>
      </c>
      <c r="I1056" s="218" t="str">
        <f>("1409160176")</f>
        <v>1409160176</v>
      </c>
    </row>
    <row r="1057" spans="1:10" x14ac:dyDescent="0.15">
      <c r="A1057" s="406" t="str">
        <f t="shared" si="16"/>
        <v>県央おおのＪＦＣ_12</v>
      </c>
      <c r="B1057" s="218" t="s">
        <v>1572</v>
      </c>
      <c r="C1057" s="218" t="str">
        <f>("12")</f>
        <v>12</v>
      </c>
      <c r="D1057" s="218" t="s">
        <v>611</v>
      </c>
      <c r="E1057" s="218" t="s">
        <v>1582</v>
      </c>
      <c r="F1057" s="218" t="s">
        <v>1583</v>
      </c>
      <c r="G1057" s="218">
        <v>5</v>
      </c>
      <c r="H1057" s="218" t="s">
        <v>614</v>
      </c>
      <c r="I1057" s="218" t="str">
        <f>("1412080072")</f>
        <v>1412080072</v>
      </c>
    </row>
    <row r="1058" spans="1:10" x14ac:dyDescent="0.15">
      <c r="A1058" s="406" t="str">
        <f t="shared" si="16"/>
        <v>県央おおのＪＦＣ_17</v>
      </c>
      <c r="B1058" s="218" t="s">
        <v>1572</v>
      </c>
      <c r="C1058" s="218" t="str">
        <f>("17")</f>
        <v>17</v>
      </c>
      <c r="D1058" s="218" t="s">
        <v>611</v>
      </c>
      <c r="E1058" s="218" t="s">
        <v>8509</v>
      </c>
      <c r="F1058" s="218" t="s">
        <v>8510</v>
      </c>
      <c r="G1058" s="218">
        <v>3</v>
      </c>
      <c r="H1058" s="218" t="s">
        <v>614</v>
      </c>
      <c r="I1058" s="218" t="str">
        <f>("1609180020")</f>
        <v>1609180020</v>
      </c>
    </row>
    <row r="1059" spans="1:10" x14ac:dyDescent="0.15">
      <c r="A1059" s="406" t="str">
        <f t="shared" si="16"/>
        <v>ブルーウイングフットボールクラブ_1</v>
      </c>
      <c r="B1059" s="218" t="s">
        <v>1584</v>
      </c>
      <c r="C1059" s="218" t="str">
        <f>("1")</f>
        <v>1</v>
      </c>
      <c r="D1059" s="218" t="s">
        <v>624</v>
      </c>
      <c r="E1059" s="218" t="s">
        <v>8511</v>
      </c>
      <c r="F1059" s="218" t="s">
        <v>8512</v>
      </c>
      <c r="G1059" s="218">
        <v>6</v>
      </c>
      <c r="H1059" s="218" t="s">
        <v>614</v>
      </c>
      <c r="I1059" s="218" t="str">
        <f>("1307080112")</f>
        <v>1307080112</v>
      </c>
    </row>
    <row r="1060" spans="1:10" x14ac:dyDescent="0.15">
      <c r="A1060" s="406" t="str">
        <f t="shared" si="16"/>
        <v>ブルーウイングフットボールクラブ_2</v>
      </c>
      <c r="B1060" s="218" t="s">
        <v>1584</v>
      </c>
      <c r="C1060" s="218" t="str">
        <f>("2")</f>
        <v>2</v>
      </c>
      <c r="D1060" s="218" t="s">
        <v>611</v>
      </c>
      <c r="E1060" s="218" t="s">
        <v>8513</v>
      </c>
      <c r="F1060" s="218" t="s">
        <v>8514</v>
      </c>
      <c r="G1060" s="218">
        <v>6</v>
      </c>
      <c r="H1060" s="218" t="s">
        <v>614</v>
      </c>
      <c r="I1060" s="218" t="str">
        <f>("1310060145")</f>
        <v>1310060145</v>
      </c>
    </row>
    <row r="1061" spans="1:10" x14ac:dyDescent="0.15">
      <c r="A1061" s="406" t="str">
        <f t="shared" si="16"/>
        <v>ブルーウイングフットボールクラブ_3</v>
      </c>
      <c r="B1061" s="218" t="s">
        <v>1584</v>
      </c>
      <c r="C1061" s="218" t="str">
        <f>("3")</f>
        <v>3</v>
      </c>
      <c r="D1061" s="218" t="s">
        <v>611</v>
      </c>
      <c r="E1061" s="218" t="s">
        <v>8515</v>
      </c>
      <c r="F1061" s="218" t="s">
        <v>8516</v>
      </c>
      <c r="G1061" s="218">
        <v>6</v>
      </c>
      <c r="H1061" s="218" t="s">
        <v>614</v>
      </c>
      <c r="I1061" s="218" t="str">
        <f>("1308090223")</f>
        <v>1308090223</v>
      </c>
    </row>
    <row r="1062" spans="1:10" x14ac:dyDescent="0.15">
      <c r="A1062" s="406" t="str">
        <f t="shared" si="16"/>
        <v>ブルーウイングフットボールクラブ_4</v>
      </c>
      <c r="B1062" s="218" t="s">
        <v>1584</v>
      </c>
      <c r="C1062" s="218" t="str">
        <f>("4")</f>
        <v>4</v>
      </c>
      <c r="D1062" s="218" t="s">
        <v>611</v>
      </c>
      <c r="E1062" s="218" t="s">
        <v>8517</v>
      </c>
      <c r="F1062" s="218" t="s">
        <v>8518</v>
      </c>
      <c r="G1062" s="218">
        <v>6</v>
      </c>
      <c r="H1062" s="218" t="s">
        <v>614</v>
      </c>
      <c r="I1062" s="218" t="str">
        <f>("1309260231")</f>
        <v>1309260231</v>
      </c>
    </row>
    <row r="1063" spans="1:10" x14ac:dyDescent="0.15">
      <c r="A1063" s="406" t="str">
        <f t="shared" si="16"/>
        <v>ブルーウイングフットボールクラブ_5</v>
      </c>
      <c r="B1063" s="218" t="s">
        <v>1584</v>
      </c>
      <c r="C1063" s="218" t="str">
        <f>("5")</f>
        <v>5</v>
      </c>
      <c r="D1063" s="218" t="s">
        <v>623</v>
      </c>
      <c r="E1063" s="218" t="s">
        <v>8519</v>
      </c>
      <c r="F1063" s="218" t="s">
        <v>8520</v>
      </c>
      <c r="G1063" s="218">
        <v>6</v>
      </c>
      <c r="H1063" s="218" t="s">
        <v>614</v>
      </c>
      <c r="I1063" s="218" t="str">
        <f>("1304120218")</f>
        <v>1304120218</v>
      </c>
    </row>
    <row r="1064" spans="1:10" x14ac:dyDescent="0.15">
      <c r="A1064" s="406" t="str">
        <f t="shared" si="16"/>
        <v>ブルーウイングフットボールクラブ_6</v>
      </c>
      <c r="B1064" s="218" t="s">
        <v>1584</v>
      </c>
      <c r="C1064" s="218" t="str">
        <f>("6")</f>
        <v>6</v>
      </c>
      <c r="D1064" s="218" t="s">
        <v>623</v>
      </c>
      <c r="E1064" s="218" t="s">
        <v>8521</v>
      </c>
      <c r="F1064" s="218" t="s">
        <v>8522</v>
      </c>
      <c r="G1064" s="218">
        <v>5</v>
      </c>
      <c r="H1064" s="218" t="s">
        <v>614</v>
      </c>
      <c r="I1064" s="218" t="str">
        <f>("1411020142")</f>
        <v>1411020142</v>
      </c>
    </row>
    <row r="1065" spans="1:10" x14ac:dyDescent="0.15">
      <c r="A1065" s="406" t="str">
        <f t="shared" si="16"/>
        <v>ブルーウイングフットボールクラブ_7</v>
      </c>
      <c r="B1065" s="218" t="s">
        <v>1584</v>
      </c>
      <c r="C1065" s="218" t="str">
        <f>("7")</f>
        <v>7</v>
      </c>
      <c r="D1065" s="218" t="s">
        <v>611</v>
      </c>
      <c r="E1065" s="218" t="s">
        <v>8523</v>
      </c>
      <c r="F1065" s="218" t="s">
        <v>8524</v>
      </c>
      <c r="G1065" s="218">
        <v>5</v>
      </c>
      <c r="H1065" s="218" t="s">
        <v>614</v>
      </c>
      <c r="I1065" s="218" t="str">
        <f>("1404170122")</f>
        <v>1404170122</v>
      </c>
    </row>
    <row r="1066" spans="1:10" x14ac:dyDescent="0.15">
      <c r="A1066" s="406" t="str">
        <f t="shared" si="16"/>
        <v>ブルーウイングフットボールクラブ_8</v>
      </c>
      <c r="B1066" s="218" t="s">
        <v>1584</v>
      </c>
      <c r="C1066" s="218" t="str">
        <f>("8")</f>
        <v>8</v>
      </c>
      <c r="D1066" s="218" t="s">
        <v>615</v>
      </c>
      <c r="E1066" s="218" t="s">
        <v>8525</v>
      </c>
      <c r="F1066" s="218" t="s">
        <v>8526</v>
      </c>
      <c r="G1066" s="218">
        <v>6</v>
      </c>
      <c r="H1066" s="218" t="s">
        <v>614</v>
      </c>
      <c r="I1066" s="218" t="str">
        <f>("1310190148")</f>
        <v>1310190148</v>
      </c>
    </row>
    <row r="1067" spans="1:10" x14ac:dyDescent="0.15">
      <c r="A1067" s="406" t="str">
        <f t="shared" si="16"/>
        <v>ブルーウイングフットボールクラブ_9</v>
      </c>
      <c r="B1067" s="218" t="s">
        <v>1584</v>
      </c>
      <c r="C1067" s="218" t="str">
        <f>("9")</f>
        <v>9</v>
      </c>
      <c r="D1067" s="218" t="s">
        <v>623</v>
      </c>
      <c r="E1067" s="218" t="s">
        <v>8527</v>
      </c>
      <c r="F1067" s="218" t="s">
        <v>8528</v>
      </c>
      <c r="G1067" s="218">
        <v>6</v>
      </c>
      <c r="H1067" s="218" t="s">
        <v>614</v>
      </c>
      <c r="I1067" s="218" t="str">
        <f>("1305010070")</f>
        <v>1305010070</v>
      </c>
    </row>
    <row r="1068" spans="1:10" x14ac:dyDescent="0.15">
      <c r="A1068" s="406" t="str">
        <f t="shared" si="16"/>
        <v>ブルーウイングフットボールクラブ_10</v>
      </c>
      <c r="B1068" s="218" t="s">
        <v>1584</v>
      </c>
      <c r="C1068" s="218" t="str">
        <f>("10")</f>
        <v>10</v>
      </c>
      <c r="D1068" s="218" t="s">
        <v>615</v>
      </c>
      <c r="E1068" s="218" t="s">
        <v>8529</v>
      </c>
      <c r="F1068" s="218" t="s">
        <v>8530</v>
      </c>
      <c r="G1068" s="218">
        <v>6</v>
      </c>
      <c r="H1068" s="218" t="s">
        <v>614</v>
      </c>
      <c r="I1068" s="218" t="str">
        <f>("1309090176")</f>
        <v>1309090176</v>
      </c>
    </row>
    <row r="1069" spans="1:10" x14ac:dyDescent="0.15">
      <c r="A1069" s="406" t="str">
        <f t="shared" si="16"/>
        <v>ブルーウイングフットボールクラブ_11</v>
      </c>
      <c r="B1069" s="218" t="s">
        <v>1584</v>
      </c>
      <c r="C1069" s="218" t="str">
        <f>("11")</f>
        <v>11</v>
      </c>
      <c r="D1069" s="218" t="s">
        <v>623</v>
      </c>
      <c r="E1069" s="218" t="s">
        <v>8531</v>
      </c>
      <c r="F1069" s="218" t="s">
        <v>8532</v>
      </c>
      <c r="G1069" s="218">
        <v>5</v>
      </c>
      <c r="H1069" s="218" t="s">
        <v>614</v>
      </c>
      <c r="I1069" s="218" t="str">
        <f>("1409260155")</f>
        <v>1409260155</v>
      </c>
    </row>
    <row r="1070" spans="1:10" x14ac:dyDescent="0.15">
      <c r="A1070" s="406" t="str">
        <f t="shared" si="16"/>
        <v>ブルーウイングフットボールクラブ_12</v>
      </c>
      <c r="B1070" s="218" t="s">
        <v>1584</v>
      </c>
      <c r="C1070" s="218" t="str">
        <f>("12")</f>
        <v>12</v>
      </c>
      <c r="D1070" s="218" t="s">
        <v>624</v>
      </c>
      <c r="E1070" s="218" t="s">
        <v>8533</v>
      </c>
      <c r="F1070" s="218" t="s">
        <v>8534</v>
      </c>
      <c r="G1070" s="218">
        <v>5</v>
      </c>
      <c r="H1070" s="218" t="s">
        <v>614</v>
      </c>
      <c r="I1070" s="218" t="str">
        <f>("1502180175")</f>
        <v>1502180175</v>
      </c>
    </row>
    <row r="1071" spans="1:10" x14ac:dyDescent="0.15">
      <c r="A1071" s="406" t="str">
        <f t="shared" si="16"/>
        <v>ブルーウイングフットボールクラブ_13</v>
      </c>
      <c r="B1071" s="218" t="s">
        <v>1584</v>
      </c>
      <c r="C1071" s="218" t="str">
        <f>("13")</f>
        <v>13</v>
      </c>
      <c r="D1071" s="218" t="s">
        <v>611</v>
      </c>
      <c r="E1071" s="218" t="s">
        <v>8535</v>
      </c>
      <c r="F1071" s="218" t="s">
        <v>8536</v>
      </c>
      <c r="G1071" s="218">
        <v>5</v>
      </c>
      <c r="H1071" s="218" t="s">
        <v>614</v>
      </c>
      <c r="I1071" s="218" t="str">
        <f>("1406120227")</f>
        <v>1406120227</v>
      </c>
    </row>
    <row r="1072" spans="1:10" x14ac:dyDescent="0.15">
      <c r="A1072" s="406" t="str">
        <f t="shared" si="16"/>
        <v>ブルーウイングフットボールクラブ_14</v>
      </c>
      <c r="B1072" s="218" t="s">
        <v>1584</v>
      </c>
      <c r="C1072" s="218" t="str">
        <f>("14")</f>
        <v>14</v>
      </c>
      <c r="D1072" s="218" t="s">
        <v>615</v>
      </c>
      <c r="E1072" s="218" t="s">
        <v>8537</v>
      </c>
      <c r="F1072" s="218" t="s">
        <v>8538</v>
      </c>
      <c r="G1072" s="218">
        <v>6</v>
      </c>
      <c r="H1072" s="218" t="s">
        <v>614</v>
      </c>
      <c r="I1072" s="218" t="str">
        <f>("1310270081")</f>
        <v>1310270081</v>
      </c>
      <c r="J1072" s="218" t="s">
        <v>159</v>
      </c>
    </row>
    <row r="1073" spans="1:10" x14ac:dyDescent="0.15">
      <c r="A1073" s="406" t="str">
        <f t="shared" si="16"/>
        <v>ようこくバンビーレＦＣ_1</v>
      </c>
      <c r="B1073" s="218" t="s">
        <v>1609</v>
      </c>
      <c r="C1073" s="218" t="str">
        <f>("1")</f>
        <v>1</v>
      </c>
      <c r="D1073" s="218" t="s">
        <v>624</v>
      </c>
      <c r="E1073" s="218" t="s">
        <v>8539</v>
      </c>
      <c r="F1073" s="218" t="s">
        <v>8540</v>
      </c>
      <c r="G1073" s="218">
        <v>6</v>
      </c>
      <c r="H1073" s="218" t="s">
        <v>614</v>
      </c>
      <c r="I1073" s="218" t="str">
        <f>("1307160216")</f>
        <v>1307160216</v>
      </c>
      <c r="J1073" s="218" t="s">
        <v>159</v>
      </c>
    </row>
    <row r="1074" spans="1:10" x14ac:dyDescent="0.15">
      <c r="A1074" s="406" t="str">
        <f t="shared" si="16"/>
        <v>ようこくバンビーレＦＣ_2</v>
      </c>
      <c r="B1074" s="218" t="s">
        <v>1609</v>
      </c>
      <c r="C1074" s="218" t="str">
        <f>("2")</f>
        <v>2</v>
      </c>
      <c r="D1074" s="218" t="s">
        <v>615</v>
      </c>
      <c r="E1074" s="218" t="s">
        <v>1612</v>
      </c>
      <c r="F1074" s="218" t="s">
        <v>1613</v>
      </c>
      <c r="G1074" s="218">
        <v>4</v>
      </c>
      <c r="H1074" s="218" t="s">
        <v>614</v>
      </c>
      <c r="I1074" s="218" t="str">
        <f>("1602030007")</f>
        <v>1602030007</v>
      </c>
    </row>
    <row r="1075" spans="1:10" x14ac:dyDescent="0.15">
      <c r="A1075" s="406" t="str">
        <f t="shared" si="16"/>
        <v>ようこくバンビーレＦＣ_3</v>
      </c>
      <c r="B1075" s="218" t="s">
        <v>1609</v>
      </c>
      <c r="C1075" s="218" t="str">
        <f>("3")</f>
        <v>3</v>
      </c>
      <c r="D1075" s="218" t="s">
        <v>615</v>
      </c>
      <c r="E1075" s="218" t="s">
        <v>1610</v>
      </c>
      <c r="F1075" s="218" t="s">
        <v>1611</v>
      </c>
      <c r="G1075" s="218">
        <v>4</v>
      </c>
      <c r="H1075" s="218" t="s">
        <v>614</v>
      </c>
      <c r="I1075" s="218" t="str">
        <f>("1512030008")</f>
        <v>1512030008</v>
      </c>
    </row>
    <row r="1076" spans="1:10" x14ac:dyDescent="0.15">
      <c r="A1076" s="406" t="str">
        <f t="shared" si="16"/>
        <v>ようこくバンビーレＦＣ_4</v>
      </c>
      <c r="B1076" s="218" t="s">
        <v>1609</v>
      </c>
      <c r="C1076" s="218" t="str">
        <f>("4")</f>
        <v>4</v>
      </c>
      <c r="D1076" s="218" t="s">
        <v>611</v>
      </c>
      <c r="E1076" s="218" t="s">
        <v>1614</v>
      </c>
      <c r="F1076" s="218" t="s">
        <v>1615</v>
      </c>
      <c r="G1076" s="218">
        <v>6</v>
      </c>
      <c r="H1076" s="218" t="s">
        <v>614</v>
      </c>
      <c r="I1076" s="218" t="str">
        <f>("1306290103")</f>
        <v>1306290103</v>
      </c>
    </row>
    <row r="1077" spans="1:10" x14ac:dyDescent="0.15">
      <c r="A1077" s="406" t="str">
        <f t="shared" si="16"/>
        <v>ようこくバンビーレＦＣ_6</v>
      </c>
      <c r="B1077" s="218" t="s">
        <v>1609</v>
      </c>
      <c r="C1077" s="218" t="str">
        <f>("6")</f>
        <v>6</v>
      </c>
      <c r="D1077" s="218" t="s">
        <v>623</v>
      </c>
      <c r="E1077" s="218" t="s">
        <v>8541</v>
      </c>
      <c r="F1077" s="218" t="s">
        <v>8542</v>
      </c>
      <c r="G1077" s="218">
        <v>6</v>
      </c>
      <c r="H1077" s="218" t="s">
        <v>616</v>
      </c>
      <c r="I1077" s="218" t="str">
        <f>("1310300214")</f>
        <v>1310300214</v>
      </c>
    </row>
    <row r="1078" spans="1:10" x14ac:dyDescent="0.15">
      <c r="A1078" s="406" t="str">
        <f t="shared" si="16"/>
        <v>ようこくバンビーレＦＣ_7</v>
      </c>
      <c r="B1078" s="218" t="s">
        <v>1609</v>
      </c>
      <c r="C1078" s="218" t="str">
        <f>("7")</f>
        <v>7</v>
      </c>
      <c r="D1078" s="218" t="s">
        <v>615</v>
      </c>
      <c r="E1078" s="218" t="s">
        <v>8543</v>
      </c>
      <c r="F1078" s="218" t="s">
        <v>8544</v>
      </c>
      <c r="G1078" s="218">
        <v>6</v>
      </c>
      <c r="H1078" s="218" t="s">
        <v>616</v>
      </c>
      <c r="I1078" s="218" t="str">
        <f>("1305270191")</f>
        <v>1305270191</v>
      </c>
    </row>
    <row r="1079" spans="1:10" x14ac:dyDescent="0.15">
      <c r="A1079" s="406" t="str">
        <f t="shared" si="16"/>
        <v>ようこくバンビーレＦＣ_8</v>
      </c>
      <c r="B1079" s="218" t="s">
        <v>1609</v>
      </c>
      <c r="C1079" s="218" t="str">
        <f>("8")</f>
        <v>8</v>
      </c>
      <c r="D1079" s="218" t="s">
        <v>611</v>
      </c>
      <c r="E1079" s="218" t="s">
        <v>1616</v>
      </c>
      <c r="F1079" s="218" t="s">
        <v>1617</v>
      </c>
      <c r="G1079" s="218">
        <v>6</v>
      </c>
      <c r="H1079" s="218" t="s">
        <v>616</v>
      </c>
      <c r="I1079" s="218" t="str">
        <f>("1310040119")</f>
        <v>1310040119</v>
      </c>
    </row>
    <row r="1080" spans="1:10" x14ac:dyDescent="0.15">
      <c r="A1080" s="406" t="str">
        <f t="shared" si="16"/>
        <v>ようこくバンビーレＦＣ_9</v>
      </c>
      <c r="B1080" s="218" t="s">
        <v>1609</v>
      </c>
      <c r="C1080" s="218" t="str">
        <f>("9")</f>
        <v>9</v>
      </c>
      <c r="D1080" s="218" t="s">
        <v>615</v>
      </c>
      <c r="E1080" s="218" t="s">
        <v>8545</v>
      </c>
      <c r="F1080" s="218" t="s">
        <v>8546</v>
      </c>
      <c r="G1080" s="218">
        <v>6</v>
      </c>
      <c r="H1080" s="218" t="s">
        <v>614</v>
      </c>
      <c r="I1080" s="218" t="str">
        <f>("1311220199")</f>
        <v>1311220199</v>
      </c>
    </row>
    <row r="1081" spans="1:10" x14ac:dyDescent="0.15">
      <c r="A1081" s="406" t="str">
        <f t="shared" si="16"/>
        <v>ようこくバンビーレＦＣ_10</v>
      </c>
      <c r="B1081" s="218" t="s">
        <v>1609</v>
      </c>
      <c r="C1081" s="218" t="str">
        <f>("10")</f>
        <v>10</v>
      </c>
      <c r="D1081" s="218" t="s">
        <v>611</v>
      </c>
      <c r="E1081" s="218" t="s">
        <v>1684</v>
      </c>
      <c r="F1081" s="218" t="s">
        <v>1685</v>
      </c>
      <c r="G1081" s="218">
        <v>6</v>
      </c>
      <c r="H1081" s="218" t="s">
        <v>614</v>
      </c>
      <c r="I1081" s="218" t="str">
        <f>("1310070110")</f>
        <v>1310070110</v>
      </c>
    </row>
    <row r="1082" spans="1:10" x14ac:dyDescent="0.15">
      <c r="A1082" s="406" t="str">
        <f t="shared" si="16"/>
        <v>ようこくバンビーレＦＣ_11</v>
      </c>
      <c r="B1082" s="218" t="s">
        <v>1609</v>
      </c>
      <c r="C1082" s="218" t="str">
        <f>("11")</f>
        <v>11</v>
      </c>
      <c r="D1082" s="218" t="s">
        <v>623</v>
      </c>
      <c r="E1082" s="218" t="s">
        <v>8547</v>
      </c>
      <c r="F1082" s="218" t="s">
        <v>8548</v>
      </c>
      <c r="G1082" s="218">
        <v>6</v>
      </c>
      <c r="H1082" s="218" t="s">
        <v>616</v>
      </c>
      <c r="I1082" s="218" t="str">
        <f>("1310310008")</f>
        <v>1310310008</v>
      </c>
    </row>
    <row r="1083" spans="1:10" x14ac:dyDescent="0.15">
      <c r="A1083" s="406" t="str">
        <f t="shared" si="16"/>
        <v>ようこくバンビーレＦＣ_12</v>
      </c>
      <c r="B1083" s="218" t="s">
        <v>1609</v>
      </c>
      <c r="C1083" s="218" t="str">
        <f>("12")</f>
        <v>12</v>
      </c>
      <c r="D1083" s="218" t="s">
        <v>615</v>
      </c>
      <c r="E1083" s="218" t="s">
        <v>8549</v>
      </c>
      <c r="F1083" s="218" t="s">
        <v>8550</v>
      </c>
      <c r="G1083" s="218">
        <v>4</v>
      </c>
      <c r="H1083" s="218" t="s">
        <v>614</v>
      </c>
      <c r="I1083" s="218" t="str">
        <f>("1602220102")</f>
        <v>1602220102</v>
      </c>
    </row>
    <row r="1084" spans="1:10" x14ac:dyDescent="0.15">
      <c r="A1084" s="406" t="str">
        <f t="shared" si="16"/>
        <v>ようこくバンビーレＦＣ_14</v>
      </c>
      <c r="B1084" s="218" t="s">
        <v>1609</v>
      </c>
      <c r="C1084" s="218" t="str">
        <f>("14")</f>
        <v>14</v>
      </c>
      <c r="D1084" s="218" t="s">
        <v>623</v>
      </c>
      <c r="E1084" s="218" t="s">
        <v>8551</v>
      </c>
      <c r="F1084" s="218" t="s">
        <v>8552</v>
      </c>
      <c r="G1084" s="218">
        <v>3</v>
      </c>
      <c r="H1084" s="218" t="s">
        <v>614</v>
      </c>
      <c r="I1084" s="218" t="str">
        <f>("1610070019")</f>
        <v>1610070019</v>
      </c>
    </row>
    <row r="1085" spans="1:10" x14ac:dyDescent="0.15">
      <c r="A1085" s="406" t="str">
        <f t="shared" si="16"/>
        <v>ようこくバンビーレＦＣ_16</v>
      </c>
      <c r="B1085" s="218" t="s">
        <v>1609</v>
      </c>
      <c r="C1085" s="218" t="str">
        <f>("16")</f>
        <v>16</v>
      </c>
      <c r="D1085" s="218" t="s">
        <v>623</v>
      </c>
      <c r="E1085" s="218" t="s">
        <v>8553</v>
      </c>
      <c r="F1085" s="218" t="s">
        <v>8554</v>
      </c>
      <c r="G1085" s="218">
        <v>3</v>
      </c>
      <c r="H1085" s="218" t="s">
        <v>614</v>
      </c>
      <c r="I1085" s="218" t="str">
        <f>("1703120008")</f>
        <v>1703120008</v>
      </c>
    </row>
    <row r="1086" spans="1:10" x14ac:dyDescent="0.15">
      <c r="A1086" s="406" t="str">
        <f t="shared" si="16"/>
        <v>野津ＦＣ_1</v>
      </c>
      <c r="B1086" s="218" t="s">
        <v>1618</v>
      </c>
      <c r="C1086" s="218" t="str">
        <f>("1")</f>
        <v>1</v>
      </c>
      <c r="D1086" s="218" t="s">
        <v>624</v>
      </c>
      <c r="E1086" s="218" t="s">
        <v>8555</v>
      </c>
      <c r="F1086" s="218" t="s">
        <v>8556</v>
      </c>
      <c r="G1086" s="218">
        <v>5</v>
      </c>
      <c r="H1086" s="218" t="s">
        <v>614</v>
      </c>
      <c r="I1086" s="218" t="str">
        <f>("1404120162")</f>
        <v>1404120162</v>
      </c>
    </row>
    <row r="1087" spans="1:10" x14ac:dyDescent="0.15">
      <c r="A1087" s="406" t="str">
        <f t="shared" si="16"/>
        <v>野津ＦＣ_2</v>
      </c>
      <c r="B1087" s="218" t="s">
        <v>1618</v>
      </c>
      <c r="C1087" s="218" t="str">
        <f>("2")</f>
        <v>2</v>
      </c>
      <c r="D1087" s="218" t="s">
        <v>611</v>
      </c>
      <c r="E1087" s="218" t="s">
        <v>8557</v>
      </c>
      <c r="F1087" s="218" t="s">
        <v>8558</v>
      </c>
      <c r="G1087" s="218">
        <v>5</v>
      </c>
      <c r="H1087" s="218" t="s">
        <v>614</v>
      </c>
      <c r="I1087" s="218" t="str">
        <f>("1501140204")</f>
        <v>1501140204</v>
      </c>
    </row>
    <row r="1088" spans="1:10" x14ac:dyDescent="0.15">
      <c r="A1088" s="406" t="str">
        <f t="shared" si="16"/>
        <v>野津ＦＣ_4</v>
      </c>
      <c r="B1088" s="218" t="s">
        <v>1618</v>
      </c>
      <c r="C1088" s="218" t="str">
        <f>("4")</f>
        <v>4</v>
      </c>
      <c r="D1088" s="218" t="s">
        <v>611</v>
      </c>
      <c r="E1088" s="218" t="s">
        <v>8559</v>
      </c>
      <c r="F1088" s="218" t="s">
        <v>8560</v>
      </c>
      <c r="G1088" s="218">
        <v>5</v>
      </c>
      <c r="H1088" s="218" t="s">
        <v>614</v>
      </c>
      <c r="I1088" s="218" t="str">
        <f>("1503220076")</f>
        <v>1503220076</v>
      </c>
    </row>
    <row r="1089" spans="1:10" x14ac:dyDescent="0.15">
      <c r="A1089" s="406" t="str">
        <f t="shared" ref="A1089:A1152" si="17">CONCATENATE(B1089,"_",C1089)</f>
        <v>野津ＦＣ_5</v>
      </c>
      <c r="B1089" s="218" t="s">
        <v>1618</v>
      </c>
      <c r="C1089" s="218" t="str">
        <f>("5")</f>
        <v>5</v>
      </c>
      <c r="D1089" s="218" t="s">
        <v>611</v>
      </c>
      <c r="E1089" s="218" t="s">
        <v>8561</v>
      </c>
      <c r="F1089" s="218" t="s">
        <v>8562</v>
      </c>
      <c r="G1089" s="218">
        <v>5</v>
      </c>
      <c r="H1089" s="218" t="s">
        <v>614</v>
      </c>
      <c r="I1089" s="218" t="str">
        <f>("1501130126")</f>
        <v>1501130126</v>
      </c>
    </row>
    <row r="1090" spans="1:10" x14ac:dyDescent="0.15">
      <c r="A1090" s="406" t="str">
        <f t="shared" si="17"/>
        <v>野津ＦＣ_6</v>
      </c>
      <c r="B1090" s="218" t="s">
        <v>1618</v>
      </c>
      <c r="C1090" s="218" t="str">
        <f>("6")</f>
        <v>6</v>
      </c>
      <c r="D1090" s="218" t="s">
        <v>611</v>
      </c>
      <c r="E1090" s="218" t="s">
        <v>8563</v>
      </c>
      <c r="F1090" s="218" t="s">
        <v>8564</v>
      </c>
      <c r="G1090" s="218">
        <v>5</v>
      </c>
      <c r="H1090" s="218" t="s">
        <v>614</v>
      </c>
      <c r="I1090" s="218" t="str">
        <f>("1501200174")</f>
        <v>1501200174</v>
      </c>
    </row>
    <row r="1091" spans="1:10" x14ac:dyDescent="0.15">
      <c r="A1091" s="406" t="str">
        <f t="shared" si="17"/>
        <v>野津ＦＣ_7</v>
      </c>
      <c r="B1091" s="218" t="s">
        <v>1618</v>
      </c>
      <c r="C1091" s="218" t="str">
        <f>("7")</f>
        <v>7</v>
      </c>
      <c r="D1091" s="218" t="s">
        <v>615</v>
      </c>
      <c r="E1091" s="218" t="s">
        <v>8565</v>
      </c>
      <c r="F1091" s="218" t="s">
        <v>8566</v>
      </c>
      <c r="G1091" s="218">
        <v>5</v>
      </c>
      <c r="H1091" s="218" t="s">
        <v>614</v>
      </c>
      <c r="I1091" s="218" t="str">
        <f>("1408240148")</f>
        <v>1408240148</v>
      </c>
    </row>
    <row r="1092" spans="1:10" x14ac:dyDescent="0.15">
      <c r="A1092" s="406" t="str">
        <f t="shared" si="17"/>
        <v>野津ＦＣ_8</v>
      </c>
      <c r="B1092" s="218" t="s">
        <v>1618</v>
      </c>
      <c r="C1092" s="218" t="str">
        <f>("8")</f>
        <v>8</v>
      </c>
      <c r="D1092" s="218" t="s">
        <v>623</v>
      </c>
      <c r="E1092" s="218" t="s">
        <v>8567</v>
      </c>
      <c r="F1092" s="218" t="s">
        <v>8568</v>
      </c>
      <c r="G1092" s="218">
        <v>5</v>
      </c>
      <c r="H1092" s="218" t="s">
        <v>614</v>
      </c>
      <c r="I1092" s="218" t="str">
        <f>("1407170221")</f>
        <v>1407170221</v>
      </c>
    </row>
    <row r="1093" spans="1:10" x14ac:dyDescent="0.15">
      <c r="A1093" s="406" t="str">
        <f t="shared" si="17"/>
        <v>野津ＦＣ_9</v>
      </c>
      <c r="B1093" s="218" t="s">
        <v>1618</v>
      </c>
      <c r="C1093" s="218" t="str">
        <f>("9")</f>
        <v>9</v>
      </c>
      <c r="D1093" s="218" t="s">
        <v>623</v>
      </c>
      <c r="E1093" s="218" t="s">
        <v>8569</v>
      </c>
      <c r="F1093" s="218" t="s">
        <v>8570</v>
      </c>
      <c r="G1093" s="218">
        <v>5</v>
      </c>
      <c r="H1093" s="218" t="s">
        <v>616</v>
      </c>
      <c r="I1093" s="218" t="str">
        <f>("1406030232")</f>
        <v>1406030232</v>
      </c>
    </row>
    <row r="1094" spans="1:10" x14ac:dyDescent="0.15">
      <c r="A1094" s="406" t="str">
        <f t="shared" si="17"/>
        <v>野津ＦＣ_10</v>
      </c>
      <c r="B1094" s="218" t="s">
        <v>1618</v>
      </c>
      <c r="C1094" s="218" t="str">
        <f>("10")</f>
        <v>10</v>
      </c>
      <c r="D1094" s="218" t="s">
        <v>615</v>
      </c>
      <c r="E1094" s="218" t="s">
        <v>1619</v>
      </c>
      <c r="F1094" s="218" t="s">
        <v>1620</v>
      </c>
      <c r="G1094" s="218">
        <v>5</v>
      </c>
      <c r="H1094" s="218" t="s">
        <v>614</v>
      </c>
      <c r="I1094" s="218" t="str">
        <f>("1411260015")</f>
        <v>1411260015</v>
      </c>
    </row>
    <row r="1095" spans="1:10" x14ac:dyDescent="0.15">
      <c r="A1095" s="406" t="str">
        <f t="shared" si="17"/>
        <v>野津ＦＣ_12</v>
      </c>
      <c r="B1095" s="218" t="s">
        <v>1618</v>
      </c>
      <c r="C1095" s="218" t="str">
        <f>("12")</f>
        <v>12</v>
      </c>
      <c r="D1095" s="218" t="s">
        <v>615</v>
      </c>
      <c r="E1095" s="218" t="s">
        <v>8571</v>
      </c>
      <c r="F1095" s="218" t="s">
        <v>8572</v>
      </c>
      <c r="G1095" s="218">
        <v>4</v>
      </c>
      <c r="H1095" s="218" t="s">
        <v>614</v>
      </c>
      <c r="I1095" s="218" t="str">
        <f>("1507290130")</f>
        <v>1507290130</v>
      </c>
    </row>
    <row r="1096" spans="1:10" x14ac:dyDescent="0.15">
      <c r="A1096" s="406" t="str">
        <f t="shared" si="17"/>
        <v>野津ＦＣ_13</v>
      </c>
      <c r="B1096" s="218" t="s">
        <v>1618</v>
      </c>
      <c r="C1096" s="218" t="str">
        <f>("13")</f>
        <v>13</v>
      </c>
      <c r="D1096" s="218" t="s">
        <v>611</v>
      </c>
      <c r="E1096" s="218" t="s">
        <v>8573</v>
      </c>
      <c r="F1096" s="218" t="s">
        <v>8574</v>
      </c>
      <c r="G1096" s="218">
        <v>4</v>
      </c>
      <c r="H1096" s="218" t="s">
        <v>614</v>
      </c>
      <c r="I1096" s="218" t="str">
        <f>("1509080146")</f>
        <v>1509080146</v>
      </c>
    </row>
    <row r="1097" spans="1:10" x14ac:dyDescent="0.15">
      <c r="A1097" s="406" t="str">
        <f t="shared" si="17"/>
        <v>野津ＦＣ_14</v>
      </c>
      <c r="B1097" s="218" t="s">
        <v>1618</v>
      </c>
      <c r="C1097" s="218" t="str">
        <f>("14")</f>
        <v>14</v>
      </c>
      <c r="D1097" s="218" t="s">
        <v>615</v>
      </c>
      <c r="E1097" s="218" t="s">
        <v>8575</v>
      </c>
      <c r="F1097" s="218" t="s">
        <v>8576</v>
      </c>
      <c r="G1097" s="218">
        <v>4</v>
      </c>
      <c r="H1097" s="218" t="s">
        <v>614</v>
      </c>
      <c r="I1097" s="218" t="str">
        <f>("1508090102")</f>
        <v>1508090102</v>
      </c>
    </row>
    <row r="1098" spans="1:10" x14ac:dyDescent="0.15">
      <c r="A1098" s="406" t="str">
        <f t="shared" si="17"/>
        <v>野津ＦＣ_15</v>
      </c>
      <c r="B1098" s="218" t="s">
        <v>1618</v>
      </c>
      <c r="C1098" s="218" t="str">
        <f>("15")</f>
        <v>15</v>
      </c>
      <c r="D1098" s="218" t="s">
        <v>611</v>
      </c>
      <c r="E1098" s="218" t="s">
        <v>8577</v>
      </c>
      <c r="F1098" s="218" t="s">
        <v>8578</v>
      </c>
      <c r="G1098" s="218">
        <v>4</v>
      </c>
      <c r="H1098" s="218" t="s">
        <v>614</v>
      </c>
      <c r="I1098" s="218" t="str">
        <f>("1505260162")</f>
        <v>1505260162</v>
      </c>
    </row>
    <row r="1099" spans="1:10" x14ac:dyDescent="0.15">
      <c r="A1099" s="406" t="str">
        <f t="shared" si="17"/>
        <v>野津ＦＣ_20</v>
      </c>
      <c r="B1099" s="218" t="s">
        <v>1618</v>
      </c>
      <c r="C1099" s="218" t="str">
        <f>("20")</f>
        <v>20</v>
      </c>
      <c r="D1099" s="218" t="s">
        <v>624</v>
      </c>
      <c r="E1099" s="218" t="s">
        <v>1621</v>
      </c>
      <c r="F1099" s="218" t="s">
        <v>8579</v>
      </c>
      <c r="G1099" s="218">
        <v>6</v>
      </c>
      <c r="H1099" s="218" t="s">
        <v>614</v>
      </c>
      <c r="I1099" s="218" t="str">
        <f>("1306190163")</f>
        <v>1306190163</v>
      </c>
      <c r="J1099" s="218" t="s">
        <v>159</v>
      </c>
    </row>
    <row r="1100" spans="1:10" x14ac:dyDescent="0.15">
      <c r="A1100" s="406" t="str">
        <f t="shared" si="17"/>
        <v>ＦＣ　ＲＥＧＡＴＥ_1</v>
      </c>
      <c r="B1100" s="218" t="s">
        <v>1634</v>
      </c>
      <c r="C1100" s="218" t="str">
        <f>("1")</f>
        <v>1</v>
      </c>
      <c r="D1100" s="218" t="s">
        <v>624</v>
      </c>
      <c r="E1100" s="218" t="s">
        <v>8580</v>
      </c>
      <c r="F1100" s="218" t="s">
        <v>8581</v>
      </c>
      <c r="G1100" s="218">
        <v>6</v>
      </c>
      <c r="H1100" s="218" t="s">
        <v>614</v>
      </c>
      <c r="I1100" s="218" t="str">
        <f>("1309120231")</f>
        <v>1309120231</v>
      </c>
    </row>
    <row r="1101" spans="1:10" x14ac:dyDescent="0.15">
      <c r="A1101" s="406" t="str">
        <f t="shared" si="17"/>
        <v>ＦＣ　ＲＥＧＡＴＥ_2</v>
      </c>
      <c r="B1101" s="218" t="s">
        <v>1634</v>
      </c>
      <c r="C1101" s="218" t="str">
        <f>("2")</f>
        <v>2</v>
      </c>
      <c r="D1101" s="218" t="s">
        <v>611</v>
      </c>
      <c r="E1101" s="218" t="s">
        <v>8582</v>
      </c>
      <c r="F1101" s="218" t="s">
        <v>8583</v>
      </c>
      <c r="G1101" s="218">
        <v>6</v>
      </c>
      <c r="H1101" s="218" t="s">
        <v>614</v>
      </c>
      <c r="I1101" s="218" t="str">
        <f>("1309130311")</f>
        <v>1309130311</v>
      </c>
    </row>
    <row r="1102" spans="1:10" x14ac:dyDescent="0.15">
      <c r="A1102" s="406" t="str">
        <f t="shared" si="17"/>
        <v>ＦＣ　ＲＥＧＡＴＥ_3</v>
      </c>
      <c r="B1102" s="218" t="s">
        <v>1634</v>
      </c>
      <c r="C1102" s="218" t="str">
        <f>("3")</f>
        <v>3</v>
      </c>
      <c r="D1102" s="218" t="s">
        <v>611</v>
      </c>
      <c r="E1102" s="218" t="s">
        <v>8584</v>
      </c>
      <c r="F1102" s="218" t="s">
        <v>8585</v>
      </c>
      <c r="G1102" s="218">
        <v>6</v>
      </c>
      <c r="H1102" s="218" t="s">
        <v>614</v>
      </c>
      <c r="I1102" s="218" t="str">
        <f>("1402070198")</f>
        <v>1402070198</v>
      </c>
    </row>
    <row r="1103" spans="1:10" x14ac:dyDescent="0.15">
      <c r="A1103" s="406" t="str">
        <f t="shared" si="17"/>
        <v>ＦＣ　ＲＥＧＡＴＥ_4</v>
      </c>
      <c r="B1103" s="218" t="s">
        <v>1634</v>
      </c>
      <c r="C1103" s="218" t="str">
        <f>("4")</f>
        <v>4</v>
      </c>
      <c r="D1103" s="218" t="s">
        <v>611</v>
      </c>
      <c r="E1103" s="218" t="s">
        <v>8586</v>
      </c>
      <c r="F1103" s="218" t="s">
        <v>8587</v>
      </c>
      <c r="G1103" s="218">
        <v>6</v>
      </c>
      <c r="H1103" s="218" t="s">
        <v>614</v>
      </c>
      <c r="I1103" s="218" t="str">
        <f>("1309170091")</f>
        <v>1309170091</v>
      </c>
    </row>
    <row r="1104" spans="1:10" x14ac:dyDescent="0.15">
      <c r="A1104" s="406" t="str">
        <f t="shared" si="17"/>
        <v>ＦＣ　ＲＥＧＡＴＥ_5</v>
      </c>
      <c r="B1104" s="218" t="s">
        <v>1634</v>
      </c>
      <c r="C1104" s="218" t="str">
        <f>("5")</f>
        <v>5</v>
      </c>
      <c r="D1104" s="218" t="s">
        <v>615</v>
      </c>
      <c r="E1104" s="218" t="s">
        <v>8588</v>
      </c>
      <c r="F1104" s="218" t="s">
        <v>8589</v>
      </c>
      <c r="G1104" s="218">
        <v>6</v>
      </c>
      <c r="H1104" s="218" t="s">
        <v>616</v>
      </c>
      <c r="I1104" s="218" t="str">
        <f>("1403300101")</f>
        <v>1403300101</v>
      </c>
    </row>
    <row r="1105" spans="1:10" x14ac:dyDescent="0.15">
      <c r="A1105" s="406" t="str">
        <f t="shared" si="17"/>
        <v>ＦＣ　ＲＥＧＡＴＥ_6</v>
      </c>
      <c r="B1105" s="218" t="s">
        <v>1634</v>
      </c>
      <c r="C1105" s="218" t="str">
        <f>("6")</f>
        <v>6</v>
      </c>
      <c r="D1105" s="218" t="s">
        <v>615</v>
      </c>
      <c r="E1105" s="218" t="s">
        <v>8590</v>
      </c>
      <c r="F1105" s="218" t="s">
        <v>8591</v>
      </c>
      <c r="G1105" s="218">
        <v>6</v>
      </c>
      <c r="H1105" s="218" t="s">
        <v>614</v>
      </c>
      <c r="I1105" s="218" t="str">
        <f>("1306270256")</f>
        <v>1306270256</v>
      </c>
    </row>
    <row r="1106" spans="1:10" x14ac:dyDescent="0.15">
      <c r="A1106" s="406" t="str">
        <f t="shared" si="17"/>
        <v>ＦＣ　ＲＥＧＡＴＥ_7</v>
      </c>
      <c r="B1106" s="218" t="s">
        <v>1634</v>
      </c>
      <c r="C1106" s="218" t="str">
        <f>("7")</f>
        <v>7</v>
      </c>
      <c r="D1106" s="218" t="s">
        <v>615</v>
      </c>
      <c r="E1106" s="218" t="s">
        <v>8592</v>
      </c>
      <c r="F1106" s="218" t="s">
        <v>8593</v>
      </c>
      <c r="G1106" s="218">
        <v>6</v>
      </c>
      <c r="H1106" s="218" t="s">
        <v>614</v>
      </c>
      <c r="I1106" s="218" t="str">
        <f>("1312040058")</f>
        <v>1312040058</v>
      </c>
    </row>
    <row r="1107" spans="1:10" x14ac:dyDescent="0.15">
      <c r="A1107" s="406" t="str">
        <f t="shared" si="17"/>
        <v>ＦＣ　ＲＥＧＡＴＥ_8</v>
      </c>
      <c r="B1107" s="218" t="s">
        <v>1634</v>
      </c>
      <c r="C1107" s="218" t="str">
        <f>("8")</f>
        <v>8</v>
      </c>
      <c r="D1107" s="218" t="s">
        <v>611</v>
      </c>
      <c r="E1107" s="218" t="s">
        <v>8594</v>
      </c>
      <c r="F1107" s="218" t="s">
        <v>8595</v>
      </c>
      <c r="G1107" s="218">
        <v>6</v>
      </c>
      <c r="H1107" s="218" t="s">
        <v>614</v>
      </c>
      <c r="I1107" s="218" t="str">
        <f>("1310030270")</f>
        <v>1310030270</v>
      </c>
    </row>
    <row r="1108" spans="1:10" x14ac:dyDescent="0.15">
      <c r="A1108" s="406" t="str">
        <f t="shared" si="17"/>
        <v>ＦＣ　ＲＥＧＡＴＥ_9</v>
      </c>
      <c r="B1108" s="218" t="s">
        <v>1634</v>
      </c>
      <c r="C1108" s="218" t="str">
        <f>("9")</f>
        <v>9</v>
      </c>
      <c r="D1108" s="218" t="s">
        <v>615</v>
      </c>
      <c r="E1108" s="218" t="s">
        <v>8596</v>
      </c>
      <c r="F1108" s="218" t="s">
        <v>8597</v>
      </c>
      <c r="G1108" s="218">
        <v>6</v>
      </c>
      <c r="H1108" s="218" t="s">
        <v>614</v>
      </c>
      <c r="I1108" s="218" t="str">
        <f>("1304090240")</f>
        <v>1304090240</v>
      </c>
    </row>
    <row r="1109" spans="1:10" x14ac:dyDescent="0.15">
      <c r="A1109" s="406" t="str">
        <f t="shared" si="17"/>
        <v>ＦＣ　ＲＥＧＡＴＥ_10</v>
      </c>
      <c r="B1109" s="218" t="s">
        <v>1634</v>
      </c>
      <c r="C1109" s="218" t="str">
        <f>("10")</f>
        <v>10</v>
      </c>
      <c r="D1109" s="218" t="s">
        <v>615</v>
      </c>
      <c r="E1109" s="218" t="s">
        <v>8598</v>
      </c>
      <c r="F1109" s="218" t="s">
        <v>8599</v>
      </c>
      <c r="G1109" s="218">
        <v>6</v>
      </c>
      <c r="H1109" s="218" t="s">
        <v>614</v>
      </c>
      <c r="I1109" s="218" t="str">
        <f>("1312040099")</f>
        <v>1312040099</v>
      </c>
      <c r="J1109" s="218" t="s">
        <v>159</v>
      </c>
    </row>
    <row r="1110" spans="1:10" x14ac:dyDescent="0.15">
      <c r="A1110" s="406" t="str">
        <f t="shared" si="17"/>
        <v>ＦＣ　ＲＥＧＡＴＥ_11</v>
      </c>
      <c r="B1110" s="218" t="s">
        <v>1634</v>
      </c>
      <c r="C1110" s="218" t="str">
        <f>("11")</f>
        <v>11</v>
      </c>
      <c r="D1110" s="218" t="s">
        <v>623</v>
      </c>
      <c r="E1110" s="218" t="s">
        <v>8600</v>
      </c>
      <c r="F1110" s="218" t="s">
        <v>8601</v>
      </c>
      <c r="G1110" s="218">
        <v>6</v>
      </c>
      <c r="H1110" s="218" t="s">
        <v>614</v>
      </c>
      <c r="I1110" s="218" t="str">
        <f>("1306240258")</f>
        <v>1306240258</v>
      </c>
    </row>
    <row r="1111" spans="1:10" x14ac:dyDescent="0.15">
      <c r="A1111" s="406" t="str">
        <f t="shared" si="17"/>
        <v>ＦＣ　ＲＥＧＡＴＥ_12</v>
      </c>
      <c r="B1111" s="218" t="s">
        <v>1634</v>
      </c>
      <c r="C1111" s="218" t="str">
        <f>("12")</f>
        <v>12</v>
      </c>
      <c r="D1111" s="218" t="s">
        <v>623</v>
      </c>
      <c r="E1111" s="218" t="s">
        <v>8602</v>
      </c>
      <c r="F1111" s="218" t="s">
        <v>8603</v>
      </c>
      <c r="G1111" s="218">
        <v>6</v>
      </c>
      <c r="H1111" s="218" t="s">
        <v>614</v>
      </c>
      <c r="I1111" s="218" t="str">
        <f>("1403110213")</f>
        <v>1403110213</v>
      </c>
    </row>
    <row r="1112" spans="1:10" x14ac:dyDescent="0.15">
      <c r="A1112" s="406" t="str">
        <f t="shared" si="17"/>
        <v>ＦＣ　ＲＥＧＡＴＥ_13</v>
      </c>
      <c r="B1112" s="218" t="s">
        <v>1634</v>
      </c>
      <c r="C1112" s="218" t="str">
        <f>("13")</f>
        <v>13</v>
      </c>
      <c r="D1112" s="218" t="s">
        <v>611</v>
      </c>
      <c r="E1112" s="218" t="s">
        <v>8604</v>
      </c>
      <c r="F1112" s="218" t="s">
        <v>8605</v>
      </c>
      <c r="G1112" s="218">
        <v>5</v>
      </c>
      <c r="H1112" s="218" t="s">
        <v>614</v>
      </c>
      <c r="I1112" s="218" t="str">
        <f>("1410080203")</f>
        <v>1410080203</v>
      </c>
    </row>
    <row r="1113" spans="1:10" x14ac:dyDescent="0.15">
      <c r="A1113" s="406" t="str">
        <f t="shared" si="17"/>
        <v>ＦＣ　ＲＥＧＡＴＥ_14</v>
      </c>
      <c r="B1113" s="218" t="s">
        <v>1634</v>
      </c>
      <c r="C1113" s="218" t="str">
        <f>("14")</f>
        <v>14</v>
      </c>
      <c r="D1113" s="218" t="s">
        <v>611</v>
      </c>
      <c r="E1113" s="218" t="s">
        <v>8606</v>
      </c>
      <c r="F1113" s="218" t="s">
        <v>8607</v>
      </c>
      <c r="G1113" s="218">
        <v>5</v>
      </c>
      <c r="H1113" s="218" t="s">
        <v>614</v>
      </c>
      <c r="I1113" s="218" t="str">
        <f>("1404090220")</f>
        <v>1404090220</v>
      </c>
    </row>
    <row r="1114" spans="1:10" x14ac:dyDescent="0.15">
      <c r="A1114" s="406" t="str">
        <f t="shared" si="17"/>
        <v>ＦＣ　ＲＥＧＡＴＥ_15</v>
      </c>
      <c r="B1114" s="218" t="s">
        <v>1634</v>
      </c>
      <c r="C1114" s="218" t="str">
        <f>("15")</f>
        <v>15</v>
      </c>
      <c r="D1114" s="218" t="s">
        <v>623</v>
      </c>
      <c r="E1114" s="218" t="s">
        <v>8608</v>
      </c>
      <c r="F1114" s="218" t="s">
        <v>8609</v>
      </c>
      <c r="G1114" s="218">
        <v>4</v>
      </c>
      <c r="H1114" s="218" t="s">
        <v>614</v>
      </c>
      <c r="I1114" s="218" t="str">
        <f>("1511010072")</f>
        <v>1511010072</v>
      </c>
    </row>
    <row r="1115" spans="1:10" x14ac:dyDescent="0.15">
      <c r="A1115" s="406" t="str">
        <f t="shared" si="17"/>
        <v>ＦＣ　ＲＥＧＡＴＥ_20</v>
      </c>
      <c r="B1115" s="218" t="s">
        <v>1634</v>
      </c>
      <c r="C1115" s="218" t="str">
        <f>("20")</f>
        <v>20</v>
      </c>
      <c r="D1115" s="218" t="s">
        <v>624</v>
      </c>
      <c r="E1115" s="218" t="s">
        <v>8610</v>
      </c>
      <c r="F1115" s="218" t="s">
        <v>8611</v>
      </c>
      <c r="G1115" s="218">
        <v>6</v>
      </c>
      <c r="H1115" s="218" t="s">
        <v>614</v>
      </c>
      <c r="I1115" s="218" t="str">
        <f>("1401010017")</f>
        <v>1401010017</v>
      </c>
    </row>
    <row r="1116" spans="1:10" x14ac:dyDescent="0.15">
      <c r="A1116" s="406" t="str">
        <f t="shared" si="17"/>
        <v>大分トリニータタートルズ_1</v>
      </c>
      <c r="B1116" s="218" t="s">
        <v>1642</v>
      </c>
      <c r="C1116" s="218" t="str">
        <f>("1")</f>
        <v>1</v>
      </c>
      <c r="D1116" s="218" t="s">
        <v>624</v>
      </c>
      <c r="E1116" s="218" t="s">
        <v>1232</v>
      </c>
      <c r="F1116" s="218" t="s">
        <v>8612</v>
      </c>
      <c r="G1116" s="218">
        <v>6</v>
      </c>
      <c r="H1116" s="218" t="s">
        <v>614</v>
      </c>
      <c r="I1116" s="218" t="str">
        <f>("1312060083")</f>
        <v>1312060083</v>
      </c>
    </row>
    <row r="1117" spans="1:10" x14ac:dyDescent="0.15">
      <c r="A1117" s="406" t="str">
        <f t="shared" si="17"/>
        <v>大分トリニータタートルズ_2</v>
      </c>
      <c r="B1117" s="218" t="s">
        <v>1642</v>
      </c>
      <c r="C1117" s="218" t="str">
        <f>("2")</f>
        <v>2</v>
      </c>
      <c r="D1117" s="218" t="s">
        <v>611</v>
      </c>
      <c r="E1117" s="218" t="s">
        <v>8613</v>
      </c>
      <c r="F1117" s="218" t="s">
        <v>8614</v>
      </c>
      <c r="G1117" s="218">
        <v>6</v>
      </c>
      <c r="H1117" s="218" t="s">
        <v>614</v>
      </c>
      <c r="I1117" s="218" t="str">
        <f>("1307280078")</f>
        <v>1307280078</v>
      </c>
    </row>
    <row r="1118" spans="1:10" x14ac:dyDescent="0.15">
      <c r="A1118" s="406" t="str">
        <f t="shared" si="17"/>
        <v>大分トリニータタートルズ_3</v>
      </c>
      <c r="B1118" s="218" t="s">
        <v>1642</v>
      </c>
      <c r="C1118" s="218" t="str">
        <f>("3")</f>
        <v>3</v>
      </c>
      <c r="D1118" s="218" t="s">
        <v>615</v>
      </c>
      <c r="E1118" s="218" t="s">
        <v>1705</v>
      </c>
      <c r="F1118" s="218" t="s">
        <v>1706</v>
      </c>
      <c r="G1118" s="218">
        <v>6</v>
      </c>
      <c r="H1118" s="218" t="s">
        <v>614</v>
      </c>
      <c r="I1118" s="218" t="str">
        <f>("1401100007")</f>
        <v>1401100007</v>
      </c>
    </row>
    <row r="1119" spans="1:10" x14ac:dyDescent="0.15">
      <c r="A1119" s="406" t="str">
        <f t="shared" si="17"/>
        <v>大分トリニータタートルズ_4</v>
      </c>
      <c r="B1119" s="218" t="s">
        <v>1642</v>
      </c>
      <c r="C1119" s="218" t="str">
        <f>("4")</f>
        <v>4</v>
      </c>
      <c r="D1119" s="218" t="s">
        <v>611</v>
      </c>
      <c r="E1119" s="218" t="s">
        <v>8615</v>
      </c>
      <c r="F1119" s="218" t="s">
        <v>8616</v>
      </c>
      <c r="G1119" s="218">
        <v>6</v>
      </c>
      <c r="H1119" s="218" t="s">
        <v>614</v>
      </c>
      <c r="I1119" s="218" t="str">
        <f>("1307120199")</f>
        <v>1307120199</v>
      </c>
    </row>
    <row r="1120" spans="1:10" x14ac:dyDescent="0.15">
      <c r="A1120" s="406" t="str">
        <f t="shared" si="17"/>
        <v>大分トリニータタートルズ_5</v>
      </c>
      <c r="B1120" s="218" t="s">
        <v>1642</v>
      </c>
      <c r="C1120" s="218" t="str">
        <f>("5")</f>
        <v>5</v>
      </c>
      <c r="D1120" s="218" t="s">
        <v>615</v>
      </c>
      <c r="E1120" s="218" t="s">
        <v>8617</v>
      </c>
      <c r="F1120" s="218" t="s">
        <v>8618</v>
      </c>
      <c r="G1120" s="218">
        <v>6</v>
      </c>
      <c r="H1120" s="218" t="s">
        <v>614</v>
      </c>
      <c r="I1120" s="218" t="str">
        <f>("1307160108")</f>
        <v>1307160108</v>
      </c>
    </row>
    <row r="1121" spans="1:10" x14ac:dyDescent="0.15">
      <c r="A1121" s="406" t="str">
        <f t="shared" si="17"/>
        <v>大分トリニータタートルズ_6</v>
      </c>
      <c r="B1121" s="218" t="s">
        <v>1642</v>
      </c>
      <c r="C1121" s="218" t="str">
        <f>("6")</f>
        <v>6</v>
      </c>
      <c r="D1121" s="218" t="s">
        <v>615</v>
      </c>
      <c r="E1121" s="218" t="s">
        <v>8619</v>
      </c>
      <c r="F1121" s="218" t="s">
        <v>8620</v>
      </c>
      <c r="G1121" s="218">
        <v>6</v>
      </c>
      <c r="H1121" s="218" t="s">
        <v>614</v>
      </c>
      <c r="I1121" s="218" t="str">
        <f>("1310150092")</f>
        <v>1310150092</v>
      </c>
    </row>
    <row r="1122" spans="1:10" x14ac:dyDescent="0.15">
      <c r="A1122" s="406" t="str">
        <f t="shared" si="17"/>
        <v>大分トリニータタートルズ_7</v>
      </c>
      <c r="B1122" s="218" t="s">
        <v>1642</v>
      </c>
      <c r="C1122" s="218" t="str">
        <f>("7")</f>
        <v>7</v>
      </c>
      <c r="D1122" s="218" t="s">
        <v>615</v>
      </c>
      <c r="E1122" s="218" t="s">
        <v>8621</v>
      </c>
      <c r="F1122" s="218" t="s">
        <v>8622</v>
      </c>
      <c r="G1122" s="218">
        <v>6</v>
      </c>
      <c r="H1122" s="218" t="s">
        <v>614</v>
      </c>
      <c r="I1122" s="218" t="str">
        <f>("1305290083")</f>
        <v>1305290083</v>
      </c>
      <c r="J1122" s="218" t="s">
        <v>159</v>
      </c>
    </row>
    <row r="1123" spans="1:10" x14ac:dyDescent="0.15">
      <c r="A1123" s="406" t="str">
        <f t="shared" si="17"/>
        <v>大分トリニータタートルズ_8</v>
      </c>
      <c r="B1123" s="218" t="s">
        <v>1642</v>
      </c>
      <c r="C1123" s="218" t="str">
        <f>("8")</f>
        <v>8</v>
      </c>
      <c r="D1123" s="218" t="s">
        <v>615</v>
      </c>
      <c r="E1123" s="218" t="s">
        <v>8623</v>
      </c>
      <c r="F1123" s="218" t="s">
        <v>8624</v>
      </c>
      <c r="G1123" s="218">
        <v>6</v>
      </c>
      <c r="H1123" s="218" t="s">
        <v>614</v>
      </c>
      <c r="I1123" s="218" t="str">
        <f>("1309210157")</f>
        <v>1309210157</v>
      </c>
    </row>
    <row r="1124" spans="1:10" x14ac:dyDescent="0.15">
      <c r="A1124" s="406" t="str">
        <f t="shared" si="17"/>
        <v>大分トリニータタートルズ_9</v>
      </c>
      <c r="B1124" s="218" t="s">
        <v>1642</v>
      </c>
      <c r="C1124" s="218" t="str">
        <f>("9")</f>
        <v>9</v>
      </c>
      <c r="D1124" s="218" t="s">
        <v>623</v>
      </c>
      <c r="E1124" s="218" t="s">
        <v>8625</v>
      </c>
      <c r="F1124" s="218" t="s">
        <v>8626</v>
      </c>
      <c r="G1124" s="218">
        <v>6</v>
      </c>
      <c r="H1124" s="218" t="s">
        <v>614</v>
      </c>
      <c r="I1124" s="218" t="str">
        <f>("1305020126")</f>
        <v>1305020126</v>
      </c>
    </row>
    <row r="1125" spans="1:10" x14ac:dyDescent="0.15">
      <c r="A1125" s="406" t="str">
        <f t="shared" si="17"/>
        <v>大分トリニータタートルズ_10</v>
      </c>
      <c r="B1125" s="218" t="s">
        <v>1642</v>
      </c>
      <c r="C1125" s="218" t="str">
        <f>("10")</f>
        <v>10</v>
      </c>
      <c r="D1125" s="218" t="s">
        <v>611</v>
      </c>
      <c r="E1125" s="218" t="s">
        <v>8627</v>
      </c>
      <c r="F1125" s="218" t="s">
        <v>8628</v>
      </c>
      <c r="G1125" s="218">
        <v>6</v>
      </c>
      <c r="H1125" s="218" t="s">
        <v>614</v>
      </c>
      <c r="I1125" s="218" t="str">
        <f>("1305170114")</f>
        <v>1305170114</v>
      </c>
    </row>
    <row r="1126" spans="1:10" x14ac:dyDescent="0.15">
      <c r="A1126" s="406" t="str">
        <f t="shared" si="17"/>
        <v>大分トリニータタートルズ_11</v>
      </c>
      <c r="B1126" s="218" t="s">
        <v>1642</v>
      </c>
      <c r="C1126" s="218" t="str">
        <f>("11")</f>
        <v>11</v>
      </c>
      <c r="D1126" s="218" t="s">
        <v>623</v>
      </c>
      <c r="E1126" s="218" t="s">
        <v>8629</v>
      </c>
      <c r="F1126" s="218" t="s">
        <v>8630</v>
      </c>
      <c r="G1126" s="218">
        <v>6</v>
      </c>
      <c r="H1126" s="218" t="s">
        <v>614</v>
      </c>
      <c r="I1126" s="218" t="str">
        <f>("1309010058")</f>
        <v>1309010058</v>
      </c>
    </row>
    <row r="1127" spans="1:10" x14ac:dyDescent="0.15">
      <c r="A1127" s="406" t="str">
        <f t="shared" si="17"/>
        <v>大分トリニータタートルズ_12</v>
      </c>
      <c r="B1127" s="218" t="s">
        <v>1642</v>
      </c>
      <c r="C1127" s="218" t="str">
        <f>("12")</f>
        <v>12</v>
      </c>
      <c r="D1127" s="218" t="s">
        <v>615</v>
      </c>
      <c r="E1127" s="218" t="s">
        <v>8631</v>
      </c>
      <c r="F1127" s="218" t="s">
        <v>8632</v>
      </c>
      <c r="G1127" s="218">
        <v>6</v>
      </c>
      <c r="H1127" s="218" t="s">
        <v>614</v>
      </c>
      <c r="I1127" s="218" t="str">
        <f>("1403190195")</f>
        <v>1403190195</v>
      </c>
    </row>
    <row r="1128" spans="1:10" x14ac:dyDescent="0.15">
      <c r="A1128" s="406" t="str">
        <f t="shared" si="17"/>
        <v>大分トリニータタートルズ_13</v>
      </c>
      <c r="B1128" s="218" t="s">
        <v>1642</v>
      </c>
      <c r="C1128" s="218" t="str">
        <f>("13")</f>
        <v>13</v>
      </c>
      <c r="D1128" s="218" t="s">
        <v>623</v>
      </c>
      <c r="E1128" s="218" t="s">
        <v>8633</v>
      </c>
      <c r="F1128" s="218" t="s">
        <v>8634</v>
      </c>
      <c r="G1128" s="218">
        <v>6</v>
      </c>
      <c r="H1128" s="218" t="s">
        <v>614</v>
      </c>
      <c r="I1128" s="218" t="str">
        <f>("1306170083")</f>
        <v>1306170083</v>
      </c>
    </row>
    <row r="1129" spans="1:10" x14ac:dyDescent="0.15">
      <c r="A1129" s="406" t="str">
        <f t="shared" si="17"/>
        <v>大分トリニータタートルズ_14</v>
      </c>
      <c r="B1129" s="218" t="s">
        <v>1642</v>
      </c>
      <c r="C1129" s="218" t="str">
        <f>("14")</f>
        <v>14</v>
      </c>
      <c r="D1129" s="218" t="s">
        <v>615</v>
      </c>
      <c r="E1129" s="218" t="s">
        <v>1562</v>
      </c>
      <c r="F1129" s="218" t="s">
        <v>1563</v>
      </c>
      <c r="G1129" s="218">
        <v>6</v>
      </c>
      <c r="H1129" s="218" t="s">
        <v>614</v>
      </c>
      <c r="I1129" s="218" t="str">
        <f>("1304020224")</f>
        <v>1304020224</v>
      </c>
    </row>
    <row r="1130" spans="1:10" x14ac:dyDescent="0.15">
      <c r="A1130" s="406" t="str">
        <f t="shared" si="17"/>
        <v>大分トリニータタートルズキング_1</v>
      </c>
      <c r="B1130" s="218" t="s">
        <v>8635</v>
      </c>
      <c r="C1130" s="218" t="str">
        <f>("1")</f>
        <v>1</v>
      </c>
      <c r="D1130" s="218" t="s">
        <v>624</v>
      </c>
      <c r="E1130" s="218" t="s">
        <v>8636</v>
      </c>
      <c r="F1130" s="218" t="s">
        <v>8637</v>
      </c>
      <c r="G1130" s="218">
        <v>5</v>
      </c>
      <c r="H1130" s="218" t="s">
        <v>614</v>
      </c>
      <c r="I1130" s="218" t="str">
        <f>("1405290117")</f>
        <v>1405290117</v>
      </c>
    </row>
    <row r="1131" spans="1:10" x14ac:dyDescent="0.15">
      <c r="A1131" s="406" t="str">
        <f t="shared" si="17"/>
        <v>大分トリニータタートルズキング_2</v>
      </c>
      <c r="B1131" s="218" t="s">
        <v>8635</v>
      </c>
      <c r="C1131" s="218" t="str">
        <f>("2")</f>
        <v>2</v>
      </c>
      <c r="D1131" s="218" t="s">
        <v>611</v>
      </c>
      <c r="E1131" s="218" t="s">
        <v>8638</v>
      </c>
      <c r="F1131" s="218" t="s">
        <v>8639</v>
      </c>
      <c r="G1131" s="218">
        <v>6</v>
      </c>
      <c r="H1131" s="218" t="s">
        <v>614</v>
      </c>
      <c r="I1131" s="218" t="str">
        <f>("1305220102")</f>
        <v>1305220102</v>
      </c>
    </row>
    <row r="1132" spans="1:10" x14ac:dyDescent="0.15">
      <c r="A1132" s="406" t="str">
        <f t="shared" si="17"/>
        <v>大分トリニータタートルズキング_3</v>
      </c>
      <c r="B1132" s="218" t="s">
        <v>8635</v>
      </c>
      <c r="C1132" s="218" t="str">
        <f>("3")</f>
        <v>3</v>
      </c>
      <c r="D1132" s="218" t="s">
        <v>611</v>
      </c>
      <c r="E1132" s="218" t="s">
        <v>8640</v>
      </c>
      <c r="F1132" s="218" t="s">
        <v>8641</v>
      </c>
      <c r="G1132" s="218">
        <v>6</v>
      </c>
      <c r="H1132" s="218" t="s">
        <v>614</v>
      </c>
      <c r="I1132" s="218" t="str">
        <f>("1305220261")</f>
        <v>1305220261</v>
      </c>
    </row>
    <row r="1133" spans="1:10" x14ac:dyDescent="0.15">
      <c r="A1133" s="406" t="str">
        <f t="shared" si="17"/>
        <v>大分トリニータタートルズキング_4</v>
      </c>
      <c r="B1133" s="218" t="s">
        <v>8635</v>
      </c>
      <c r="C1133" s="218" t="str">
        <f>("4")</f>
        <v>4</v>
      </c>
      <c r="D1133" s="218" t="s">
        <v>611</v>
      </c>
      <c r="E1133" s="218" t="s">
        <v>1094</v>
      </c>
      <c r="F1133" s="218" t="s">
        <v>1095</v>
      </c>
      <c r="G1133" s="218">
        <v>6</v>
      </c>
      <c r="H1133" s="218" t="s">
        <v>614</v>
      </c>
      <c r="I1133" s="218" t="str">
        <f>("1308120051")</f>
        <v>1308120051</v>
      </c>
    </row>
    <row r="1134" spans="1:10" x14ac:dyDescent="0.15">
      <c r="A1134" s="406" t="str">
        <f t="shared" si="17"/>
        <v>大分トリニータタートルズキング_5</v>
      </c>
      <c r="B1134" s="218" t="s">
        <v>8635</v>
      </c>
      <c r="C1134" s="218" t="str">
        <f>("5")</f>
        <v>5</v>
      </c>
      <c r="D1134" s="218" t="s">
        <v>611</v>
      </c>
      <c r="E1134" s="218" t="s">
        <v>8642</v>
      </c>
      <c r="F1134" s="218" t="s">
        <v>8643</v>
      </c>
      <c r="G1134" s="218">
        <v>6</v>
      </c>
      <c r="H1134" s="218" t="s">
        <v>614</v>
      </c>
      <c r="I1134" s="218" t="str">
        <f>("1308080092")</f>
        <v>1308080092</v>
      </c>
    </row>
    <row r="1135" spans="1:10" x14ac:dyDescent="0.15">
      <c r="A1135" s="406" t="str">
        <f t="shared" si="17"/>
        <v>大分トリニータタートルズキング_6</v>
      </c>
      <c r="B1135" s="218" t="s">
        <v>8635</v>
      </c>
      <c r="C1135" s="218" t="str">
        <f>("6")</f>
        <v>6</v>
      </c>
      <c r="D1135" s="218" t="s">
        <v>623</v>
      </c>
      <c r="E1135" s="218" t="s">
        <v>8644</v>
      </c>
      <c r="F1135" s="218" t="s">
        <v>8645</v>
      </c>
      <c r="G1135" s="218">
        <v>6</v>
      </c>
      <c r="H1135" s="218" t="s">
        <v>614</v>
      </c>
      <c r="I1135" s="218" t="str">
        <f>("1406040182")</f>
        <v>1406040182</v>
      </c>
    </row>
    <row r="1136" spans="1:10" x14ac:dyDescent="0.15">
      <c r="A1136" s="406" t="str">
        <f t="shared" si="17"/>
        <v>大分トリニータタートルズキング_7</v>
      </c>
      <c r="B1136" s="218" t="s">
        <v>8635</v>
      </c>
      <c r="C1136" s="218" t="str">
        <f>("7")</f>
        <v>7</v>
      </c>
      <c r="D1136" s="218" t="s">
        <v>615</v>
      </c>
      <c r="E1136" s="218" t="s">
        <v>8646</v>
      </c>
      <c r="F1136" s="218" t="s">
        <v>8647</v>
      </c>
      <c r="G1136" s="218">
        <v>6</v>
      </c>
      <c r="H1136" s="218" t="s">
        <v>616</v>
      </c>
      <c r="I1136" s="218" t="str">
        <f>("1404050163")</f>
        <v>1404050163</v>
      </c>
    </row>
    <row r="1137" spans="1:10" x14ac:dyDescent="0.15">
      <c r="A1137" s="406" t="str">
        <f t="shared" si="17"/>
        <v>大分トリニータタートルズキング_8</v>
      </c>
      <c r="B1137" s="218" t="s">
        <v>8635</v>
      </c>
      <c r="C1137" s="218" t="str">
        <f>("8")</f>
        <v>8</v>
      </c>
      <c r="D1137" s="218" t="s">
        <v>615</v>
      </c>
      <c r="E1137" s="218" t="s">
        <v>8648</v>
      </c>
      <c r="F1137" s="218" t="s">
        <v>8649</v>
      </c>
      <c r="G1137" s="218">
        <v>6</v>
      </c>
      <c r="H1137" s="218" t="s">
        <v>614</v>
      </c>
      <c r="I1137" s="218" t="str">
        <f>("1310120032")</f>
        <v>1310120032</v>
      </c>
    </row>
    <row r="1138" spans="1:10" x14ac:dyDescent="0.15">
      <c r="A1138" s="406" t="str">
        <f t="shared" si="17"/>
        <v>大分トリニータタートルズキング_9</v>
      </c>
      <c r="B1138" s="218" t="s">
        <v>8635</v>
      </c>
      <c r="C1138" s="218" t="str">
        <f>("9")</f>
        <v>9</v>
      </c>
      <c r="D1138" s="218" t="s">
        <v>623</v>
      </c>
      <c r="E1138" s="218" t="s">
        <v>8650</v>
      </c>
      <c r="F1138" s="218" t="s">
        <v>8651</v>
      </c>
      <c r="G1138" s="218">
        <v>6</v>
      </c>
      <c r="H1138" s="218" t="s">
        <v>614</v>
      </c>
      <c r="I1138" s="218" t="str">
        <f>("1310030167")</f>
        <v>1310030167</v>
      </c>
    </row>
    <row r="1139" spans="1:10" x14ac:dyDescent="0.15">
      <c r="A1139" s="406" t="str">
        <f t="shared" si="17"/>
        <v>大分トリニータタートルズキング_10</v>
      </c>
      <c r="B1139" s="218" t="s">
        <v>8635</v>
      </c>
      <c r="C1139" s="218" t="str">
        <f>("10")</f>
        <v>10</v>
      </c>
      <c r="D1139" s="218" t="s">
        <v>615</v>
      </c>
      <c r="E1139" s="218" t="s">
        <v>8652</v>
      </c>
      <c r="F1139" s="218" t="s">
        <v>8653</v>
      </c>
      <c r="G1139" s="218">
        <v>6</v>
      </c>
      <c r="H1139" s="218" t="s">
        <v>614</v>
      </c>
      <c r="I1139" s="218" t="str">
        <f>("1311250091")</f>
        <v>1311250091</v>
      </c>
      <c r="J1139" s="218" t="s">
        <v>159</v>
      </c>
    </row>
    <row r="1140" spans="1:10" x14ac:dyDescent="0.15">
      <c r="A1140" s="406" t="str">
        <f t="shared" si="17"/>
        <v>大分トリニータタートルズキング_11</v>
      </c>
      <c r="B1140" s="218" t="s">
        <v>8635</v>
      </c>
      <c r="C1140" s="218" t="str">
        <f>("11")</f>
        <v>11</v>
      </c>
      <c r="D1140" s="218" t="s">
        <v>623</v>
      </c>
      <c r="E1140" s="218" t="s">
        <v>8654</v>
      </c>
      <c r="F1140" s="218" t="s">
        <v>8655</v>
      </c>
      <c r="G1140" s="218">
        <v>6</v>
      </c>
      <c r="H1140" s="218" t="s">
        <v>614</v>
      </c>
      <c r="I1140" s="218" t="str">
        <f>("1308070106")</f>
        <v>1308070106</v>
      </c>
    </row>
    <row r="1141" spans="1:10" x14ac:dyDescent="0.15">
      <c r="A1141" s="406" t="str">
        <f t="shared" si="17"/>
        <v>大分トリニータタートルズキング_12</v>
      </c>
      <c r="B1141" s="218" t="s">
        <v>8635</v>
      </c>
      <c r="C1141" s="218" t="str">
        <f>("12")</f>
        <v>12</v>
      </c>
      <c r="D1141" s="218" t="s">
        <v>615</v>
      </c>
      <c r="E1141" s="218" t="s">
        <v>8656</v>
      </c>
      <c r="F1141" s="218" t="s">
        <v>8657</v>
      </c>
      <c r="G1141" s="218">
        <v>5</v>
      </c>
      <c r="H1141" s="218" t="s">
        <v>614</v>
      </c>
      <c r="I1141" s="218" t="str">
        <f>("1406200108")</f>
        <v>1406200108</v>
      </c>
    </row>
    <row r="1142" spans="1:10" x14ac:dyDescent="0.15">
      <c r="A1142" s="406" t="str">
        <f t="shared" si="17"/>
        <v>大分トリニータタートルズキング_13</v>
      </c>
      <c r="B1142" s="218" t="s">
        <v>8635</v>
      </c>
      <c r="C1142" s="218" t="str">
        <f>("13")</f>
        <v>13</v>
      </c>
      <c r="D1142" s="218" t="s">
        <v>615</v>
      </c>
      <c r="E1142" s="218" t="s">
        <v>8658</v>
      </c>
      <c r="F1142" s="218" t="s">
        <v>8659</v>
      </c>
      <c r="G1142" s="218">
        <v>5</v>
      </c>
      <c r="H1142" s="218" t="s">
        <v>614</v>
      </c>
      <c r="I1142" s="218" t="str">
        <f>("1307280173")</f>
        <v>1307280173</v>
      </c>
    </row>
    <row r="1143" spans="1:10" x14ac:dyDescent="0.15">
      <c r="A1143" s="406" t="str">
        <f t="shared" si="17"/>
        <v>大分トリニータタートルズキング_14</v>
      </c>
      <c r="B1143" s="218" t="s">
        <v>8635</v>
      </c>
      <c r="C1143" s="218" t="str">
        <f>("14")</f>
        <v>14</v>
      </c>
      <c r="D1143" s="218" t="s">
        <v>611</v>
      </c>
      <c r="E1143" s="218" t="s">
        <v>8660</v>
      </c>
      <c r="F1143" s="218" t="s">
        <v>8661</v>
      </c>
      <c r="G1143" s="218">
        <v>5</v>
      </c>
      <c r="H1143" s="218" t="s">
        <v>614</v>
      </c>
      <c r="I1143" s="218" t="str">
        <f>("1409040099")</f>
        <v>1409040099</v>
      </c>
    </row>
    <row r="1144" spans="1:10" x14ac:dyDescent="0.15">
      <c r="A1144" s="406" t="str">
        <f t="shared" si="17"/>
        <v>鶴崎ＳＳＳ_1</v>
      </c>
      <c r="B1144" s="218" t="s">
        <v>8662</v>
      </c>
      <c r="C1144" s="218" t="str">
        <f>("1")</f>
        <v>1</v>
      </c>
      <c r="D1144" s="218" t="s">
        <v>624</v>
      </c>
      <c r="E1144" s="218" t="s">
        <v>8663</v>
      </c>
      <c r="F1144" s="218" t="s">
        <v>8664</v>
      </c>
      <c r="G1144" s="218">
        <v>5</v>
      </c>
      <c r="H1144" s="218" t="s">
        <v>614</v>
      </c>
      <c r="I1144" s="218" t="str">
        <f>("1411030105")</f>
        <v>1411030105</v>
      </c>
    </row>
    <row r="1145" spans="1:10" x14ac:dyDescent="0.15">
      <c r="A1145" s="406" t="str">
        <f t="shared" si="17"/>
        <v>鶴崎ＳＳＳ_2</v>
      </c>
      <c r="B1145" s="218" t="s">
        <v>8662</v>
      </c>
      <c r="C1145" s="218" t="str">
        <f>("2")</f>
        <v>2</v>
      </c>
      <c r="D1145" s="218" t="s">
        <v>623</v>
      </c>
      <c r="E1145" s="218" t="s">
        <v>8665</v>
      </c>
      <c r="F1145" s="218" t="s">
        <v>8666</v>
      </c>
      <c r="G1145" s="218">
        <v>6</v>
      </c>
      <c r="H1145" s="218" t="s">
        <v>614</v>
      </c>
      <c r="I1145" s="218" t="str">
        <f>("1311200022")</f>
        <v>1311200022</v>
      </c>
    </row>
    <row r="1146" spans="1:10" x14ac:dyDescent="0.15">
      <c r="A1146" s="406" t="str">
        <f t="shared" si="17"/>
        <v>鶴崎ＳＳＳ_3</v>
      </c>
      <c r="B1146" s="218" t="s">
        <v>8662</v>
      </c>
      <c r="C1146" s="218" t="str">
        <f>("3")</f>
        <v>3</v>
      </c>
      <c r="D1146" s="218" t="s">
        <v>623</v>
      </c>
      <c r="E1146" s="218" t="s">
        <v>8667</v>
      </c>
      <c r="F1146" s="218" t="s">
        <v>8668</v>
      </c>
      <c r="G1146" s="218">
        <v>6</v>
      </c>
      <c r="H1146" s="218" t="s">
        <v>614</v>
      </c>
      <c r="I1146" s="218" t="str">
        <f>("1305230120")</f>
        <v>1305230120</v>
      </c>
    </row>
    <row r="1147" spans="1:10" x14ac:dyDescent="0.15">
      <c r="A1147" s="406" t="str">
        <f t="shared" si="17"/>
        <v>鶴崎ＳＳＳ_4</v>
      </c>
      <c r="B1147" s="218" t="s">
        <v>8662</v>
      </c>
      <c r="C1147" s="218" t="str">
        <f>("4")</f>
        <v>4</v>
      </c>
      <c r="D1147" s="218" t="s">
        <v>611</v>
      </c>
      <c r="E1147" s="218" t="s">
        <v>8669</v>
      </c>
      <c r="F1147" s="218" t="s">
        <v>8670</v>
      </c>
      <c r="G1147" s="218">
        <v>6</v>
      </c>
      <c r="H1147" s="218" t="s">
        <v>614</v>
      </c>
      <c r="I1147" s="218" t="str">
        <f>("1308200010")</f>
        <v>1308200010</v>
      </c>
    </row>
    <row r="1148" spans="1:10" x14ac:dyDescent="0.15">
      <c r="A1148" s="406" t="str">
        <f t="shared" si="17"/>
        <v>鶴崎ＳＳＳ_5</v>
      </c>
      <c r="B1148" s="218" t="s">
        <v>8662</v>
      </c>
      <c r="C1148" s="218" t="str">
        <f>("5")</f>
        <v>5</v>
      </c>
      <c r="D1148" s="218" t="s">
        <v>611</v>
      </c>
      <c r="E1148" s="218" t="s">
        <v>8671</v>
      </c>
      <c r="F1148" s="218" t="s">
        <v>8672</v>
      </c>
      <c r="G1148" s="218">
        <v>6</v>
      </c>
      <c r="H1148" s="218" t="s">
        <v>614</v>
      </c>
      <c r="I1148" s="218" t="str">
        <f>("1305040006")</f>
        <v>1305040006</v>
      </c>
    </row>
    <row r="1149" spans="1:10" x14ac:dyDescent="0.15">
      <c r="A1149" s="406" t="str">
        <f t="shared" si="17"/>
        <v>鶴崎ＳＳＳ_6</v>
      </c>
      <c r="B1149" s="218" t="s">
        <v>8662</v>
      </c>
      <c r="C1149" s="218" t="str">
        <f>("6")</f>
        <v>6</v>
      </c>
      <c r="D1149" s="218" t="s">
        <v>611</v>
      </c>
      <c r="E1149" s="218" t="s">
        <v>8673</v>
      </c>
      <c r="F1149" s="218" t="s">
        <v>8674</v>
      </c>
      <c r="G1149" s="218">
        <v>6</v>
      </c>
      <c r="H1149" s="218" t="s">
        <v>616</v>
      </c>
      <c r="I1149" s="218" t="str">
        <f>("1305270024")</f>
        <v>1305270024</v>
      </c>
    </row>
    <row r="1150" spans="1:10" x14ac:dyDescent="0.15">
      <c r="A1150" s="406" t="str">
        <f t="shared" si="17"/>
        <v>鶴崎ＳＳＳ_7</v>
      </c>
      <c r="B1150" s="218" t="s">
        <v>8662</v>
      </c>
      <c r="C1150" s="218" t="str">
        <f>("7")</f>
        <v>7</v>
      </c>
      <c r="D1150" s="218" t="s">
        <v>615</v>
      </c>
      <c r="E1150" s="218" t="s">
        <v>8675</v>
      </c>
      <c r="F1150" s="218" t="s">
        <v>8676</v>
      </c>
      <c r="G1150" s="218">
        <v>6</v>
      </c>
      <c r="H1150" s="218" t="s">
        <v>614</v>
      </c>
      <c r="I1150" s="218" t="str">
        <f>("1305230007")</f>
        <v>1305230007</v>
      </c>
      <c r="J1150" s="218" t="s">
        <v>159</v>
      </c>
    </row>
    <row r="1151" spans="1:10" x14ac:dyDescent="0.15">
      <c r="A1151" s="406" t="str">
        <f t="shared" si="17"/>
        <v>鶴崎ＳＳＳ_8</v>
      </c>
      <c r="B1151" s="218" t="s">
        <v>8662</v>
      </c>
      <c r="C1151" s="218" t="str">
        <f>("8")</f>
        <v>8</v>
      </c>
      <c r="D1151" s="218" t="s">
        <v>623</v>
      </c>
      <c r="E1151" s="218" t="s">
        <v>8677</v>
      </c>
      <c r="F1151" s="218" t="s">
        <v>8678</v>
      </c>
      <c r="G1151" s="218">
        <v>6</v>
      </c>
      <c r="H1151" s="218" t="s">
        <v>614</v>
      </c>
      <c r="I1151" s="218" t="str">
        <f>("1306080078")</f>
        <v>1306080078</v>
      </c>
    </row>
    <row r="1152" spans="1:10" x14ac:dyDescent="0.15">
      <c r="A1152" s="406" t="str">
        <f t="shared" si="17"/>
        <v>鶴崎ＳＳＳ_9</v>
      </c>
      <c r="B1152" s="218" t="s">
        <v>8662</v>
      </c>
      <c r="C1152" s="218" t="str">
        <f>("9")</f>
        <v>9</v>
      </c>
      <c r="D1152" s="218" t="s">
        <v>623</v>
      </c>
      <c r="E1152" s="218" t="s">
        <v>11839</v>
      </c>
      <c r="F1152" s="218" t="s">
        <v>11840</v>
      </c>
      <c r="G1152" s="218">
        <v>2</v>
      </c>
      <c r="H1152" s="218" t="s">
        <v>614</v>
      </c>
      <c r="I1152" s="218" t="str">
        <f>("1708090017")</f>
        <v>1708090017</v>
      </c>
    </row>
    <row r="1153" spans="1:10" x14ac:dyDescent="0.15">
      <c r="A1153" s="406" t="str">
        <f t="shared" ref="A1153:A1216" si="18">CONCATENATE(B1153,"_",C1153)</f>
        <v>鶴崎ＳＳＳ_10</v>
      </c>
      <c r="B1153" s="218" t="s">
        <v>8662</v>
      </c>
      <c r="C1153" s="218" t="str">
        <f>("10")</f>
        <v>10</v>
      </c>
      <c r="D1153" s="218" t="s">
        <v>615</v>
      </c>
      <c r="E1153" s="218" t="s">
        <v>8679</v>
      </c>
      <c r="F1153" s="218" t="s">
        <v>8680</v>
      </c>
      <c r="G1153" s="218">
        <v>6</v>
      </c>
      <c r="H1153" s="218" t="s">
        <v>614</v>
      </c>
      <c r="I1153" s="218" t="str">
        <f>("1307200011")</f>
        <v>1307200011</v>
      </c>
    </row>
    <row r="1154" spans="1:10" x14ac:dyDescent="0.15">
      <c r="A1154" s="406" t="str">
        <f t="shared" si="18"/>
        <v>鶴崎ＳＳＳ_11</v>
      </c>
      <c r="B1154" s="218" t="s">
        <v>8662</v>
      </c>
      <c r="C1154" s="218" t="str">
        <f>("11")</f>
        <v>11</v>
      </c>
      <c r="D1154" s="218" t="s">
        <v>623</v>
      </c>
      <c r="E1154" s="218" t="s">
        <v>8681</v>
      </c>
      <c r="F1154" s="218" t="s">
        <v>8682</v>
      </c>
      <c r="G1154" s="218">
        <v>5</v>
      </c>
      <c r="H1154" s="218" t="s">
        <v>614</v>
      </c>
      <c r="I1154" s="218" t="str">
        <f>("1501140236")</f>
        <v>1501140236</v>
      </c>
    </row>
    <row r="1155" spans="1:10" x14ac:dyDescent="0.15">
      <c r="A1155" s="406" t="str">
        <f t="shared" si="18"/>
        <v>鶴崎ＳＳＳ_12</v>
      </c>
      <c r="B1155" s="218" t="s">
        <v>8662</v>
      </c>
      <c r="C1155" s="218" t="str">
        <f>("12")</f>
        <v>12</v>
      </c>
      <c r="D1155" s="218" t="s">
        <v>611</v>
      </c>
      <c r="E1155" s="218" t="s">
        <v>8683</v>
      </c>
      <c r="F1155" s="218" t="s">
        <v>8684</v>
      </c>
      <c r="G1155" s="218">
        <v>5</v>
      </c>
      <c r="H1155" s="218" t="s">
        <v>614</v>
      </c>
      <c r="I1155" s="218" t="str">
        <f>("1408220010")</f>
        <v>1408220010</v>
      </c>
    </row>
    <row r="1156" spans="1:10" x14ac:dyDescent="0.15">
      <c r="A1156" s="406" t="str">
        <f t="shared" si="18"/>
        <v>鶴崎ＳＳＳ_13</v>
      </c>
      <c r="B1156" s="218" t="s">
        <v>8662</v>
      </c>
      <c r="C1156" s="218" t="str">
        <f>("13")</f>
        <v>13</v>
      </c>
      <c r="D1156" s="218" t="s">
        <v>615</v>
      </c>
      <c r="E1156" s="218" t="s">
        <v>8685</v>
      </c>
      <c r="F1156" s="218" t="s">
        <v>8686</v>
      </c>
      <c r="G1156" s="218">
        <v>5</v>
      </c>
      <c r="H1156" s="218" t="s">
        <v>614</v>
      </c>
      <c r="I1156" s="218" t="str">
        <f>("1410130007")</f>
        <v>1410130007</v>
      </c>
    </row>
    <row r="1157" spans="1:10" x14ac:dyDescent="0.15">
      <c r="A1157" s="406" t="str">
        <f t="shared" si="18"/>
        <v>鶴崎ＳＳＳ_14</v>
      </c>
      <c r="B1157" s="218" t="s">
        <v>8662</v>
      </c>
      <c r="C1157" s="218" t="str">
        <f>("14")</f>
        <v>14</v>
      </c>
      <c r="D1157" s="218" t="s">
        <v>623</v>
      </c>
      <c r="E1157" s="218" t="s">
        <v>8687</v>
      </c>
      <c r="F1157" s="218" t="s">
        <v>8688</v>
      </c>
      <c r="G1157" s="218">
        <v>3</v>
      </c>
      <c r="H1157" s="218" t="s">
        <v>614</v>
      </c>
      <c r="I1157" s="218" t="str">
        <f>("1611020015")</f>
        <v>1611020015</v>
      </c>
    </row>
    <row r="1158" spans="1:10" x14ac:dyDescent="0.15">
      <c r="A1158" s="406" t="str">
        <f t="shared" si="18"/>
        <v>鶴崎ＳＳＳ_16</v>
      </c>
      <c r="B1158" s="218" t="s">
        <v>8662</v>
      </c>
      <c r="C1158" s="218" t="str">
        <f>("16")</f>
        <v>16</v>
      </c>
      <c r="D1158" s="218" t="s">
        <v>624</v>
      </c>
      <c r="E1158" s="218" t="s">
        <v>8689</v>
      </c>
      <c r="F1158" s="218" t="s">
        <v>8690</v>
      </c>
      <c r="G1158" s="218">
        <v>5</v>
      </c>
      <c r="H1158" s="218" t="s">
        <v>614</v>
      </c>
      <c r="I1158" s="218" t="str">
        <f>("1412310007")</f>
        <v>1412310007</v>
      </c>
    </row>
    <row r="1159" spans="1:10" x14ac:dyDescent="0.15">
      <c r="A1159" s="406" t="str">
        <f t="shared" si="18"/>
        <v>ティエラフットボールクラブＵ－１２_1</v>
      </c>
      <c r="B1159" s="218" t="s">
        <v>1660</v>
      </c>
      <c r="C1159" s="218" t="str">
        <f>("1")</f>
        <v>1</v>
      </c>
      <c r="D1159" s="218" t="s">
        <v>624</v>
      </c>
      <c r="E1159" s="218" t="s">
        <v>1673</v>
      </c>
      <c r="F1159" s="218" t="s">
        <v>1674</v>
      </c>
      <c r="G1159" s="218">
        <v>6</v>
      </c>
      <c r="H1159" s="218" t="s">
        <v>614</v>
      </c>
      <c r="I1159" s="218" t="str">
        <f>("1307180143")</f>
        <v>1307180143</v>
      </c>
    </row>
    <row r="1160" spans="1:10" x14ac:dyDescent="0.15">
      <c r="A1160" s="406" t="str">
        <f t="shared" si="18"/>
        <v>ティエラフットボールクラブＵ－１２_2</v>
      </c>
      <c r="B1160" s="218" t="s">
        <v>1660</v>
      </c>
      <c r="C1160" s="218" t="str">
        <f>("2")</f>
        <v>2</v>
      </c>
      <c r="D1160" s="218" t="s">
        <v>611</v>
      </c>
      <c r="E1160" s="218" t="s">
        <v>1665</v>
      </c>
      <c r="F1160" s="218" t="s">
        <v>1666</v>
      </c>
      <c r="G1160" s="218">
        <v>6</v>
      </c>
      <c r="H1160" s="218" t="s">
        <v>614</v>
      </c>
      <c r="I1160" s="218" t="str">
        <f>("1506160036")</f>
        <v>1506160036</v>
      </c>
    </row>
    <row r="1161" spans="1:10" x14ac:dyDescent="0.15">
      <c r="A1161" s="406" t="str">
        <f t="shared" si="18"/>
        <v>ティエラフットボールクラブＵ－１２_3</v>
      </c>
      <c r="B1161" s="218" t="s">
        <v>1660</v>
      </c>
      <c r="C1161" s="218" t="str">
        <f>("3")</f>
        <v>3</v>
      </c>
      <c r="D1161" s="218" t="s">
        <v>611</v>
      </c>
      <c r="E1161" s="218" t="s">
        <v>1667</v>
      </c>
      <c r="F1161" s="218" t="s">
        <v>1668</v>
      </c>
      <c r="G1161" s="218">
        <v>6</v>
      </c>
      <c r="H1161" s="218" t="s">
        <v>614</v>
      </c>
      <c r="I1161" s="218" t="str">
        <f>("1307040119")</f>
        <v>1307040119</v>
      </c>
    </row>
    <row r="1162" spans="1:10" x14ac:dyDescent="0.15">
      <c r="A1162" s="406" t="str">
        <f t="shared" si="18"/>
        <v>ティエラフットボールクラブＵ－１２_4</v>
      </c>
      <c r="B1162" s="218" t="s">
        <v>1660</v>
      </c>
      <c r="C1162" s="218" t="str">
        <f>("4")</f>
        <v>4</v>
      </c>
      <c r="D1162" s="218" t="s">
        <v>615</v>
      </c>
      <c r="E1162" s="218" t="s">
        <v>8691</v>
      </c>
      <c r="F1162" s="218" t="s">
        <v>8692</v>
      </c>
      <c r="G1162" s="218">
        <v>6</v>
      </c>
      <c r="H1162" s="218" t="s">
        <v>614</v>
      </c>
      <c r="I1162" s="218" t="str">
        <f>("1308230217")</f>
        <v>1308230217</v>
      </c>
    </row>
    <row r="1163" spans="1:10" x14ac:dyDescent="0.15">
      <c r="A1163" s="406" t="str">
        <f t="shared" si="18"/>
        <v>ティエラフットボールクラブＵ－１２_5</v>
      </c>
      <c r="B1163" s="218" t="s">
        <v>1660</v>
      </c>
      <c r="C1163" s="218" t="str">
        <f>("5")</f>
        <v>5</v>
      </c>
      <c r="D1163" s="218" t="s">
        <v>611</v>
      </c>
      <c r="E1163" s="218" t="s">
        <v>8693</v>
      </c>
      <c r="F1163" s="218" t="s">
        <v>8694</v>
      </c>
      <c r="G1163" s="218">
        <v>6</v>
      </c>
      <c r="H1163" s="218" t="s">
        <v>614</v>
      </c>
      <c r="I1163" s="218" t="str">
        <f>("1309250102")</f>
        <v>1309250102</v>
      </c>
    </row>
    <row r="1164" spans="1:10" x14ac:dyDescent="0.15">
      <c r="A1164" s="406" t="str">
        <f t="shared" si="18"/>
        <v>ティエラフットボールクラブＵ－１２_6</v>
      </c>
      <c r="B1164" s="218" t="s">
        <v>1660</v>
      </c>
      <c r="C1164" s="218" t="str">
        <f>("6")</f>
        <v>6</v>
      </c>
      <c r="D1164" s="218" t="s">
        <v>615</v>
      </c>
      <c r="E1164" s="218" t="s">
        <v>8695</v>
      </c>
      <c r="F1164" s="218" t="s">
        <v>8696</v>
      </c>
      <c r="G1164" s="218">
        <v>6</v>
      </c>
      <c r="H1164" s="218" t="s">
        <v>614</v>
      </c>
      <c r="I1164" s="218" t="str">
        <f>("1304030192")</f>
        <v>1304030192</v>
      </c>
    </row>
    <row r="1165" spans="1:10" x14ac:dyDescent="0.15">
      <c r="A1165" s="406" t="str">
        <f t="shared" si="18"/>
        <v>ティエラフットボールクラブＵ－１２_7</v>
      </c>
      <c r="B1165" s="218" t="s">
        <v>1660</v>
      </c>
      <c r="C1165" s="218" t="str">
        <f>("7")</f>
        <v>7</v>
      </c>
      <c r="D1165" s="218" t="s">
        <v>615</v>
      </c>
      <c r="E1165" s="218" t="s">
        <v>1661</v>
      </c>
      <c r="F1165" s="218" t="s">
        <v>1662</v>
      </c>
      <c r="G1165" s="218">
        <v>6</v>
      </c>
      <c r="H1165" s="218" t="s">
        <v>614</v>
      </c>
      <c r="I1165" s="218" t="str">
        <f>("1402190071")</f>
        <v>1402190071</v>
      </c>
    </row>
    <row r="1166" spans="1:10" x14ac:dyDescent="0.15">
      <c r="A1166" s="406" t="str">
        <f t="shared" si="18"/>
        <v>ティエラフットボールクラブＵ－１２_8</v>
      </c>
      <c r="B1166" s="218" t="s">
        <v>1660</v>
      </c>
      <c r="C1166" s="218" t="str">
        <f>("8")</f>
        <v>8</v>
      </c>
      <c r="D1166" s="218" t="s">
        <v>615</v>
      </c>
      <c r="E1166" s="218" t="s">
        <v>1669</v>
      </c>
      <c r="F1166" s="218" t="s">
        <v>1670</v>
      </c>
      <c r="G1166" s="218">
        <v>6</v>
      </c>
      <c r="H1166" s="218" t="s">
        <v>614</v>
      </c>
      <c r="I1166" s="218" t="str">
        <f>("1312170116")</f>
        <v>1312170116</v>
      </c>
      <c r="J1166" s="218" t="s">
        <v>159</v>
      </c>
    </row>
    <row r="1167" spans="1:10" x14ac:dyDescent="0.15">
      <c r="A1167" s="406" t="str">
        <f t="shared" si="18"/>
        <v>ティエラフットボールクラブＵ－１２_9</v>
      </c>
      <c r="B1167" s="218" t="s">
        <v>1660</v>
      </c>
      <c r="C1167" s="218" t="str">
        <f>("9")</f>
        <v>9</v>
      </c>
      <c r="D1167" s="218" t="s">
        <v>623</v>
      </c>
      <c r="E1167" s="218" t="s">
        <v>8697</v>
      </c>
      <c r="F1167" s="218" t="s">
        <v>8698</v>
      </c>
      <c r="G1167" s="218">
        <v>6</v>
      </c>
      <c r="H1167" s="218" t="s">
        <v>614</v>
      </c>
      <c r="I1167" s="218" t="str">
        <f>("1307110102")</f>
        <v>1307110102</v>
      </c>
    </row>
    <row r="1168" spans="1:10" x14ac:dyDescent="0.15">
      <c r="A1168" s="406" t="str">
        <f t="shared" si="18"/>
        <v>ティエラフットボールクラブＵ－１２_10</v>
      </c>
      <c r="B1168" s="218" t="s">
        <v>1660</v>
      </c>
      <c r="C1168" s="218" t="str">
        <f>("10")</f>
        <v>10</v>
      </c>
      <c r="D1168" s="218" t="s">
        <v>615</v>
      </c>
      <c r="E1168" s="218" t="s">
        <v>8699</v>
      </c>
      <c r="F1168" s="218" t="s">
        <v>8700</v>
      </c>
      <c r="G1168" s="218">
        <v>6</v>
      </c>
      <c r="H1168" s="218" t="s">
        <v>614</v>
      </c>
      <c r="I1168" s="218" t="str">
        <f>("1308190202")</f>
        <v>1308190202</v>
      </c>
    </row>
    <row r="1169" spans="1:10" x14ac:dyDescent="0.15">
      <c r="A1169" s="406" t="str">
        <f t="shared" si="18"/>
        <v>ティエラフットボールクラブＵ－１２_11</v>
      </c>
      <c r="B1169" s="218" t="s">
        <v>1660</v>
      </c>
      <c r="C1169" s="218" t="str">
        <f>("11")</f>
        <v>11</v>
      </c>
      <c r="D1169" s="218" t="s">
        <v>623</v>
      </c>
      <c r="E1169" s="218" t="s">
        <v>8701</v>
      </c>
      <c r="F1169" s="218" t="s">
        <v>8702</v>
      </c>
      <c r="G1169" s="218">
        <v>4</v>
      </c>
      <c r="H1169" s="218" t="s">
        <v>614</v>
      </c>
      <c r="I1169" s="218" t="str">
        <f>("1507030045")</f>
        <v>1507030045</v>
      </c>
    </row>
    <row r="1170" spans="1:10" x14ac:dyDescent="0.15">
      <c r="A1170" s="406" t="str">
        <f t="shared" si="18"/>
        <v>ティエラフットボールクラブＵ－１２_12</v>
      </c>
      <c r="B1170" s="218" t="s">
        <v>1660</v>
      </c>
      <c r="C1170" s="218" t="str">
        <f>("12")</f>
        <v>12</v>
      </c>
      <c r="D1170" s="218" t="s">
        <v>611</v>
      </c>
      <c r="E1170" s="218" t="s">
        <v>8703</v>
      </c>
      <c r="F1170" s="218" t="s">
        <v>8704</v>
      </c>
      <c r="G1170" s="218">
        <v>5</v>
      </c>
      <c r="H1170" s="218" t="s">
        <v>614</v>
      </c>
      <c r="I1170" s="218" t="str">
        <f>("1407070225")</f>
        <v>1407070225</v>
      </c>
    </row>
    <row r="1171" spans="1:10" x14ac:dyDescent="0.15">
      <c r="A1171" s="406" t="str">
        <f t="shared" si="18"/>
        <v>ティエラフットボールクラブＵ－１２_13</v>
      </c>
      <c r="B1171" s="218" t="s">
        <v>1660</v>
      </c>
      <c r="C1171" s="218" t="str">
        <f>("13")</f>
        <v>13</v>
      </c>
      <c r="D1171" s="218" t="s">
        <v>615</v>
      </c>
      <c r="E1171" s="218" t="s">
        <v>8705</v>
      </c>
      <c r="F1171" s="218" t="s">
        <v>8706</v>
      </c>
      <c r="G1171" s="218">
        <v>5</v>
      </c>
      <c r="H1171" s="218" t="s">
        <v>616</v>
      </c>
      <c r="I1171" s="218" t="str">
        <f>("1411020093")</f>
        <v>1411020093</v>
      </c>
    </row>
    <row r="1172" spans="1:10" x14ac:dyDescent="0.15">
      <c r="A1172" s="406" t="str">
        <f t="shared" si="18"/>
        <v>ティエラフットボールクラブＵ－１２_14</v>
      </c>
      <c r="B1172" s="218" t="s">
        <v>1660</v>
      </c>
      <c r="C1172" s="218" t="str">
        <f>("14")</f>
        <v>14</v>
      </c>
      <c r="D1172" s="218" t="s">
        <v>623</v>
      </c>
      <c r="E1172" s="218" t="s">
        <v>1671</v>
      </c>
      <c r="F1172" s="218" t="s">
        <v>1672</v>
      </c>
      <c r="G1172" s="218">
        <v>6</v>
      </c>
      <c r="H1172" s="218" t="s">
        <v>614</v>
      </c>
      <c r="I1172" s="218" t="str">
        <f>("1401090134")</f>
        <v>1401090134</v>
      </c>
    </row>
    <row r="1173" spans="1:10" x14ac:dyDescent="0.15">
      <c r="A1173" s="406" t="str">
        <f t="shared" si="18"/>
        <v>ティエラフットボールクラブＵ－１２_15</v>
      </c>
      <c r="B1173" s="218" t="s">
        <v>1660</v>
      </c>
      <c r="C1173" s="218" t="str">
        <f>("15")</f>
        <v>15</v>
      </c>
      <c r="D1173" s="218" t="s">
        <v>623</v>
      </c>
      <c r="E1173" s="218" t="s">
        <v>8707</v>
      </c>
      <c r="F1173" s="218" t="s">
        <v>8708</v>
      </c>
      <c r="G1173" s="218">
        <v>5</v>
      </c>
      <c r="H1173" s="218" t="s">
        <v>614</v>
      </c>
      <c r="I1173" s="218" t="str">
        <f>("1502210130")</f>
        <v>1502210130</v>
      </c>
    </row>
    <row r="1174" spans="1:10" x14ac:dyDescent="0.15">
      <c r="A1174" s="406" t="str">
        <f t="shared" si="18"/>
        <v>ティエラフットボールクラブＵ－１２_16</v>
      </c>
      <c r="B1174" s="218" t="s">
        <v>1660</v>
      </c>
      <c r="C1174" s="218" t="str">
        <f>("16")</f>
        <v>16</v>
      </c>
      <c r="D1174" s="218" t="s">
        <v>623</v>
      </c>
      <c r="E1174" s="218" t="s">
        <v>8709</v>
      </c>
      <c r="F1174" s="218" t="s">
        <v>8710</v>
      </c>
      <c r="G1174" s="218">
        <v>5</v>
      </c>
      <c r="H1174" s="218" t="s">
        <v>614</v>
      </c>
      <c r="I1174" s="218" t="str">
        <f>("1412120187")</f>
        <v>1412120187</v>
      </c>
    </row>
    <row r="1175" spans="1:10" x14ac:dyDescent="0.15">
      <c r="A1175" s="406" t="str">
        <f t="shared" si="18"/>
        <v>スマイス日出_1</v>
      </c>
      <c r="B1175" s="218" t="s">
        <v>1675</v>
      </c>
      <c r="C1175" s="218" t="str">
        <f>("1")</f>
        <v>1</v>
      </c>
      <c r="D1175" s="218" t="s">
        <v>624</v>
      </c>
      <c r="E1175" s="218" t="s">
        <v>8711</v>
      </c>
      <c r="F1175" s="218" t="s">
        <v>8712</v>
      </c>
      <c r="G1175" s="218">
        <v>6</v>
      </c>
      <c r="H1175" s="218" t="s">
        <v>614</v>
      </c>
      <c r="I1175" s="218" t="str">
        <f>("1305160220")</f>
        <v>1305160220</v>
      </c>
    </row>
    <row r="1176" spans="1:10" x14ac:dyDescent="0.15">
      <c r="A1176" s="406" t="str">
        <f t="shared" si="18"/>
        <v>スマイス日出_2</v>
      </c>
      <c r="B1176" s="218" t="s">
        <v>1675</v>
      </c>
      <c r="C1176" s="218" t="str">
        <f>("2")</f>
        <v>2</v>
      </c>
      <c r="D1176" s="218" t="s">
        <v>611</v>
      </c>
      <c r="E1176" s="218" t="s">
        <v>8713</v>
      </c>
      <c r="F1176" s="218" t="s">
        <v>8714</v>
      </c>
      <c r="G1176" s="218">
        <v>5</v>
      </c>
      <c r="H1176" s="218" t="s">
        <v>614</v>
      </c>
      <c r="I1176" s="218" t="str">
        <f>("1409020201")</f>
        <v>1409020201</v>
      </c>
    </row>
    <row r="1177" spans="1:10" x14ac:dyDescent="0.15">
      <c r="A1177" s="406" t="str">
        <f t="shared" si="18"/>
        <v>スマイス日出_3</v>
      </c>
      <c r="B1177" s="218" t="s">
        <v>1675</v>
      </c>
      <c r="C1177" s="218" t="str">
        <f>("3")</f>
        <v>3</v>
      </c>
      <c r="D1177" s="218" t="s">
        <v>615</v>
      </c>
      <c r="E1177" s="218" t="s">
        <v>8715</v>
      </c>
      <c r="F1177" s="218" t="s">
        <v>8716</v>
      </c>
      <c r="G1177" s="218">
        <v>5</v>
      </c>
      <c r="H1177" s="218" t="s">
        <v>614</v>
      </c>
      <c r="I1177" s="218" t="str">
        <f>("1410270106")</f>
        <v>1410270106</v>
      </c>
    </row>
    <row r="1178" spans="1:10" x14ac:dyDescent="0.15">
      <c r="A1178" s="406" t="str">
        <f t="shared" si="18"/>
        <v>スマイス日出_4</v>
      </c>
      <c r="B1178" s="218" t="s">
        <v>1675</v>
      </c>
      <c r="C1178" s="218" t="str">
        <f>("4")</f>
        <v>4</v>
      </c>
      <c r="D1178" s="218" t="s">
        <v>611</v>
      </c>
      <c r="E1178" s="218" t="s">
        <v>8717</v>
      </c>
      <c r="F1178" s="218" t="s">
        <v>8718</v>
      </c>
      <c r="G1178" s="218">
        <v>6</v>
      </c>
      <c r="H1178" s="218" t="s">
        <v>614</v>
      </c>
      <c r="I1178" s="218" t="str">
        <f>("1307100234")</f>
        <v>1307100234</v>
      </c>
    </row>
    <row r="1179" spans="1:10" x14ac:dyDescent="0.15">
      <c r="A1179" s="406" t="str">
        <f t="shared" si="18"/>
        <v>スマイス日出_5</v>
      </c>
      <c r="B1179" s="218" t="s">
        <v>1675</v>
      </c>
      <c r="C1179" s="218" t="str">
        <f>("5")</f>
        <v>5</v>
      </c>
      <c r="D1179" s="218" t="s">
        <v>615</v>
      </c>
      <c r="E1179" s="218" t="s">
        <v>8719</v>
      </c>
      <c r="F1179" s="218" t="s">
        <v>8720</v>
      </c>
      <c r="G1179" s="218">
        <v>5</v>
      </c>
      <c r="H1179" s="218" t="s">
        <v>614</v>
      </c>
      <c r="I1179" s="218" t="str">
        <f>("1502230153")</f>
        <v>1502230153</v>
      </c>
    </row>
    <row r="1180" spans="1:10" x14ac:dyDescent="0.15">
      <c r="A1180" s="406" t="str">
        <f t="shared" si="18"/>
        <v>スマイス日出_6</v>
      </c>
      <c r="B1180" s="218" t="s">
        <v>1675</v>
      </c>
      <c r="C1180" s="218" t="str">
        <f>("6")</f>
        <v>6</v>
      </c>
      <c r="D1180" s="218" t="s">
        <v>611</v>
      </c>
      <c r="E1180" s="218" t="s">
        <v>8721</v>
      </c>
      <c r="F1180" s="218" t="s">
        <v>8722</v>
      </c>
      <c r="G1180" s="218">
        <v>5</v>
      </c>
      <c r="H1180" s="218" t="s">
        <v>614</v>
      </c>
      <c r="I1180" s="218" t="str">
        <f>("1405080210")</f>
        <v>1405080210</v>
      </c>
    </row>
    <row r="1181" spans="1:10" x14ac:dyDescent="0.15">
      <c r="A1181" s="406" t="str">
        <f t="shared" si="18"/>
        <v>スマイス日出_7</v>
      </c>
      <c r="B1181" s="218" t="s">
        <v>1675</v>
      </c>
      <c r="C1181" s="218" t="str">
        <f>("7")</f>
        <v>7</v>
      </c>
      <c r="D1181" s="218" t="s">
        <v>615</v>
      </c>
      <c r="E1181" s="218" t="s">
        <v>8723</v>
      </c>
      <c r="F1181" s="218" t="s">
        <v>8724</v>
      </c>
      <c r="G1181" s="218">
        <v>6</v>
      </c>
      <c r="H1181" s="218" t="s">
        <v>614</v>
      </c>
      <c r="I1181" s="218" t="str">
        <f>("1310210183")</f>
        <v>1310210183</v>
      </c>
    </row>
    <row r="1182" spans="1:10" x14ac:dyDescent="0.15">
      <c r="A1182" s="406" t="str">
        <f t="shared" si="18"/>
        <v>スマイス日出_8</v>
      </c>
      <c r="B1182" s="218" t="s">
        <v>1675</v>
      </c>
      <c r="C1182" s="218" t="str">
        <f>("8")</f>
        <v>8</v>
      </c>
      <c r="D1182" s="218" t="s">
        <v>623</v>
      </c>
      <c r="E1182" s="218" t="s">
        <v>8725</v>
      </c>
      <c r="F1182" s="218" t="s">
        <v>7856</v>
      </c>
      <c r="G1182" s="218">
        <v>6</v>
      </c>
      <c r="H1182" s="218" t="s">
        <v>614</v>
      </c>
      <c r="I1182" s="218" t="str">
        <f>("1402170138")</f>
        <v>1402170138</v>
      </c>
    </row>
    <row r="1183" spans="1:10" x14ac:dyDescent="0.15">
      <c r="A1183" s="406" t="str">
        <f t="shared" si="18"/>
        <v>スマイス日出_9</v>
      </c>
      <c r="B1183" s="218" t="s">
        <v>1675</v>
      </c>
      <c r="C1183" s="218" t="str">
        <f>("9")</f>
        <v>9</v>
      </c>
      <c r="D1183" s="218" t="s">
        <v>611</v>
      </c>
      <c r="E1183" s="218" t="s">
        <v>1688</v>
      </c>
      <c r="F1183" s="218" t="s">
        <v>1689</v>
      </c>
      <c r="G1183" s="218">
        <v>6</v>
      </c>
      <c r="H1183" s="218" t="s">
        <v>614</v>
      </c>
      <c r="I1183" s="218" t="str">
        <f>("1111210234")</f>
        <v>1111210234</v>
      </c>
      <c r="J1183" s="218" t="s">
        <v>159</v>
      </c>
    </row>
    <row r="1184" spans="1:10" x14ac:dyDescent="0.15">
      <c r="A1184" s="406" t="str">
        <f t="shared" si="18"/>
        <v>スマイス日出_10</v>
      </c>
      <c r="B1184" s="218" t="s">
        <v>1675</v>
      </c>
      <c r="C1184" s="218" t="str">
        <f>("10")</f>
        <v>10</v>
      </c>
      <c r="D1184" s="218" t="s">
        <v>615</v>
      </c>
      <c r="E1184" s="218" t="s">
        <v>1682</v>
      </c>
      <c r="F1184" s="218" t="s">
        <v>1683</v>
      </c>
      <c r="G1184" s="218">
        <v>6</v>
      </c>
      <c r="H1184" s="218" t="s">
        <v>614</v>
      </c>
      <c r="I1184" s="218" t="str">
        <f>("1309150093")</f>
        <v>1309150093</v>
      </c>
    </row>
    <row r="1185" spans="1:10" x14ac:dyDescent="0.15">
      <c r="A1185" s="406" t="str">
        <f t="shared" si="18"/>
        <v>スマイス日出_11</v>
      </c>
      <c r="B1185" s="218" t="s">
        <v>1675</v>
      </c>
      <c r="C1185" s="218" t="str">
        <f>("11")</f>
        <v>11</v>
      </c>
      <c r="D1185" s="218" t="s">
        <v>615</v>
      </c>
      <c r="E1185" s="218" t="s">
        <v>8726</v>
      </c>
      <c r="F1185" s="218" t="s">
        <v>8727</v>
      </c>
      <c r="G1185" s="218">
        <v>6</v>
      </c>
      <c r="H1185" s="218" t="s">
        <v>614</v>
      </c>
      <c r="I1185" s="218" t="str">
        <f>("1304080260")</f>
        <v>1304080260</v>
      </c>
    </row>
    <row r="1186" spans="1:10" x14ac:dyDescent="0.15">
      <c r="A1186" s="406" t="str">
        <f t="shared" si="18"/>
        <v>スマイス日出_12</v>
      </c>
      <c r="B1186" s="218" t="s">
        <v>1675</v>
      </c>
      <c r="C1186" s="218" t="str">
        <f>("12")</f>
        <v>12</v>
      </c>
      <c r="D1186" s="218" t="s">
        <v>623</v>
      </c>
      <c r="E1186" s="218" t="s">
        <v>8728</v>
      </c>
      <c r="F1186" s="218" t="s">
        <v>8729</v>
      </c>
      <c r="G1186" s="218">
        <v>4</v>
      </c>
      <c r="H1186" s="218" t="s">
        <v>614</v>
      </c>
      <c r="I1186" s="218" t="str">
        <f>("1510090096")</f>
        <v>1510090096</v>
      </c>
    </row>
    <row r="1187" spans="1:10" x14ac:dyDescent="0.15">
      <c r="A1187" s="406" t="str">
        <f t="shared" si="18"/>
        <v>スマイス日出_13</v>
      </c>
      <c r="B1187" s="218" t="s">
        <v>1675</v>
      </c>
      <c r="C1187" s="218" t="str">
        <f>("13")</f>
        <v>13</v>
      </c>
      <c r="D1187" s="218" t="s">
        <v>615</v>
      </c>
      <c r="E1187" s="218" t="s">
        <v>8730</v>
      </c>
      <c r="F1187" s="218" t="s">
        <v>8731</v>
      </c>
      <c r="G1187" s="218">
        <v>4</v>
      </c>
      <c r="H1187" s="218" t="s">
        <v>614</v>
      </c>
      <c r="I1187" s="218" t="str">
        <f>("1510080171")</f>
        <v>1510080171</v>
      </c>
    </row>
    <row r="1188" spans="1:10" x14ac:dyDescent="0.15">
      <c r="A1188" s="406" t="str">
        <f t="shared" si="18"/>
        <v>スマイス日出_16</v>
      </c>
      <c r="B1188" s="218" t="s">
        <v>1675</v>
      </c>
      <c r="C1188" s="218" t="str">
        <f>("16")</f>
        <v>16</v>
      </c>
      <c r="D1188" s="218" t="s">
        <v>624</v>
      </c>
      <c r="E1188" s="218" t="s">
        <v>8732</v>
      </c>
      <c r="F1188" s="218" t="s">
        <v>8733</v>
      </c>
      <c r="G1188" s="218">
        <v>5</v>
      </c>
      <c r="H1188" s="218" t="s">
        <v>614</v>
      </c>
      <c r="I1188" s="218" t="str">
        <f>("1503190084")</f>
        <v>1503190084</v>
      </c>
    </row>
    <row r="1189" spans="1:10" x14ac:dyDescent="0.15">
      <c r="A1189" s="406" t="str">
        <f t="shared" si="18"/>
        <v>ＦＣ　ＵＮＩＴＥ_1</v>
      </c>
      <c r="B1189" s="218" t="s">
        <v>1690</v>
      </c>
      <c r="C1189" s="218" t="str">
        <f>("1")</f>
        <v>1</v>
      </c>
      <c r="D1189" s="218" t="s">
        <v>624</v>
      </c>
      <c r="E1189" s="218" t="s">
        <v>8734</v>
      </c>
      <c r="F1189" s="218" t="s">
        <v>8735</v>
      </c>
      <c r="G1189" s="218">
        <v>5</v>
      </c>
      <c r="H1189" s="218" t="s">
        <v>614</v>
      </c>
      <c r="I1189" s="218" t="str">
        <f>("1501210019")</f>
        <v>1501210019</v>
      </c>
    </row>
    <row r="1190" spans="1:10" x14ac:dyDescent="0.15">
      <c r="A1190" s="406" t="str">
        <f t="shared" si="18"/>
        <v>ＦＣ　ＵＮＩＴＥ_2</v>
      </c>
      <c r="B1190" s="218" t="s">
        <v>1690</v>
      </c>
      <c r="C1190" s="218" t="str">
        <f>("2")</f>
        <v>2</v>
      </c>
      <c r="D1190" s="218" t="s">
        <v>615</v>
      </c>
      <c r="E1190" s="218" t="s">
        <v>8736</v>
      </c>
      <c r="F1190" s="218" t="s">
        <v>8737</v>
      </c>
      <c r="G1190" s="218">
        <v>3</v>
      </c>
      <c r="H1190" s="218" t="s">
        <v>614</v>
      </c>
      <c r="I1190" s="218" t="str">
        <f>("1608090021")</f>
        <v>1608090021</v>
      </c>
    </row>
    <row r="1191" spans="1:10" x14ac:dyDescent="0.15">
      <c r="A1191" s="406" t="str">
        <f t="shared" si="18"/>
        <v>ＦＣ　ＵＮＩＴＥ_3</v>
      </c>
      <c r="B1191" s="218" t="s">
        <v>1690</v>
      </c>
      <c r="C1191" s="218" t="str">
        <f>("3")</f>
        <v>3</v>
      </c>
      <c r="D1191" s="218" t="s">
        <v>623</v>
      </c>
      <c r="E1191" s="218" t="s">
        <v>8738</v>
      </c>
      <c r="F1191" s="218" t="s">
        <v>8739</v>
      </c>
      <c r="G1191" s="218">
        <v>3</v>
      </c>
      <c r="H1191" s="218" t="s">
        <v>614</v>
      </c>
      <c r="I1191" s="218" t="str">
        <f>("1606060011")</f>
        <v>1606060011</v>
      </c>
    </row>
    <row r="1192" spans="1:10" x14ac:dyDescent="0.15">
      <c r="A1192" s="406" t="str">
        <f t="shared" si="18"/>
        <v>ＦＣ　ＵＮＩＴＥ_4</v>
      </c>
      <c r="B1192" s="218" t="s">
        <v>1690</v>
      </c>
      <c r="C1192" s="218" t="str">
        <f>("4")</f>
        <v>4</v>
      </c>
      <c r="D1192" s="218" t="s">
        <v>615</v>
      </c>
      <c r="E1192" s="218" t="s">
        <v>8740</v>
      </c>
      <c r="F1192" s="218" t="s">
        <v>8741</v>
      </c>
      <c r="G1192" s="218">
        <v>4</v>
      </c>
      <c r="H1192" s="218" t="s">
        <v>614</v>
      </c>
      <c r="I1192" s="218" t="str">
        <f>("1507090027")</f>
        <v>1507090027</v>
      </c>
    </row>
    <row r="1193" spans="1:10" x14ac:dyDescent="0.15">
      <c r="A1193" s="406" t="str">
        <f t="shared" si="18"/>
        <v>ＦＣ　ＵＮＩＴＥ_5</v>
      </c>
      <c r="B1193" s="218" t="s">
        <v>1690</v>
      </c>
      <c r="C1193" s="218" t="str">
        <f>("5")</f>
        <v>5</v>
      </c>
      <c r="D1193" s="218" t="s">
        <v>611</v>
      </c>
      <c r="E1193" s="218" t="s">
        <v>8742</v>
      </c>
      <c r="F1193" s="218" t="s">
        <v>8743</v>
      </c>
      <c r="G1193" s="218">
        <v>5</v>
      </c>
      <c r="H1193" s="218" t="s">
        <v>614</v>
      </c>
      <c r="I1193" s="218" t="str">
        <f>("1406150158")</f>
        <v>1406150158</v>
      </c>
    </row>
    <row r="1194" spans="1:10" x14ac:dyDescent="0.15">
      <c r="A1194" s="406" t="str">
        <f t="shared" si="18"/>
        <v>ＦＣ　ＵＮＩＴＥ_6</v>
      </c>
      <c r="B1194" s="218" t="s">
        <v>1690</v>
      </c>
      <c r="C1194" s="218" t="str">
        <f>("6")</f>
        <v>6</v>
      </c>
      <c r="D1194" s="218" t="s">
        <v>611</v>
      </c>
      <c r="E1194" s="218" t="s">
        <v>8744</v>
      </c>
      <c r="F1194" s="218" t="s">
        <v>8448</v>
      </c>
      <c r="G1194" s="218">
        <v>5</v>
      </c>
      <c r="H1194" s="218" t="s">
        <v>614</v>
      </c>
      <c r="I1194" s="218" t="str">
        <f>("1409060105")</f>
        <v>1409060105</v>
      </c>
    </row>
    <row r="1195" spans="1:10" x14ac:dyDescent="0.15">
      <c r="A1195" s="406" t="str">
        <f t="shared" si="18"/>
        <v>ＦＣ　ＵＮＩＴＥ_7</v>
      </c>
      <c r="B1195" s="218" t="s">
        <v>1690</v>
      </c>
      <c r="C1195" s="218" t="str">
        <f>("7")</f>
        <v>7</v>
      </c>
      <c r="D1195" s="218" t="s">
        <v>615</v>
      </c>
      <c r="E1195" s="218" t="s">
        <v>8745</v>
      </c>
      <c r="F1195" s="218" t="s">
        <v>8746</v>
      </c>
      <c r="G1195" s="218">
        <v>5</v>
      </c>
      <c r="H1195" s="218" t="s">
        <v>614</v>
      </c>
      <c r="I1195" s="218" t="str">
        <f>("1412040009")</f>
        <v>1412040009</v>
      </c>
    </row>
    <row r="1196" spans="1:10" x14ac:dyDescent="0.15">
      <c r="A1196" s="406" t="str">
        <f t="shared" si="18"/>
        <v>ＦＣ　ＵＮＩＴＥ_8</v>
      </c>
      <c r="B1196" s="218" t="s">
        <v>1690</v>
      </c>
      <c r="C1196" s="218" t="str">
        <f>("8")</f>
        <v>8</v>
      </c>
      <c r="D1196" s="218" t="s">
        <v>611</v>
      </c>
      <c r="E1196" s="218" t="s">
        <v>8747</v>
      </c>
      <c r="F1196" s="218" t="s">
        <v>8748</v>
      </c>
      <c r="G1196" s="218">
        <v>5</v>
      </c>
      <c r="H1196" s="218" t="s">
        <v>616</v>
      </c>
      <c r="I1196" s="218" t="str">
        <f>("1503250053")</f>
        <v>1503250053</v>
      </c>
    </row>
    <row r="1197" spans="1:10" x14ac:dyDescent="0.15">
      <c r="A1197" s="406" t="str">
        <f t="shared" si="18"/>
        <v>ＦＣ　ＵＮＩＴＥ_9</v>
      </c>
      <c r="B1197" s="218" t="s">
        <v>1690</v>
      </c>
      <c r="C1197" s="218" t="str">
        <f>("9")</f>
        <v>9</v>
      </c>
      <c r="D1197" s="218" t="s">
        <v>611</v>
      </c>
      <c r="E1197" s="218" t="s">
        <v>1695</v>
      </c>
      <c r="F1197" s="218" t="s">
        <v>1696</v>
      </c>
      <c r="G1197" s="218">
        <v>6</v>
      </c>
      <c r="H1197" s="218" t="s">
        <v>614</v>
      </c>
      <c r="I1197" s="218" t="str">
        <f>("1403070013")</f>
        <v>1403070013</v>
      </c>
    </row>
    <row r="1198" spans="1:10" x14ac:dyDescent="0.15">
      <c r="A1198" s="406" t="str">
        <f t="shared" si="18"/>
        <v>ＦＣ　ＵＮＩＴＥ_10</v>
      </c>
      <c r="B1198" s="218" t="s">
        <v>1690</v>
      </c>
      <c r="C1198" s="218" t="str">
        <f>("10")</f>
        <v>10</v>
      </c>
      <c r="D1198" s="218" t="s">
        <v>615</v>
      </c>
      <c r="E1198" s="218" t="s">
        <v>1693</v>
      </c>
      <c r="F1198" s="218" t="s">
        <v>1694</v>
      </c>
      <c r="G1198" s="218">
        <v>6</v>
      </c>
      <c r="H1198" s="218" t="s">
        <v>614</v>
      </c>
      <c r="I1198" s="218" t="str">
        <f>("1307040093")</f>
        <v>1307040093</v>
      </c>
      <c r="J1198" s="218" t="s">
        <v>159</v>
      </c>
    </row>
    <row r="1199" spans="1:10" x14ac:dyDescent="0.15">
      <c r="A1199" s="406" t="str">
        <f t="shared" si="18"/>
        <v>ＦＣ　ＵＮＩＴＥ_11</v>
      </c>
      <c r="B1199" s="218" t="s">
        <v>1690</v>
      </c>
      <c r="C1199" s="218" t="str">
        <f>("11")</f>
        <v>11</v>
      </c>
      <c r="D1199" s="218" t="s">
        <v>615</v>
      </c>
      <c r="E1199" s="218" t="s">
        <v>1691</v>
      </c>
      <c r="F1199" s="218" t="s">
        <v>1692</v>
      </c>
      <c r="G1199" s="218">
        <v>6</v>
      </c>
      <c r="H1199" s="218" t="s">
        <v>614</v>
      </c>
      <c r="I1199" s="218" t="str">
        <f>("1312010004")</f>
        <v>1312010004</v>
      </c>
    </row>
    <row r="1200" spans="1:10" x14ac:dyDescent="0.15">
      <c r="A1200" s="406" t="str">
        <f t="shared" si="18"/>
        <v>ＦＣ　ＵＮＩＴＥ_12</v>
      </c>
      <c r="B1200" s="218" t="s">
        <v>1690</v>
      </c>
      <c r="C1200" s="218" t="str">
        <f>("12")</f>
        <v>12</v>
      </c>
      <c r="D1200" s="218" t="s">
        <v>623</v>
      </c>
      <c r="E1200" s="218" t="s">
        <v>8749</v>
      </c>
      <c r="F1200" s="218" t="s">
        <v>8750</v>
      </c>
      <c r="G1200" s="218">
        <v>3</v>
      </c>
      <c r="H1200" s="218" t="s">
        <v>614</v>
      </c>
      <c r="I1200" s="218" t="str">
        <f>("1611200014")</f>
        <v>1611200014</v>
      </c>
    </row>
    <row r="1201" spans="1:10" x14ac:dyDescent="0.15">
      <c r="A1201" s="406" t="str">
        <f t="shared" si="18"/>
        <v>ＦＣ　ＵＮＩＴＥ_13</v>
      </c>
      <c r="B1201" s="218" t="s">
        <v>1690</v>
      </c>
      <c r="C1201" s="218" t="str">
        <f>("13")</f>
        <v>13</v>
      </c>
      <c r="D1201" s="218" t="s">
        <v>623</v>
      </c>
      <c r="E1201" s="218" t="s">
        <v>8751</v>
      </c>
      <c r="F1201" s="218" t="s">
        <v>8752</v>
      </c>
      <c r="G1201" s="218">
        <v>3</v>
      </c>
      <c r="H1201" s="218" t="s">
        <v>614</v>
      </c>
      <c r="I1201" s="218" t="str">
        <f>("1608260024")</f>
        <v>1608260024</v>
      </c>
    </row>
    <row r="1202" spans="1:10" x14ac:dyDescent="0.15">
      <c r="A1202" s="406" t="str">
        <f t="shared" si="18"/>
        <v>ＦＣ　ＵＮＩＴＥ_14</v>
      </c>
      <c r="B1202" s="218" t="s">
        <v>1690</v>
      </c>
      <c r="C1202" s="218" t="str">
        <f>("14")</f>
        <v>14</v>
      </c>
      <c r="D1202" s="218" t="s">
        <v>623</v>
      </c>
      <c r="E1202" s="218" t="s">
        <v>8753</v>
      </c>
      <c r="F1202" s="218" t="s">
        <v>8754</v>
      </c>
      <c r="G1202" s="218">
        <v>3</v>
      </c>
      <c r="H1202" s="218" t="s">
        <v>616</v>
      </c>
      <c r="I1202" s="218" t="str">
        <f>("1610040017")</f>
        <v>1610040017</v>
      </c>
    </row>
    <row r="1203" spans="1:10" x14ac:dyDescent="0.15">
      <c r="A1203" s="406" t="str">
        <f t="shared" si="18"/>
        <v>ＦＣ　ＵＮＩＴＥ_15</v>
      </c>
      <c r="B1203" s="218" t="s">
        <v>1690</v>
      </c>
      <c r="C1203" s="218" t="str">
        <f>("15")</f>
        <v>15</v>
      </c>
      <c r="D1203" s="218" t="s">
        <v>611</v>
      </c>
      <c r="E1203" s="218" t="s">
        <v>8755</v>
      </c>
      <c r="F1203" s="218" t="s">
        <v>8756</v>
      </c>
      <c r="G1203" s="218">
        <v>3</v>
      </c>
      <c r="H1203" s="218" t="s">
        <v>614</v>
      </c>
      <c r="I1203" s="218" t="str">
        <f>("1609030044")</f>
        <v>1609030044</v>
      </c>
    </row>
    <row r="1204" spans="1:10" x14ac:dyDescent="0.15">
      <c r="A1204" s="406" t="str">
        <f t="shared" si="18"/>
        <v>太陽スポーツクラブ大分西_1</v>
      </c>
      <c r="B1204" s="218" t="s">
        <v>1697</v>
      </c>
      <c r="C1204" s="218" t="str">
        <f>("1")</f>
        <v>1</v>
      </c>
      <c r="D1204" s="218" t="s">
        <v>624</v>
      </c>
      <c r="E1204" s="218" t="s">
        <v>8757</v>
      </c>
      <c r="F1204" s="218" t="s">
        <v>8758</v>
      </c>
      <c r="G1204" s="218">
        <v>6</v>
      </c>
      <c r="H1204" s="218" t="s">
        <v>614</v>
      </c>
      <c r="I1204" s="218" t="str">
        <f>("1307270029")</f>
        <v>1307270029</v>
      </c>
      <c r="J1204" s="218" t="s">
        <v>159</v>
      </c>
    </row>
    <row r="1205" spans="1:10" x14ac:dyDescent="0.15">
      <c r="A1205" s="406" t="str">
        <f t="shared" si="18"/>
        <v>太陽スポーツクラブ大分西_2</v>
      </c>
      <c r="B1205" s="218" t="s">
        <v>1697</v>
      </c>
      <c r="C1205" s="218" t="str">
        <f>("2")</f>
        <v>2</v>
      </c>
      <c r="D1205" s="218" t="s">
        <v>611</v>
      </c>
      <c r="E1205" s="218" t="s">
        <v>8759</v>
      </c>
      <c r="F1205" s="218" t="s">
        <v>8760</v>
      </c>
      <c r="G1205" s="218">
        <v>5</v>
      </c>
      <c r="H1205" s="218" t="s">
        <v>614</v>
      </c>
      <c r="I1205" s="218" t="str">
        <f>("1407010231")</f>
        <v>1407010231</v>
      </c>
    </row>
    <row r="1206" spans="1:10" x14ac:dyDescent="0.15">
      <c r="A1206" s="406" t="str">
        <f t="shared" si="18"/>
        <v>太陽スポーツクラブ大分西_3</v>
      </c>
      <c r="B1206" s="218" t="s">
        <v>1697</v>
      </c>
      <c r="C1206" s="218" t="str">
        <f>("3")</f>
        <v>3</v>
      </c>
      <c r="D1206" s="218" t="s">
        <v>615</v>
      </c>
      <c r="E1206" s="218" t="s">
        <v>1698</v>
      </c>
      <c r="F1206" s="218" t="s">
        <v>1699</v>
      </c>
      <c r="G1206" s="218">
        <v>6</v>
      </c>
      <c r="H1206" s="218" t="s">
        <v>614</v>
      </c>
      <c r="I1206" s="218" t="str">
        <f>("1308090035")</f>
        <v>1308090035</v>
      </c>
    </row>
    <row r="1207" spans="1:10" x14ac:dyDescent="0.15">
      <c r="A1207" s="406" t="str">
        <f t="shared" si="18"/>
        <v>太陽スポーツクラブ大分西_4</v>
      </c>
      <c r="B1207" s="218" t="s">
        <v>1697</v>
      </c>
      <c r="C1207" s="218" t="str">
        <f>("4")</f>
        <v>4</v>
      </c>
      <c r="D1207" s="218" t="s">
        <v>611</v>
      </c>
      <c r="E1207" s="218" t="s">
        <v>8761</v>
      </c>
      <c r="F1207" s="218" t="s">
        <v>8762</v>
      </c>
      <c r="G1207" s="218">
        <v>5</v>
      </c>
      <c r="H1207" s="218" t="s">
        <v>614</v>
      </c>
      <c r="I1207" s="218" t="str">
        <f>("1503220127")</f>
        <v>1503220127</v>
      </c>
    </row>
    <row r="1208" spans="1:10" x14ac:dyDescent="0.15">
      <c r="A1208" s="406" t="str">
        <f t="shared" si="18"/>
        <v>太陽スポーツクラブ大分西_5</v>
      </c>
      <c r="B1208" s="218" t="s">
        <v>1697</v>
      </c>
      <c r="C1208" s="218" t="str">
        <f>("5")</f>
        <v>5</v>
      </c>
      <c r="D1208" s="218" t="s">
        <v>611</v>
      </c>
      <c r="E1208" s="218" t="s">
        <v>8763</v>
      </c>
      <c r="F1208" s="218" t="s">
        <v>8764</v>
      </c>
      <c r="G1208" s="218">
        <v>6</v>
      </c>
      <c r="H1208" s="218" t="s">
        <v>614</v>
      </c>
      <c r="I1208" s="218" t="str">
        <f>("1309170025")</f>
        <v>1309170025</v>
      </c>
    </row>
    <row r="1209" spans="1:10" x14ac:dyDescent="0.15">
      <c r="A1209" s="406" t="str">
        <f t="shared" si="18"/>
        <v>太陽スポーツクラブ大分西_6</v>
      </c>
      <c r="B1209" s="218" t="s">
        <v>1697</v>
      </c>
      <c r="C1209" s="218" t="str">
        <f>("6")</f>
        <v>6</v>
      </c>
      <c r="D1209" s="218" t="s">
        <v>615</v>
      </c>
      <c r="E1209" s="218" t="s">
        <v>8765</v>
      </c>
      <c r="F1209" s="218" t="s">
        <v>8766</v>
      </c>
      <c r="G1209" s="218">
        <v>5</v>
      </c>
      <c r="H1209" s="218" t="s">
        <v>614</v>
      </c>
      <c r="I1209" s="218" t="str">
        <f>("1405020248")</f>
        <v>1405020248</v>
      </c>
    </row>
    <row r="1210" spans="1:10" x14ac:dyDescent="0.15">
      <c r="A1210" s="406" t="str">
        <f t="shared" si="18"/>
        <v>太陽スポーツクラブ大分西_7</v>
      </c>
      <c r="B1210" s="218" t="s">
        <v>1697</v>
      </c>
      <c r="C1210" s="218" t="str">
        <f>("7")</f>
        <v>7</v>
      </c>
      <c r="D1210" s="218" t="s">
        <v>611</v>
      </c>
      <c r="E1210" s="218" t="s">
        <v>8767</v>
      </c>
      <c r="F1210" s="218" t="s">
        <v>8768</v>
      </c>
      <c r="G1210" s="218">
        <v>6</v>
      </c>
      <c r="H1210" s="218" t="s">
        <v>614</v>
      </c>
      <c r="I1210" s="218" t="str">
        <f>("1307040037")</f>
        <v>1307040037</v>
      </c>
    </row>
    <row r="1211" spans="1:10" x14ac:dyDescent="0.15">
      <c r="A1211" s="406" t="str">
        <f t="shared" si="18"/>
        <v>太陽スポーツクラブ大分西_8</v>
      </c>
      <c r="B1211" s="218" t="s">
        <v>1697</v>
      </c>
      <c r="C1211" s="218" t="str">
        <f>("8")</f>
        <v>8</v>
      </c>
      <c r="D1211" s="218" t="s">
        <v>623</v>
      </c>
      <c r="E1211" s="218" t="s">
        <v>8769</v>
      </c>
      <c r="F1211" s="218" t="s">
        <v>8770</v>
      </c>
      <c r="G1211" s="218">
        <v>5</v>
      </c>
      <c r="H1211" s="218" t="s">
        <v>614</v>
      </c>
      <c r="I1211" s="218" t="str">
        <f>("1503210048")</f>
        <v>1503210048</v>
      </c>
    </row>
    <row r="1212" spans="1:10" x14ac:dyDescent="0.15">
      <c r="A1212" s="406" t="str">
        <f t="shared" si="18"/>
        <v>太陽スポーツクラブ大分西_9</v>
      </c>
      <c r="B1212" s="218" t="s">
        <v>1697</v>
      </c>
      <c r="C1212" s="218" t="str">
        <f>("9")</f>
        <v>9</v>
      </c>
      <c r="D1212" s="218" t="s">
        <v>615</v>
      </c>
      <c r="E1212" s="218" t="s">
        <v>8771</v>
      </c>
      <c r="F1212" s="218" t="s">
        <v>8772</v>
      </c>
      <c r="G1212" s="218">
        <v>6</v>
      </c>
      <c r="H1212" s="218" t="s">
        <v>614</v>
      </c>
      <c r="I1212" s="218" t="str">
        <f>("1312160023")</f>
        <v>1312160023</v>
      </c>
    </row>
    <row r="1213" spans="1:10" x14ac:dyDescent="0.15">
      <c r="A1213" s="406" t="str">
        <f t="shared" si="18"/>
        <v>太陽スポーツクラブ大分西_13</v>
      </c>
      <c r="B1213" s="218" t="s">
        <v>1697</v>
      </c>
      <c r="C1213" s="218" t="str">
        <f>("13")</f>
        <v>13</v>
      </c>
      <c r="D1213" s="218" t="s">
        <v>623</v>
      </c>
      <c r="E1213" s="218" t="s">
        <v>8773</v>
      </c>
      <c r="F1213" s="218" t="s">
        <v>8774</v>
      </c>
      <c r="G1213" s="218">
        <v>6</v>
      </c>
      <c r="H1213" s="218" t="s">
        <v>614</v>
      </c>
      <c r="I1213" s="218" t="str">
        <f>("1401160071")</f>
        <v>1401160071</v>
      </c>
    </row>
    <row r="1214" spans="1:10" x14ac:dyDescent="0.15">
      <c r="A1214" s="406" t="str">
        <f t="shared" si="18"/>
        <v>太陽スポーツクラブ大分西_14</v>
      </c>
      <c r="B1214" s="218" t="s">
        <v>1697</v>
      </c>
      <c r="C1214" s="218" t="str">
        <f>("14")</f>
        <v>14</v>
      </c>
      <c r="D1214" s="218" t="s">
        <v>623</v>
      </c>
      <c r="E1214" s="218" t="s">
        <v>8775</v>
      </c>
      <c r="F1214" s="218" t="s">
        <v>8776</v>
      </c>
      <c r="G1214" s="218">
        <v>5</v>
      </c>
      <c r="H1214" s="218" t="s">
        <v>614</v>
      </c>
      <c r="I1214" s="218" t="str">
        <f>("1408080106")</f>
        <v>1408080106</v>
      </c>
    </row>
    <row r="1215" spans="1:10" x14ac:dyDescent="0.15">
      <c r="A1215" s="406" t="str">
        <f t="shared" si="18"/>
        <v>太陽スポーツクラブ大分西_16</v>
      </c>
      <c r="B1215" s="218" t="s">
        <v>1697</v>
      </c>
      <c r="C1215" s="218" t="str">
        <f>("16")</f>
        <v>16</v>
      </c>
      <c r="D1215" s="218" t="s">
        <v>624</v>
      </c>
      <c r="E1215" s="218" t="s">
        <v>8777</v>
      </c>
      <c r="F1215" s="218" t="s">
        <v>8778</v>
      </c>
      <c r="G1215" s="218">
        <v>5</v>
      </c>
      <c r="H1215" s="218" t="s">
        <v>614</v>
      </c>
      <c r="I1215" s="218" t="str">
        <f>("1407100111")</f>
        <v>1407100111</v>
      </c>
    </row>
    <row r="1216" spans="1:10" x14ac:dyDescent="0.15">
      <c r="A1216" s="406" t="str">
        <f t="shared" si="18"/>
        <v>太陽スポーツクラブ大分西_17</v>
      </c>
      <c r="B1216" s="218" t="s">
        <v>1697</v>
      </c>
      <c r="C1216" s="218" t="str">
        <f>("17")</f>
        <v>17</v>
      </c>
      <c r="D1216" s="218" t="s">
        <v>611</v>
      </c>
      <c r="E1216" s="218" t="s">
        <v>8779</v>
      </c>
      <c r="F1216" s="218" t="s">
        <v>8780</v>
      </c>
      <c r="G1216" s="218">
        <v>6</v>
      </c>
      <c r="H1216" s="218" t="s">
        <v>614</v>
      </c>
      <c r="I1216" s="218" t="str">
        <f>("1306280076")</f>
        <v>1306280076</v>
      </c>
    </row>
    <row r="1217" spans="1:10" x14ac:dyDescent="0.15">
      <c r="A1217" s="406" t="str">
        <f t="shared" ref="A1217:A1280" si="19">CONCATENATE(B1217,"_",C1217)</f>
        <v>太陽スポーツクラブ大分西_18</v>
      </c>
      <c r="B1217" s="218" t="s">
        <v>1697</v>
      </c>
      <c r="C1217" s="218" t="str">
        <f>("18")</f>
        <v>18</v>
      </c>
      <c r="D1217" s="218" t="s">
        <v>615</v>
      </c>
      <c r="E1217" s="218" t="s">
        <v>8781</v>
      </c>
      <c r="F1217" s="218" t="s">
        <v>8782</v>
      </c>
      <c r="G1217" s="218">
        <v>5</v>
      </c>
      <c r="H1217" s="218" t="s">
        <v>614</v>
      </c>
      <c r="I1217" s="218" t="str">
        <f>("1409090236")</f>
        <v>1409090236</v>
      </c>
    </row>
    <row r="1218" spans="1:10" x14ac:dyDescent="0.15">
      <c r="A1218" s="406" t="str">
        <f t="shared" si="19"/>
        <v>太陽スポーツクラブ大分西_19</v>
      </c>
      <c r="B1218" s="218" t="s">
        <v>1697</v>
      </c>
      <c r="C1218" s="218" t="str">
        <f>("19")</f>
        <v>19</v>
      </c>
      <c r="D1218" s="218" t="s">
        <v>611</v>
      </c>
      <c r="E1218" s="218" t="s">
        <v>8783</v>
      </c>
      <c r="F1218" s="218" t="s">
        <v>8784</v>
      </c>
      <c r="G1218" s="218">
        <v>5</v>
      </c>
      <c r="H1218" s="218" t="s">
        <v>614</v>
      </c>
      <c r="I1218" s="218" t="str">
        <f>("1412220195")</f>
        <v>1412220195</v>
      </c>
    </row>
    <row r="1219" spans="1:10" x14ac:dyDescent="0.15">
      <c r="A1219" s="406" t="str">
        <f t="shared" si="19"/>
        <v>太陽スポーツクラブ大分西_21</v>
      </c>
      <c r="B1219" s="218" t="s">
        <v>1697</v>
      </c>
      <c r="C1219" s="218" t="str">
        <f>("21")</f>
        <v>21</v>
      </c>
      <c r="D1219" s="218" t="s">
        <v>623</v>
      </c>
      <c r="E1219" s="218" t="s">
        <v>8785</v>
      </c>
      <c r="F1219" s="218" t="s">
        <v>8786</v>
      </c>
      <c r="G1219" s="218">
        <v>5</v>
      </c>
      <c r="H1219" s="218" t="s">
        <v>614</v>
      </c>
      <c r="I1219" s="218" t="str">
        <f>("1404140217")</f>
        <v>1404140217</v>
      </c>
    </row>
    <row r="1220" spans="1:10" x14ac:dyDescent="0.15">
      <c r="A1220" s="406" t="str">
        <f t="shared" si="19"/>
        <v>横瀬西ＦＣ．ＲｏｓａＣｌａｒｏ_1</v>
      </c>
      <c r="B1220" s="218" t="s">
        <v>1700</v>
      </c>
      <c r="C1220" s="218" t="str">
        <f>("1")</f>
        <v>1</v>
      </c>
      <c r="D1220" s="218" t="s">
        <v>624</v>
      </c>
      <c r="E1220" s="218" t="s">
        <v>1709</v>
      </c>
      <c r="F1220" s="218" t="s">
        <v>1710</v>
      </c>
      <c r="G1220" s="218">
        <v>6</v>
      </c>
      <c r="H1220" s="218" t="s">
        <v>614</v>
      </c>
      <c r="I1220" s="218" t="str">
        <f>("1309130017")</f>
        <v>1309130017</v>
      </c>
    </row>
    <row r="1221" spans="1:10" x14ac:dyDescent="0.15">
      <c r="A1221" s="406" t="str">
        <f t="shared" si="19"/>
        <v>横瀬西ＦＣ．ＲｏｓａＣｌａｒｏ_2</v>
      </c>
      <c r="B1221" s="218" t="s">
        <v>1700</v>
      </c>
      <c r="C1221" s="218" t="str">
        <f>("2")</f>
        <v>2</v>
      </c>
      <c r="D1221" s="218" t="s">
        <v>615</v>
      </c>
      <c r="E1221" s="218" t="s">
        <v>1703</v>
      </c>
      <c r="F1221" s="218" t="s">
        <v>1704</v>
      </c>
      <c r="G1221" s="218">
        <v>6</v>
      </c>
      <c r="H1221" s="218" t="s">
        <v>616</v>
      </c>
      <c r="I1221" s="218" t="str">
        <f>("1305150020")</f>
        <v>1305150020</v>
      </c>
      <c r="J1221" s="218" t="s">
        <v>159</v>
      </c>
    </row>
    <row r="1222" spans="1:10" x14ac:dyDescent="0.15">
      <c r="A1222" s="406" t="str">
        <f t="shared" si="19"/>
        <v>横瀬西ＦＣ．ＲｏｓａＣｌａｒｏ_3</v>
      </c>
      <c r="B1222" s="218" t="s">
        <v>1700</v>
      </c>
      <c r="C1222" s="218" t="str">
        <f>("3")</f>
        <v>3</v>
      </c>
      <c r="D1222" s="218" t="s">
        <v>623</v>
      </c>
      <c r="E1222" s="218" t="s">
        <v>8787</v>
      </c>
      <c r="F1222" s="218" t="s">
        <v>4486</v>
      </c>
      <c r="G1222" s="218">
        <v>3</v>
      </c>
      <c r="H1222" s="218" t="s">
        <v>614</v>
      </c>
      <c r="I1222" s="218" t="str">
        <f>("1608200040")</f>
        <v>1608200040</v>
      </c>
    </row>
    <row r="1223" spans="1:10" x14ac:dyDescent="0.15">
      <c r="A1223" s="406" t="str">
        <f t="shared" si="19"/>
        <v>横瀬西ＦＣ．ＲｏｓａＣｌａｒｏ_4</v>
      </c>
      <c r="B1223" s="218" t="s">
        <v>1700</v>
      </c>
      <c r="C1223" s="218" t="str">
        <f>("4")</f>
        <v>4</v>
      </c>
      <c r="D1223" s="218" t="s">
        <v>623</v>
      </c>
      <c r="E1223" s="218" t="s">
        <v>8788</v>
      </c>
      <c r="F1223" s="218" t="s">
        <v>8789</v>
      </c>
      <c r="G1223" s="218">
        <v>2</v>
      </c>
      <c r="H1223" s="218" t="s">
        <v>614</v>
      </c>
      <c r="I1223" s="218" t="str">
        <f>("1709240013")</f>
        <v>1709240013</v>
      </c>
    </row>
    <row r="1224" spans="1:10" x14ac:dyDescent="0.15">
      <c r="A1224" s="406" t="str">
        <f t="shared" si="19"/>
        <v>横瀬西ＦＣ．ＲｏｓａＣｌａｒｏ_5</v>
      </c>
      <c r="B1224" s="218" t="s">
        <v>1700</v>
      </c>
      <c r="C1224" s="218" t="str">
        <f>("5")</f>
        <v>5</v>
      </c>
      <c r="D1224" s="218" t="s">
        <v>615</v>
      </c>
      <c r="E1224" s="218" t="s">
        <v>8790</v>
      </c>
      <c r="F1224" s="218" t="s">
        <v>8791</v>
      </c>
      <c r="G1224" s="218">
        <v>4</v>
      </c>
      <c r="H1224" s="218" t="s">
        <v>616</v>
      </c>
      <c r="I1224" s="218" t="str">
        <f>("1510110074")</f>
        <v>1510110074</v>
      </c>
    </row>
    <row r="1225" spans="1:10" x14ac:dyDescent="0.15">
      <c r="A1225" s="406" t="str">
        <f t="shared" si="19"/>
        <v>横瀬西ＦＣ．ＲｏｓａＣｌａｒｏ_7</v>
      </c>
      <c r="B1225" s="218" t="s">
        <v>1700</v>
      </c>
      <c r="C1225" s="218" t="str">
        <f>("7")</f>
        <v>7</v>
      </c>
      <c r="D1225" s="218" t="s">
        <v>611</v>
      </c>
      <c r="E1225" s="218" t="s">
        <v>8792</v>
      </c>
      <c r="F1225" s="218" t="s">
        <v>8793</v>
      </c>
      <c r="G1225" s="218">
        <v>4</v>
      </c>
      <c r="H1225" s="218" t="s">
        <v>614</v>
      </c>
      <c r="I1225" s="218" t="str">
        <f>("1510190011")</f>
        <v>1510190011</v>
      </c>
    </row>
    <row r="1226" spans="1:10" x14ac:dyDescent="0.15">
      <c r="A1226" s="406" t="str">
        <f t="shared" si="19"/>
        <v>横瀬西ＦＣ．ＲｏｓａＣｌａｒｏ_9</v>
      </c>
      <c r="B1226" s="218" t="s">
        <v>1700</v>
      </c>
      <c r="C1226" s="218" t="str">
        <f>("9")</f>
        <v>9</v>
      </c>
      <c r="D1226" s="218" t="s">
        <v>611</v>
      </c>
      <c r="E1226" s="218" t="s">
        <v>8794</v>
      </c>
      <c r="F1226" s="218" t="s">
        <v>8795</v>
      </c>
      <c r="G1226" s="218">
        <v>4</v>
      </c>
      <c r="H1226" s="218" t="s">
        <v>614</v>
      </c>
      <c r="I1226" s="218" t="str">
        <f>("1603220003")</f>
        <v>1603220003</v>
      </c>
    </row>
    <row r="1227" spans="1:10" x14ac:dyDescent="0.15">
      <c r="A1227" s="406" t="str">
        <f t="shared" si="19"/>
        <v>横瀬西ＦＣ．ＲｏｓａＣｌａｒｏ_11</v>
      </c>
      <c r="B1227" s="218" t="s">
        <v>1700</v>
      </c>
      <c r="C1227" s="218" t="str">
        <f>("11")</f>
        <v>11</v>
      </c>
      <c r="D1227" s="218" t="s">
        <v>615</v>
      </c>
      <c r="E1227" s="218" t="s">
        <v>1714</v>
      </c>
      <c r="F1227" s="218" t="s">
        <v>1715</v>
      </c>
      <c r="G1227" s="218">
        <v>6</v>
      </c>
      <c r="H1227" s="218" t="s">
        <v>614</v>
      </c>
      <c r="I1227" s="218" t="str">
        <f>("1310100022")</f>
        <v>1310100022</v>
      </c>
    </row>
    <row r="1228" spans="1:10" x14ac:dyDescent="0.15">
      <c r="A1228" s="406" t="str">
        <f t="shared" si="19"/>
        <v>横瀬西ＦＣ．ＲｏｓａＣｌａｒｏ_12</v>
      </c>
      <c r="B1228" s="218" t="s">
        <v>1700</v>
      </c>
      <c r="C1228" s="218" t="str">
        <f>("12")</f>
        <v>12</v>
      </c>
      <c r="D1228" s="218" t="s">
        <v>615</v>
      </c>
      <c r="E1228" s="218" t="s">
        <v>8796</v>
      </c>
      <c r="F1228" s="218" t="s">
        <v>6733</v>
      </c>
      <c r="G1228" s="218">
        <v>3</v>
      </c>
      <c r="H1228" s="218" t="s">
        <v>614</v>
      </c>
      <c r="I1228" s="218" t="str">
        <f>("1605100041")</f>
        <v>1605100041</v>
      </c>
    </row>
    <row r="1229" spans="1:10" x14ac:dyDescent="0.15">
      <c r="A1229" s="406" t="str">
        <f t="shared" si="19"/>
        <v>横瀬西ＦＣ．ＲｏｓａＣｌａｒｏ_13</v>
      </c>
      <c r="B1229" s="218" t="s">
        <v>1700</v>
      </c>
      <c r="C1229" s="218" t="str">
        <f>("13")</f>
        <v>13</v>
      </c>
      <c r="D1229" s="218" t="s">
        <v>623</v>
      </c>
      <c r="E1229" s="218" t="s">
        <v>8797</v>
      </c>
      <c r="F1229" s="218" t="s">
        <v>8798</v>
      </c>
      <c r="G1229" s="218">
        <v>3</v>
      </c>
      <c r="H1229" s="218" t="s">
        <v>616</v>
      </c>
      <c r="I1229" s="218" t="str">
        <f>("1611070035")</f>
        <v>1611070035</v>
      </c>
    </row>
    <row r="1230" spans="1:10" x14ac:dyDescent="0.15">
      <c r="A1230" s="406" t="str">
        <f t="shared" si="19"/>
        <v>横瀬西ＦＣ．ＲｏｓａＣｌａｒｏ_14</v>
      </c>
      <c r="B1230" s="218" t="s">
        <v>1700</v>
      </c>
      <c r="C1230" s="218" t="str">
        <f>("14")</f>
        <v>14</v>
      </c>
      <c r="D1230" s="218" t="s">
        <v>615</v>
      </c>
      <c r="E1230" s="218" t="s">
        <v>8799</v>
      </c>
      <c r="F1230" s="218" t="s">
        <v>8800</v>
      </c>
      <c r="G1230" s="218">
        <v>2</v>
      </c>
      <c r="H1230" s="218" t="s">
        <v>614</v>
      </c>
      <c r="I1230" s="218" t="str">
        <f>("1803220010")</f>
        <v>1803220010</v>
      </c>
    </row>
    <row r="1231" spans="1:10" x14ac:dyDescent="0.15">
      <c r="A1231" s="406" t="str">
        <f t="shared" si="19"/>
        <v>横瀬西ＦＣ．ＲｏｓａＣｌａｒｏ_15</v>
      </c>
      <c r="B1231" s="218" t="s">
        <v>1700</v>
      </c>
      <c r="C1231" s="218" t="str">
        <f>("15")</f>
        <v>15</v>
      </c>
      <c r="D1231" s="218" t="s">
        <v>623</v>
      </c>
      <c r="E1231" s="218" t="s">
        <v>8801</v>
      </c>
      <c r="F1231" s="218" t="s">
        <v>8802</v>
      </c>
      <c r="G1231" s="218">
        <v>1</v>
      </c>
      <c r="H1231" s="218" t="s">
        <v>614</v>
      </c>
      <c r="I1231" s="218" t="str">
        <f>("1807100002")</f>
        <v>1807100002</v>
      </c>
    </row>
    <row r="1232" spans="1:10" x14ac:dyDescent="0.15">
      <c r="A1232" s="406" t="str">
        <f t="shared" si="19"/>
        <v>横瀬西ＦＣ．ＲｏｓａＣｌａｒｏ_16</v>
      </c>
      <c r="B1232" s="218" t="s">
        <v>1700</v>
      </c>
      <c r="C1232" s="218" t="str">
        <f>("16")</f>
        <v>16</v>
      </c>
      <c r="D1232" s="218" t="s">
        <v>611</v>
      </c>
      <c r="E1232" s="218" t="s">
        <v>8803</v>
      </c>
      <c r="F1232" s="218" t="s">
        <v>8804</v>
      </c>
      <c r="G1232" s="218">
        <v>4</v>
      </c>
      <c r="H1232" s="218" t="s">
        <v>614</v>
      </c>
      <c r="I1232" s="218" t="str">
        <f>("1510230005")</f>
        <v>1510230005</v>
      </c>
    </row>
    <row r="1233" spans="1:10" x14ac:dyDescent="0.15">
      <c r="A1233" s="406" t="str">
        <f t="shared" si="19"/>
        <v>リノスフットボールクラブ　Ｕ－１２_1</v>
      </c>
      <c r="B1233" s="218" t="s">
        <v>1720</v>
      </c>
      <c r="C1233" s="218" t="str">
        <f>("1")</f>
        <v>1</v>
      </c>
      <c r="D1233" s="218" t="s">
        <v>611</v>
      </c>
      <c r="E1233" s="218" t="s">
        <v>8805</v>
      </c>
      <c r="F1233" s="218" t="s">
        <v>8806</v>
      </c>
      <c r="G1233" s="218">
        <v>6</v>
      </c>
      <c r="H1233" s="218" t="s">
        <v>614</v>
      </c>
      <c r="I1233" s="218" t="str">
        <f>("1306210149")</f>
        <v>1306210149</v>
      </c>
    </row>
    <row r="1234" spans="1:10" x14ac:dyDescent="0.15">
      <c r="A1234" s="406" t="str">
        <f t="shared" si="19"/>
        <v>リノスフットボールクラブ　Ｕ－１２_3</v>
      </c>
      <c r="B1234" s="218" t="s">
        <v>1720</v>
      </c>
      <c r="C1234" s="218" t="str">
        <f>("3")</f>
        <v>3</v>
      </c>
      <c r="D1234" s="218" t="s">
        <v>611</v>
      </c>
      <c r="E1234" s="218" t="s">
        <v>1540</v>
      </c>
      <c r="F1234" s="218" t="s">
        <v>1541</v>
      </c>
      <c r="G1234" s="218">
        <v>6</v>
      </c>
      <c r="H1234" s="218" t="s">
        <v>614</v>
      </c>
      <c r="I1234" s="218" t="str">
        <f>("1403150075")</f>
        <v>1403150075</v>
      </c>
    </row>
    <row r="1235" spans="1:10" x14ac:dyDescent="0.15">
      <c r="A1235" s="406" t="str">
        <f t="shared" si="19"/>
        <v>リノスフットボールクラブ　Ｕ－１２_8</v>
      </c>
      <c r="B1235" s="218" t="s">
        <v>1720</v>
      </c>
      <c r="C1235" s="218" t="str">
        <f>("8")</f>
        <v>8</v>
      </c>
      <c r="D1235" s="218" t="s">
        <v>615</v>
      </c>
      <c r="E1235" s="218" t="s">
        <v>8807</v>
      </c>
      <c r="F1235" s="218" t="s">
        <v>8808</v>
      </c>
      <c r="G1235" s="218">
        <v>6</v>
      </c>
      <c r="H1235" s="218" t="s">
        <v>614</v>
      </c>
      <c r="I1235" s="218" t="str">
        <f>("1304160072")</f>
        <v>1304160072</v>
      </c>
      <c r="J1235" s="218" t="s">
        <v>159</v>
      </c>
    </row>
    <row r="1236" spans="1:10" x14ac:dyDescent="0.15">
      <c r="A1236" s="406" t="str">
        <f t="shared" si="19"/>
        <v>リノスフットボールクラブ　Ｕ－１２_11</v>
      </c>
      <c r="B1236" s="218" t="s">
        <v>1720</v>
      </c>
      <c r="C1236" s="218" t="str">
        <f>("11")</f>
        <v>11</v>
      </c>
      <c r="D1236" s="218" t="s">
        <v>611</v>
      </c>
      <c r="E1236" s="218" t="s">
        <v>8809</v>
      </c>
      <c r="F1236" s="218" t="s">
        <v>8810</v>
      </c>
      <c r="G1236" s="218">
        <v>6</v>
      </c>
      <c r="H1236" s="218" t="s">
        <v>614</v>
      </c>
      <c r="I1236" s="218" t="str">
        <f>("1307070036")</f>
        <v>1307070036</v>
      </c>
    </row>
    <row r="1237" spans="1:10" x14ac:dyDescent="0.15">
      <c r="A1237" s="406" t="str">
        <f t="shared" si="19"/>
        <v>リノスフットボールクラブ　Ｕ－１２_16</v>
      </c>
      <c r="B1237" s="218" t="s">
        <v>1720</v>
      </c>
      <c r="C1237" s="218" t="str">
        <f>("16")</f>
        <v>16</v>
      </c>
      <c r="D1237" s="218" t="s">
        <v>623</v>
      </c>
      <c r="E1237" s="218" t="s">
        <v>1158</v>
      </c>
      <c r="F1237" s="218" t="s">
        <v>1159</v>
      </c>
      <c r="G1237" s="218">
        <v>6</v>
      </c>
      <c r="H1237" s="218" t="s">
        <v>614</v>
      </c>
      <c r="I1237" s="218" t="str">
        <f>("1401290002")</f>
        <v>1401290002</v>
      </c>
    </row>
    <row r="1238" spans="1:10" x14ac:dyDescent="0.15">
      <c r="A1238" s="406" t="str">
        <f t="shared" si="19"/>
        <v>リノスフットボールクラブ　Ｕ－１２_21</v>
      </c>
      <c r="B1238" s="218" t="s">
        <v>1720</v>
      </c>
      <c r="C1238" s="218" t="str">
        <f>("21")</f>
        <v>21</v>
      </c>
      <c r="D1238" s="218" t="s">
        <v>611</v>
      </c>
      <c r="E1238" s="218" t="s">
        <v>8811</v>
      </c>
      <c r="F1238" s="218" t="s">
        <v>8812</v>
      </c>
      <c r="G1238" s="218">
        <v>6</v>
      </c>
      <c r="H1238" s="218" t="s">
        <v>614</v>
      </c>
      <c r="I1238" s="218" t="str">
        <f>("1308010117")</f>
        <v>1308010117</v>
      </c>
    </row>
    <row r="1239" spans="1:10" x14ac:dyDescent="0.15">
      <c r="A1239" s="406" t="str">
        <f t="shared" si="19"/>
        <v>リノスフットボールクラブ　Ｕ－１２_22</v>
      </c>
      <c r="B1239" s="218" t="s">
        <v>1720</v>
      </c>
      <c r="C1239" s="218" t="str">
        <f>("22")</f>
        <v>22</v>
      </c>
      <c r="D1239" s="218" t="s">
        <v>624</v>
      </c>
      <c r="E1239" s="218" t="s">
        <v>8813</v>
      </c>
      <c r="F1239" s="218" t="s">
        <v>8814</v>
      </c>
      <c r="G1239" s="218">
        <v>6</v>
      </c>
      <c r="H1239" s="218" t="s">
        <v>614</v>
      </c>
      <c r="I1239" s="218" t="str">
        <f>("1306120093")</f>
        <v>1306120093</v>
      </c>
    </row>
    <row r="1240" spans="1:10" x14ac:dyDescent="0.15">
      <c r="A1240" s="406" t="str">
        <f t="shared" si="19"/>
        <v>リノスフットボールクラブ　Ｕ－１２_26</v>
      </c>
      <c r="B1240" s="218" t="s">
        <v>1720</v>
      </c>
      <c r="C1240" s="218" t="str">
        <f>("26")</f>
        <v>26</v>
      </c>
      <c r="D1240" s="218" t="s">
        <v>615</v>
      </c>
      <c r="E1240" s="218" t="s">
        <v>11841</v>
      </c>
      <c r="F1240" s="218" t="s">
        <v>11842</v>
      </c>
      <c r="G1240" s="218">
        <v>5</v>
      </c>
      <c r="H1240" s="218" t="s">
        <v>614</v>
      </c>
      <c r="I1240" s="218" t="str">
        <f>("1501060130")</f>
        <v>1501060130</v>
      </c>
    </row>
    <row r="1241" spans="1:10" x14ac:dyDescent="0.15">
      <c r="A1241" s="406" t="str">
        <f t="shared" si="19"/>
        <v>リノスフットボールクラブ　Ｕ－１２_36</v>
      </c>
      <c r="B1241" s="218" t="s">
        <v>1720</v>
      </c>
      <c r="C1241" s="218" t="str">
        <f>("36")</f>
        <v>36</v>
      </c>
      <c r="D1241" s="218" t="s">
        <v>623</v>
      </c>
      <c r="E1241" s="218" t="s">
        <v>8815</v>
      </c>
      <c r="F1241" s="218" t="s">
        <v>8816</v>
      </c>
      <c r="G1241" s="218">
        <v>5</v>
      </c>
      <c r="H1241" s="218" t="s">
        <v>614</v>
      </c>
      <c r="I1241" s="218" t="str">
        <f>("1404230135")</f>
        <v>1404230135</v>
      </c>
    </row>
    <row r="1242" spans="1:10" x14ac:dyDescent="0.15">
      <c r="A1242" s="406" t="str">
        <f t="shared" si="19"/>
        <v>リノスフットボールクラブ　Ｕ－１２_37</v>
      </c>
      <c r="B1242" s="218" t="s">
        <v>1720</v>
      </c>
      <c r="C1242" s="218" t="str">
        <f>("37")</f>
        <v>37</v>
      </c>
      <c r="D1242" s="218" t="s">
        <v>615</v>
      </c>
      <c r="E1242" s="218" t="s">
        <v>1242</v>
      </c>
      <c r="F1242" s="218" t="s">
        <v>1243</v>
      </c>
      <c r="G1242" s="218">
        <v>6</v>
      </c>
      <c r="H1242" s="218" t="s">
        <v>614</v>
      </c>
      <c r="I1242" s="218" t="str">
        <f>("1311150116")</f>
        <v>1311150116</v>
      </c>
    </row>
    <row r="1243" spans="1:10" x14ac:dyDescent="0.15">
      <c r="A1243" s="406" t="str">
        <f t="shared" si="19"/>
        <v>リノスフットボールクラブ　Ｕ－１２_44</v>
      </c>
      <c r="B1243" s="218" t="s">
        <v>1720</v>
      </c>
      <c r="C1243" s="218" t="str">
        <f>("44")</f>
        <v>44</v>
      </c>
      <c r="D1243" s="218" t="s">
        <v>615</v>
      </c>
      <c r="E1243" s="218" t="s">
        <v>8817</v>
      </c>
      <c r="F1243" s="218" t="s">
        <v>8818</v>
      </c>
      <c r="G1243" s="218">
        <v>6</v>
      </c>
      <c r="H1243" s="218" t="s">
        <v>614</v>
      </c>
      <c r="I1243" s="218" t="str">
        <f>("1308230116")</f>
        <v>1308230116</v>
      </c>
    </row>
    <row r="1244" spans="1:10" x14ac:dyDescent="0.15">
      <c r="A1244" s="406" t="str">
        <f t="shared" si="19"/>
        <v>リノスフットボールクラブ　Ｕ－１２_49</v>
      </c>
      <c r="B1244" s="218" t="s">
        <v>1720</v>
      </c>
      <c r="C1244" s="218" t="str">
        <f>("49")</f>
        <v>49</v>
      </c>
      <c r="D1244" s="218" t="s">
        <v>611</v>
      </c>
      <c r="E1244" s="218" t="s">
        <v>896</v>
      </c>
      <c r="F1244" s="218" t="s">
        <v>897</v>
      </c>
      <c r="G1244" s="218">
        <v>5</v>
      </c>
      <c r="H1244" s="218" t="s">
        <v>614</v>
      </c>
      <c r="I1244" s="218" t="str">
        <f>("1408010044")</f>
        <v>1408010044</v>
      </c>
    </row>
    <row r="1245" spans="1:10" x14ac:dyDescent="0.15">
      <c r="A1245" s="406" t="str">
        <f t="shared" si="19"/>
        <v>リノスフットボールクラブ　Ｕ－１２_52</v>
      </c>
      <c r="B1245" s="218" t="s">
        <v>1720</v>
      </c>
      <c r="C1245" s="218" t="str">
        <f>("52")</f>
        <v>52</v>
      </c>
      <c r="D1245" s="218" t="s">
        <v>615</v>
      </c>
      <c r="E1245" s="218" t="s">
        <v>8819</v>
      </c>
      <c r="F1245" s="218" t="s">
        <v>8820</v>
      </c>
      <c r="G1245" s="218">
        <v>5</v>
      </c>
      <c r="H1245" s="218" t="s">
        <v>614</v>
      </c>
      <c r="I1245" s="218" t="str">
        <f>("1405070008")</f>
        <v>1405070008</v>
      </c>
    </row>
    <row r="1246" spans="1:10" x14ac:dyDescent="0.15">
      <c r="A1246" s="406" t="str">
        <f t="shared" si="19"/>
        <v>リノスフットボールクラブ　Ｕ－１２_53</v>
      </c>
      <c r="B1246" s="218" t="s">
        <v>1720</v>
      </c>
      <c r="C1246" s="218" t="str">
        <f>("53")</f>
        <v>53</v>
      </c>
      <c r="D1246" s="218" t="s">
        <v>611</v>
      </c>
      <c r="E1246" s="218" t="s">
        <v>8821</v>
      </c>
      <c r="F1246" s="218" t="s">
        <v>8822</v>
      </c>
      <c r="G1246" s="218">
        <v>6</v>
      </c>
      <c r="H1246" s="218" t="s">
        <v>614</v>
      </c>
      <c r="I1246" s="218" t="str">
        <f>("1305080081")</f>
        <v>1305080081</v>
      </c>
    </row>
    <row r="1247" spans="1:10" x14ac:dyDescent="0.15">
      <c r="A1247" s="406" t="str">
        <f t="shared" si="19"/>
        <v>リノスフットボールクラブ　Ｕ－１２_54</v>
      </c>
      <c r="B1247" s="218" t="s">
        <v>1720</v>
      </c>
      <c r="C1247" s="218" t="str">
        <f>("54")</f>
        <v>54</v>
      </c>
      <c r="D1247" s="218" t="s">
        <v>623</v>
      </c>
      <c r="E1247" s="218" t="s">
        <v>8823</v>
      </c>
      <c r="F1247" s="218" t="s">
        <v>8824</v>
      </c>
      <c r="G1247" s="218">
        <v>6</v>
      </c>
      <c r="H1247" s="218" t="s">
        <v>614</v>
      </c>
      <c r="I1247" s="218" t="str">
        <f>("1403220133")</f>
        <v>1403220133</v>
      </c>
    </row>
    <row r="1248" spans="1:10" x14ac:dyDescent="0.15">
      <c r="A1248" s="406" t="str">
        <f t="shared" si="19"/>
        <v>リノスフットボールクラブ　Ｕ－１２_56</v>
      </c>
      <c r="B1248" s="218" t="s">
        <v>1720</v>
      </c>
      <c r="C1248" s="218" t="str">
        <f>("56")</f>
        <v>56</v>
      </c>
      <c r="D1248" s="218" t="s">
        <v>615</v>
      </c>
      <c r="E1248" s="218" t="s">
        <v>8825</v>
      </c>
      <c r="F1248" s="218" t="s">
        <v>8826</v>
      </c>
      <c r="G1248" s="218">
        <v>6</v>
      </c>
      <c r="H1248" s="218" t="s">
        <v>614</v>
      </c>
      <c r="I1248" s="218" t="str">
        <f>("1309220131")</f>
        <v>1309220131</v>
      </c>
    </row>
    <row r="1249" spans="1:10" x14ac:dyDescent="0.15">
      <c r="A1249" s="406" t="str">
        <f t="shared" si="19"/>
        <v>朝日ＦＣ_1</v>
      </c>
      <c r="B1249" s="218" t="s">
        <v>1729</v>
      </c>
      <c r="C1249" s="218" t="str">
        <f>("1")</f>
        <v>1</v>
      </c>
      <c r="D1249" s="218" t="s">
        <v>624</v>
      </c>
      <c r="E1249" s="218" t="s">
        <v>8827</v>
      </c>
      <c r="F1249" s="218" t="s">
        <v>8828</v>
      </c>
      <c r="G1249" s="218">
        <v>5</v>
      </c>
      <c r="H1249" s="218" t="s">
        <v>614</v>
      </c>
      <c r="I1249" s="218" t="str">
        <f>("1501250109")</f>
        <v>1501250109</v>
      </c>
    </row>
    <row r="1250" spans="1:10" x14ac:dyDescent="0.15">
      <c r="A1250" s="406" t="str">
        <f t="shared" si="19"/>
        <v>朝日ＦＣ_3</v>
      </c>
      <c r="B1250" s="218" t="s">
        <v>1729</v>
      </c>
      <c r="C1250" s="218" t="str">
        <f>("3")</f>
        <v>3</v>
      </c>
      <c r="D1250" s="218" t="s">
        <v>611</v>
      </c>
      <c r="E1250" s="218" t="s">
        <v>8829</v>
      </c>
      <c r="F1250" s="218" t="s">
        <v>8830</v>
      </c>
      <c r="G1250" s="218">
        <v>5</v>
      </c>
      <c r="H1250" s="218" t="s">
        <v>614</v>
      </c>
      <c r="I1250" s="218" t="str">
        <f>("1409150143")</f>
        <v>1409150143</v>
      </c>
    </row>
    <row r="1251" spans="1:10" x14ac:dyDescent="0.15">
      <c r="A1251" s="406" t="str">
        <f t="shared" si="19"/>
        <v>朝日ＦＣ_4</v>
      </c>
      <c r="B1251" s="218" t="s">
        <v>1729</v>
      </c>
      <c r="C1251" s="218" t="str">
        <f>("4")</f>
        <v>4</v>
      </c>
      <c r="D1251" s="218" t="s">
        <v>611</v>
      </c>
      <c r="E1251" s="218" t="s">
        <v>8831</v>
      </c>
      <c r="F1251" s="218" t="s">
        <v>8832</v>
      </c>
      <c r="G1251" s="218">
        <v>5</v>
      </c>
      <c r="H1251" s="218" t="s">
        <v>614</v>
      </c>
      <c r="I1251" s="218" t="str">
        <f>("1404270129")</f>
        <v>1404270129</v>
      </c>
    </row>
    <row r="1252" spans="1:10" x14ac:dyDescent="0.15">
      <c r="A1252" s="406" t="str">
        <f t="shared" si="19"/>
        <v>朝日ＦＣ_6</v>
      </c>
      <c r="B1252" s="218" t="s">
        <v>1729</v>
      </c>
      <c r="C1252" s="218" t="str">
        <f>("6")</f>
        <v>6</v>
      </c>
      <c r="D1252" s="218" t="s">
        <v>615</v>
      </c>
      <c r="E1252" s="218" t="s">
        <v>8833</v>
      </c>
      <c r="F1252" s="218" t="s">
        <v>8834</v>
      </c>
      <c r="G1252" s="218">
        <v>5</v>
      </c>
      <c r="H1252" s="218" t="s">
        <v>614</v>
      </c>
      <c r="I1252" s="218" t="str">
        <f>("1412130121")</f>
        <v>1412130121</v>
      </c>
    </row>
    <row r="1253" spans="1:10" x14ac:dyDescent="0.15">
      <c r="A1253" s="406" t="str">
        <f t="shared" si="19"/>
        <v>朝日ＦＣ_7</v>
      </c>
      <c r="B1253" s="218" t="s">
        <v>1729</v>
      </c>
      <c r="C1253" s="218" t="str">
        <f>("7")</f>
        <v>7</v>
      </c>
      <c r="D1253" s="218" t="s">
        <v>611</v>
      </c>
      <c r="E1253" s="218" t="s">
        <v>8835</v>
      </c>
      <c r="F1253" s="218" t="s">
        <v>8836</v>
      </c>
      <c r="G1253" s="218">
        <v>6</v>
      </c>
      <c r="H1253" s="218" t="s">
        <v>614</v>
      </c>
      <c r="I1253" s="218" t="str">
        <f>("1308080165")</f>
        <v>1308080165</v>
      </c>
    </row>
    <row r="1254" spans="1:10" x14ac:dyDescent="0.15">
      <c r="A1254" s="406" t="str">
        <f t="shared" si="19"/>
        <v>朝日ＦＣ_8</v>
      </c>
      <c r="B1254" s="218" t="s">
        <v>1729</v>
      </c>
      <c r="C1254" s="218" t="str">
        <f>("8")</f>
        <v>8</v>
      </c>
      <c r="D1254" s="218" t="s">
        <v>623</v>
      </c>
      <c r="E1254" s="218" t="s">
        <v>8837</v>
      </c>
      <c r="F1254" s="218" t="s">
        <v>8838</v>
      </c>
      <c r="G1254" s="218">
        <v>5</v>
      </c>
      <c r="H1254" s="218" t="s">
        <v>614</v>
      </c>
      <c r="I1254" s="218" t="str">
        <f>("1407060116")</f>
        <v>1407060116</v>
      </c>
    </row>
    <row r="1255" spans="1:10" x14ac:dyDescent="0.15">
      <c r="A1255" s="406" t="str">
        <f t="shared" si="19"/>
        <v>朝日ＦＣ_9</v>
      </c>
      <c r="B1255" s="218" t="s">
        <v>1729</v>
      </c>
      <c r="C1255" s="218" t="str">
        <f>("9")</f>
        <v>9</v>
      </c>
      <c r="D1255" s="218" t="s">
        <v>611</v>
      </c>
      <c r="E1255" s="218" t="s">
        <v>8839</v>
      </c>
      <c r="F1255" s="218" t="s">
        <v>1443</v>
      </c>
      <c r="G1255" s="218">
        <v>5</v>
      </c>
      <c r="H1255" s="218" t="s">
        <v>614</v>
      </c>
      <c r="I1255" s="218" t="str">
        <f>("1404060128")</f>
        <v>1404060128</v>
      </c>
    </row>
    <row r="1256" spans="1:10" x14ac:dyDescent="0.15">
      <c r="A1256" s="406" t="str">
        <f t="shared" si="19"/>
        <v>朝日ＦＣ_10</v>
      </c>
      <c r="B1256" s="218" t="s">
        <v>1729</v>
      </c>
      <c r="C1256" s="218" t="str">
        <f>("10")</f>
        <v>10</v>
      </c>
      <c r="D1256" s="218" t="s">
        <v>615</v>
      </c>
      <c r="E1256" s="218" t="s">
        <v>1730</v>
      </c>
      <c r="F1256" s="218" t="s">
        <v>1731</v>
      </c>
      <c r="G1256" s="218">
        <v>6</v>
      </c>
      <c r="H1256" s="218" t="s">
        <v>616</v>
      </c>
      <c r="I1256" s="218" t="str">
        <f>("1310290151")</f>
        <v>1310290151</v>
      </c>
    </row>
    <row r="1257" spans="1:10" x14ac:dyDescent="0.15">
      <c r="A1257" s="406" t="str">
        <f t="shared" si="19"/>
        <v>朝日ＦＣ_11</v>
      </c>
      <c r="B1257" s="218" t="s">
        <v>1729</v>
      </c>
      <c r="C1257" s="218" t="str">
        <f>("11")</f>
        <v>11</v>
      </c>
      <c r="D1257" s="218" t="s">
        <v>615</v>
      </c>
      <c r="E1257" s="218" t="s">
        <v>8840</v>
      </c>
      <c r="F1257" s="218" t="s">
        <v>8841</v>
      </c>
      <c r="G1257" s="218">
        <v>5</v>
      </c>
      <c r="H1257" s="218" t="s">
        <v>614</v>
      </c>
      <c r="I1257" s="218" t="str">
        <f>("1502180147")</f>
        <v>1502180147</v>
      </c>
    </row>
    <row r="1258" spans="1:10" x14ac:dyDescent="0.15">
      <c r="A1258" s="406" t="str">
        <f t="shared" si="19"/>
        <v>朝日ＦＣ_12</v>
      </c>
      <c r="B1258" s="218" t="s">
        <v>1729</v>
      </c>
      <c r="C1258" s="218" t="str">
        <f>("12")</f>
        <v>12</v>
      </c>
      <c r="D1258" s="218" t="s">
        <v>611</v>
      </c>
      <c r="E1258" s="218" t="s">
        <v>8842</v>
      </c>
      <c r="F1258" s="218" t="s">
        <v>8843</v>
      </c>
      <c r="G1258" s="218">
        <v>6</v>
      </c>
      <c r="H1258" s="218" t="s">
        <v>614</v>
      </c>
      <c r="I1258" s="218" t="str">
        <f>("1312190138")</f>
        <v>1312190138</v>
      </c>
      <c r="J1258" s="218" t="s">
        <v>159</v>
      </c>
    </row>
    <row r="1259" spans="1:10" x14ac:dyDescent="0.15">
      <c r="A1259" s="406" t="str">
        <f t="shared" si="19"/>
        <v>朝日ＦＣ_13</v>
      </c>
      <c r="B1259" s="218" t="s">
        <v>1729</v>
      </c>
      <c r="C1259" s="218" t="str">
        <f>("13")</f>
        <v>13</v>
      </c>
      <c r="D1259" s="218" t="s">
        <v>615</v>
      </c>
      <c r="E1259" s="218" t="s">
        <v>8844</v>
      </c>
      <c r="F1259" s="218" t="s">
        <v>8845</v>
      </c>
      <c r="G1259" s="218">
        <v>5</v>
      </c>
      <c r="H1259" s="218" t="s">
        <v>614</v>
      </c>
      <c r="I1259" s="218" t="str">
        <f>("1502200143")</f>
        <v>1502200143</v>
      </c>
    </row>
    <row r="1260" spans="1:10" x14ac:dyDescent="0.15">
      <c r="A1260" s="406" t="str">
        <f t="shared" si="19"/>
        <v>朝日ＦＣ_14</v>
      </c>
      <c r="B1260" s="218" t="s">
        <v>1729</v>
      </c>
      <c r="C1260" s="218" t="str">
        <f>("14")</f>
        <v>14</v>
      </c>
      <c r="D1260" s="218" t="s">
        <v>615</v>
      </c>
      <c r="E1260" s="218" t="s">
        <v>8846</v>
      </c>
      <c r="F1260" s="218" t="s">
        <v>8847</v>
      </c>
      <c r="G1260" s="218">
        <v>5</v>
      </c>
      <c r="H1260" s="218" t="s">
        <v>614</v>
      </c>
      <c r="I1260" s="218" t="str">
        <f>("1410200171")</f>
        <v>1410200171</v>
      </c>
    </row>
    <row r="1261" spans="1:10" x14ac:dyDescent="0.15">
      <c r="A1261" s="406" t="str">
        <f t="shared" si="19"/>
        <v>朝日ＦＣ_15</v>
      </c>
      <c r="B1261" s="218" t="s">
        <v>1729</v>
      </c>
      <c r="C1261" s="218" t="str">
        <f>("15")</f>
        <v>15</v>
      </c>
      <c r="D1261" s="218" t="s">
        <v>615</v>
      </c>
      <c r="E1261" s="218" t="s">
        <v>1442</v>
      </c>
      <c r="F1261" s="218" t="s">
        <v>1443</v>
      </c>
      <c r="G1261" s="218">
        <v>5</v>
      </c>
      <c r="H1261" s="218" t="s">
        <v>614</v>
      </c>
      <c r="I1261" s="218" t="str">
        <f>("1406170192")</f>
        <v>1406170192</v>
      </c>
    </row>
    <row r="1262" spans="1:10" x14ac:dyDescent="0.15">
      <c r="A1262" s="406" t="str">
        <f t="shared" si="19"/>
        <v>朝日ＦＣ_16</v>
      </c>
      <c r="B1262" s="218" t="s">
        <v>1729</v>
      </c>
      <c r="C1262" s="218" t="str">
        <f>("16")</f>
        <v>16</v>
      </c>
      <c r="D1262" s="218" t="s">
        <v>623</v>
      </c>
      <c r="E1262" s="218" t="s">
        <v>8848</v>
      </c>
      <c r="F1262" s="218" t="s">
        <v>8849</v>
      </c>
      <c r="G1262" s="218">
        <v>5</v>
      </c>
      <c r="H1262" s="218" t="s">
        <v>614</v>
      </c>
      <c r="I1262" s="218" t="str">
        <f>("1408200137")</f>
        <v>1408200137</v>
      </c>
    </row>
    <row r="1263" spans="1:10" x14ac:dyDescent="0.15">
      <c r="A1263" s="406" t="str">
        <f t="shared" si="19"/>
        <v>朝日ＦＣ_17</v>
      </c>
      <c r="B1263" s="218" t="s">
        <v>1729</v>
      </c>
      <c r="C1263" s="218" t="str">
        <f>("17")</f>
        <v>17</v>
      </c>
      <c r="D1263" s="218" t="s">
        <v>623</v>
      </c>
      <c r="E1263" s="218" t="s">
        <v>8850</v>
      </c>
      <c r="F1263" s="218" t="s">
        <v>965</v>
      </c>
      <c r="G1263" s="218">
        <v>5</v>
      </c>
      <c r="H1263" s="218" t="s">
        <v>614</v>
      </c>
      <c r="I1263" s="218" t="str">
        <f>("1412150159")</f>
        <v>1412150159</v>
      </c>
    </row>
    <row r="1264" spans="1:10" x14ac:dyDescent="0.15">
      <c r="A1264" s="406" t="str">
        <f t="shared" si="19"/>
        <v>朝日ＦＣ_18</v>
      </c>
      <c r="B1264" s="218" t="s">
        <v>1729</v>
      </c>
      <c r="C1264" s="218" t="str">
        <f>("18")</f>
        <v>18</v>
      </c>
      <c r="D1264" s="218" t="s">
        <v>615</v>
      </c>
      <c r="E1264" s="218" t="s">
        <v>8851</v>
      </c>
      <c r="F1264" s="218" t="s">
        <v>8852</v>
      </c>
      <c r="G1264" s="218">
        <v>5</v>
      </c>
      <c r="H1264" s="218" t="s">
        <v>614</v>
      </c>
      <c r="I1264" s="218" t="str">
        <f>("1408010201")</f>
        <v>1408010201</v>
      </c>
    </row>
    <row r="1265" spans="1:10" x14ac:dyDescent="0.15">
      <c r="A1265" s="406" t="str">
        <f t="shared" si="19"/>
        <v>スマイススポーツＵ１２_1</v>
      </c>
      <c r="B1265" s="218" t="s">
        <v>8853</v>
      </c>
      <c r="C1265" s="218" t="str">
        <f>("1")</f>
        <v>1</v>
      </c>
      <c r="D1265" s="218" t="s">
        <v>624</v>
      </c>
      <c r="E1265" s="218" t="s">
        <v>8854</v>
      </c>
      <c r="F1265" s="218" t="s">
        <v>8855</v>
      </c>
      <c r="G1265" s="218">
        <v>6</v>
      </c>
      <c r="H1265" s="218" t="s">
        <v>614</v>
      </c>
      <c r="I1265" s="218" t="str">
        <f>("1311270064")</f>
        <v>1311270064</v>
      </c>
    </row>
    <row r="1266" spans="1:10" x14ac:dyDescent="0.15">
      <c r="A1266" s="406" t="str">
        <f t="shared" si="19"/>
        <v>スマイススポーツＵ１２_2</v>
      </c>
      <c r="B1266" s="218" t="s">
        <v>8853</v>
      </c>
      <c r="C1266" s="218" t="str">
        <f>("2")</f>
        <v>2</v>
      </c>
      <c r="D1266" s="218" t="s">
        <v>615</v>
      </c>
      <c r="E1266" s="218" t="s">
        <v>8856</v>
      </c>
      <c r="F1266" s="218" t="s">
        <v>8857</v>
      </c>
      <c r="G1266" s="218">
        <v>5</v>
      </c>
      <c r="H1266" s="218" t="s">
        <v>614</v>
      </c>
      <c r="I1266" s="218" t="str">
        <f>("1408160036")</f>
        <v>1408160036</v>
      </c>
    </row>
    <row r="1267" spans="1:10" x14ac:dyDescent="0.15">
      <c r="A1267" s="406" t="str">
        <f t="shared" si="19"/>
        <v>スマイススポーツＵ１２_3</v>
      </c>
      <c r="B1267" s="218" t="s">
        <v>8853</v>
      </c>
      <c r="C1267" s="218" t="str">
        <f>("3")</f>
        <v>3</v>
      </c>
      <c r="D1267" s="218" t="s">
        <v>611</v>
      </c>
      <c r="E1267" s="218" t="s">
        <v>8858</v>
      </c>
      <c r="F1267" s="218" t="s">
        <v>8859</v>
      </c>
      <c r="G1267" s="218">
        <v>6</v>
      </c>
      <c r="H1267" s="218" t="s">
        <v>614</v>
      </c>
      <c r="I1267" s="218" t="str">
        <f>("1312160174")</f>
        <v>1312160174</v>
      </c>
    </row>
    <row r="1268" spans="1:10" x14ac:dyDescent="0.15">
      <c r="A1268" s="406" t="str">
        <f t="shared" si="19"/>
        <v>スマイススポーツＵ１２_4</v>
      </c>
      <c r="B1268" s="218" t="s">
        <v>8853</v>
      </c>
      <c r="C1268" s="218" t="str">
        <f>("4")</f>
        <v>4</v>
      </c>
      <c r="D1268" s="218" t="s">
        <v>615</v>
      </c>
      <c r="E1268" s="218" t="s">
        <v>8860</v>
      </c>
      <c r="F1268" s="218" t="s">
        <v>8861</v>
      </c>
      <c r="G1268" s="218">
        <v>4</v>
      </c>
      <c r="H1268" s="218" t="s">
        <v>614</v>
      </c>
      <c r="I1268" s="218" t="str">
        <f>("1508290044")</f>
        <v>1508290044</v>
      </c>
    </row>
    <row r="1269" spans="1:10" x14ac:dyDescent="0.15">
      <c r="A1269" s="406" t="str">
        <f t="shared" si="19"/>
        <v>スマイススポーツＵ１２_5</v>
      </c>
      <c r="B1269" s="218" t="s">
        <v>8853</v>
      </c>
      <c r="C1269" s="218" t="str">
        <f>("5")</f>
        <v>5</v>
      </c>
      <c r="D1269" s="218" t="s">
        <v>611</v>
      </c>
      <c r="E1269" s="218" t="s">
        <v>1090</v>
      </c>
      <c r="F1269" s="218" t="s">
        <v>1091</v>
      </c>
      <c r="G1269" s="218">
        <v>6</v>
      </c>
      <c r="H1269" s="218" t="s">
        <v>614</v>
      </c>
      <c r="I1269" s="218" t="str">
        <f>("1310310034")</f>
        <v>1310310034</v>
      </c>
    </row>
    <row r="1270" spans="1:10" x14ac:dyDescent="0.15">
      <c r="A1270" s="406" t="str">
        <f t="shared" si="19"/>
        <v>スマイススポーツＵ１２_6</v>
      </c>
      <c r="B1270" s="218" t="s">
        <v>8853</v>
      </c>
      <c r="C1270" s="218" t="str">
        <f>("6")</f>
        <v>6</v>
      </c>
      <c r="D1270" s="218" t="s">
        <v>611</v>
      </c>
      <c r="E1270" s="218" t="s">
        <v>8862</v>
      </c>
      <c r="F1270" s="218" t="s">
        <v>8863</v>
      </c>
      <c r="G1270" s="218">
        <v>5</v>
      </c>
      <c r="H1270" s="218" t="s">
        <v>614</v>
      </c>
      <c r="I1270" s="218" t="str">
        <f>("1412050098")</f>
        <v>1412050098</v>
      </c>
    </row>
    <row r="1271" spans="1:10" x14ac:dyDescent="0.15">
      <c r="A1271" s="406" t="str">
        <f t="shared" si="19"/>
        <v>スマイススポーツＵ１２_7</v>
      </c>
      <c r="B1271" s="218" t="s">
        <v>8853</v>
      </c>
      <c r="C1271" s="218" t="str">
        <f>("7")</f>
        <v>7</v>
      </c>
      <c r="D1271" s="218" t="s">
        <v>615</v>
      </c>
      <c r="E1271" s="218" t="s">
        <v>8864</v>
      </c>
      <c r="F1271" s="218" t="s">
        <v>8865</v>
      </c>
      <c r="G1271" s="218">
        <v>6</v>
      </c>
      <c r="H1271" s="218" t="s">
        <v>614</v>
      </c>
      <c r="I1271" s="218" t="str">
        <f>("1311280037")</f>
        <v>1311280037</v>
      </c>
    </row>
    <row r="1272" spans="1:10" x14ac:dyDescent="0.15">
      <c r="A1272" s="406" t="str">
        <f t="shared" si="19"/>
        <v>スマイススポーツＵ１２_8</v>
      </c>
      <c r="B1272" s="218" t="s">
        <v>8853</v>
      </c>
      <c r="C1272" s="218" t="str">
        <f>("8")</f>
        <v>8</v>
      </c>
      <c r="D1272" s="218" t="s">
        <v>615</v>
      </c>
      <c r="E1272" s="218" t="s">
        <v>8866</v>
      </c>
      <c r="F1272" s="218" t="s">
        <v>8867</v>
      </c>
      <c r="G1272" s="218">
        <v>6</v>
      </c>
      <c r="H1272" s="218" t="s">
        <v>614</v>
      </c>
      <c r="I1272" s="218" t="str">
        <f>("1401080073")</f>
        <v>1401080073</v>
      </c>
    </row>
    <row r="1273" spans="1:10" x14ac:dyDescent="0.15">
      <c r="A1273" s="406" t="str">
        <f t="shared" si="19"/>
        <v>スマイススポーツＵ１２_9</v>
      </c>
      <c r="B1273" s="218" t="s">
        <v>8853</v>
      </c>
      <c r="C1273" s="218" t="str">
        <f>("9")</f>
        <v>9</v>
      </c>
      <c r="D1273" s="218" t="s">
        <v>623</v>
      </c>
      <c r="E1273" s="218" t="s">
        <v>8868</v>
      </c>
      <c r="F1273" s="218" t="s">
        <v>8869</v>
      </c>
      <c r="G1273" s="218">
        <v>6</v>
      </c>
      <c r="H1273" s="218" t="s">
        <v>614</v>
      </c>
      <c r="I1273" s="218" t="str">
        <f>("1305210234")</f>
        <v>1305210234</v>
      </c>
      <c r="J1273" s="218" t="s">
        <v>159</v>
      </c>
    </row>
    <row r="1274" spans="1:10" x14ac:dyDescent="0.15">
      <c r="A1274" s="406" t="str">
        <f t="shared" si="19"/>
        <v>スマイススポーツＵ１２_10</v>
      </c>
      <c r="B1274" s="218" t="s">
        <v>8853</v>
      </c>
      <c r="C1274" s="218" t="str">
        <f>("10")</f>
        <v>10</v>
      </c>
      <c r="D1274" s="218" t="s">
        <v>623</v>
      </c>
      <c r="E1274" s="218" t="s">
        <v>8870</v>
      </c>
      <c r="F1274" s="218" t="s">
        <v>8871</v>
      </c>
      <c r="G1274" s="218">
        <v>6</v>
      </c>
      <c r="H1274" s="218" t="s">
        <v>614</v>
      </c>
      <c r="I1274" s="218" t="str">
        <f>("1311140095")</f>
        <v>1311140095</v>
      </c>
    </row>
    <row r="1275" spans="1:10" x14ac:dyDescent="0.15">
      <c r="A1275" s="406" t="str">
        <f t="shared" si="19"/>
        <v>スマイススポーツＵ１２_11</v>
      </c>
      <c r="B1275" s="218" t="s">
        <v>8853</v>
      </c>
      <c r="C1275" s="218" t="str">
        <f>("11")</f>
        <v>11</v>
      </c>
      <c r="D1275" s="218" t="s">
        <v>623</v>
      </c>
      <c r="E1275" s="218" t="s">
        <v>8872</v>
      </c>
      <c r="F1275" s="218" t="s">
        <v>8873</v>
      </c>
      <c r="G1275" s="218">
        <v>5</v>
      </c>
      <c r="H1275" s="218" t="s">
        <v>614</v>
      </c>
      <c r="I1275" s="218" t="str">
        <f>("1409120122")</f>
        <v>1409120122</v>
      </c>
    </row>
    <row r="1276" spans="1:10" x14ac:dyDescent="0.15">
      <c r="A1276" s="406" t="str">
        <f t="shared" si="19"/>
        <v>スマイススポーツＵ１２_12</v>
      </c>
      <c r="B1276" s="218" t="s">
        <v>8853</v>
      </c>
      <c r="C1276" s="218" t="str">
        <f>("12")</f>
        <v>12</v>
      </c>
      <c r="D1276" s="218" t="s">
        <v>611</v>
      </c>
      <c r="E1276" s="218" t="s">
        <v>8874</v>
      </c>
      <c r="F1276" s="218" t="s">
        <v>8875</v>
      </c>
      <c r="G1276" s="218">
        <v>6</v>
      </c>
      <c r="H1276" s="218" t="s">
        <v>614</v>
      </c>
      <c r="I1276" s="218" t="str">
        <f>("1402060149")</f>
        <v>1402060149</v>
      </c>
    </row>
    <row r="1277" spans="1:10" x14ac:dyDescent="0.15">
      <c r="A1277" s="406" t="str">
        <f t="shared" si="19"/>
        <v>スマイススポーツＵ１２_13</v>
      </c>
      <c r="B1277" s="218" t="s">
        <v>8853</v>
      </c>
      <c r="C1277" s="218" t="str">
        <f>("13")</f>
        <v>13</v>
      </c>
      <c r="D1277" s="218" t="s">
        <v>615</v>
      </c>
      <c r="E1277" s="218" t="s">
        <v>8876</v>
      </c>
      <c r="F1277" s="218" t="s">
        <v>8877</v>
      </c>
      <c r="G1277" s="218">
        <v>6</v>
      </c>
      <c r="H1277" s="218" t="s">
        <v>614</v>
      </c>
      <c r="I1277" s="218" t="str">
        <f>("1311260171")</f>
        <v>1311260171</v>
      </c>
    </row>
    <row r="1278" spans="1:10" x14ac:dyDescent="0.15">
      <c r="A1278" s="406" t="str">
        <f t="shared" si="19"/>
        <v>スマイススポーツＵ１２_14</v>
      </c>
      <c r="B1278" s="218" t="s">
        <v>8853</v>
      </c>
      <c r="C1278" s="218" t="str">
        <f>("14")</f>
        <v>14</v>
      </c>
      <c r="D1278" s="218" t="s">
        <v>611</v>
      </c>
      <c r="E1278" s="218" t="s">
        <v>8878</v>
      </c>
      <c r="F1278" s="218" t="s">
        <v>8879</v>
      </c>
      <c r="G1278" s="218">
        <v>5</v>
      </c>
      <c r="H1278" s="218" t="s">
        <v>616</v>
      </c>
      <c r="I1278" s="218" t="str">
        <f>("1410160139")</f>
        <v>1410160139</v>
      </c>
    </row>
    <row r="1279" spans="1:10" x14ac:dyDescent="0.15">
      <c r="A1279" s="406" t="str">
        <f t="shared" si="19"/>
        <v>スマイススポーツＵ１２_15</v>
      </c>
      <c r="B1279" s="218" t="s">
        <v>8853</v>
      </c>
      <c r="C1279" s="218" t="str">
        <f>("15")</f>
        <v>15</v>
      </c>
      <c r="D1279" s="218" t="s">
        <v>623</v>
      </c>
      <c r="E1279" s="218" t="s">
        <v>1058</v>
      </c>
      <c r="F1279" s="218" t="s">
        <v>1059</v>
      </c>
      <c r="G1279" s="218">
        <v>6</v>
      </c>
      <c r="H1279" s="218" t="s">
        <v>614</v>
      </c>
      <c r="I1279" s="218" t="str">
        <f>("1306040122")</f>
        <v>1306040122</v>
      </c>
    </row>
    <row r="1280" spans="1:10" x14ac:dyDescent="0.15">
      <c r="A1280" s="406" t="str">
        <f t="shared" si="19"/>
        <v>スマイススポーツＵ１２_17</v>
      </c>
      <c r="B1280" s="218" t="s">
        <v>8853</v>
      </c>
      <c r="C1280" s="218" t="str">
        <f>("17")</f>
        <v>17</v>
      </c>
      <c r="D1280" s="218" t="s">
        <v>615</v>
      </c>
      <c r="E1280" s="218" t="s">
        <v>8880</v>
      </c>
      <c r="F1280" s="218" t="s">
        <v>8881</v>
      </c>
      <c r="G1280" s="218">
        <v>4</v>
      </c>
      <c r="H1280" s="218" t="s">
        <v>614</v>
      </c>
      <c r="I1280" s="218" t="str">
        <f>("1507220050")</f>
        <v>1507220050</v>
      </c>
    </row>
    <row r="1281" spans="1:10" x14ac:dyDescent="0.15">
      <c r="A1281" s="406" t="str">
        <f t="shared" ref="A1281:A1344" si="20">CONCATENATE(B1281,"_",C1281)</f>
        <v>スマイススポーツＵ１２Ｂ_1</v>
      </c>
      <c r="B1281" s="218" t="s">
        <v>8882</v>
      </c>
      <c r="C1281" s="218" t="str">
        <f>("1")</f>
        <v>1</v>
      </c>
      <c r="D1281" s="218" t="s">
        <v>624</v>
      </c>
      <c r="E1281" s="218" t="s">
        <v>8883</v>
      </c>
      <c r="F1281" s="218" t="s">
        <v>8884</v>
      </c>
      <c r="G1281" s="218">
        <v>5</v>
      </c>
      <c r="H1281" s="218" t="s">
        <v>614</v>
      </c>
      <c r="I1281" s="218" t="str">
        <f>("1412200163")</f>
        <v>1412200163</v>
      </c>
    </row>
    <row r="1282" spans="1:10" x14ac:dyDescent="0.15">
      <c r="A1282" s="406" t="str">
        <f t="shared" si="20"/>
        <v>スマイススポーツＵ１２Ｂ_2</v>
      </c>
      <c r="B1282" s="218" t="s">
        <v>8882</v>
      </c>
      <c r="C1282" s="218" t="str">
        <f>("2")</f>
        <v>2</v>
      </c>
      <c r="D1282" s="218" t="s">
        <v>615</v>
      </c>
      <c r="E1282" s="218" t="s">
        <v>8885</v>
      </c>
      <c r="F1282" s="218" t="s">
        <v>8886</v>
      </c>
      <c r="G1282" s="218">
        <v>5</v>
      </c>
      <c r="H1282" s="218" t="s">
        <v>614</v>
      </c>
      <c r="I1282" s="218" t="str">
        <f>("1409260199")</f>
        <v>1409260199</v>
      </c>
    </row>
    <row r="1283" spans="1:10" x14ac:dyDescent="0.15">
      <c r="A1283" s="406" t="str">
        <f t="shared" si="20"/>
        <v>スマイススポーツＵ１２Ｂ_3</v>
      </c>
      <c r="B1283" s="218" t="s">
        <v>8882</v>
      </c>
      <c r="C1283" s="218" t="str">
        <f>("3")</f>
        <v>3</v>
      </c>
      <c r="D1283" s="218" t="s">
        <v>615</v>
      </c>
      <c r="E1283" s="218" t="s">
        <v>8887</v>
      </c>
      <c r="F1283" s="218" t="s">
        <v>8888</v>
      </c>
      <c r="G1283" s="218">
        <v>5</v>
      </c>
      <c r="H1283" s="218" t="s">
        <v>614</v>
      </c>
      <c r="I1283" s="218" t="str">
        <f>("1412210113")</f>
        <v>1412210113</v>
      </c>
    </row>
    <row r="1284" spans="1:10" x14ac:dyDescent="0.15">
      <c r="A1284" s="406" t="str">
        <f t="shared" si="20"/>
        <v>スマイススポーツＵ１２Ｂ_4</v>
      </c>
      <c r="B1284" s="218" t="s">
        <v>8882</v>
      </c>
      <c r="C1284" s="218" t="str">
        <f>("4")</f>
        <v>4</v>
      </c>
      <c r="D1284" s="218" t="s">
        <v>611</v>
      </c>
      <c r="E1284" s="218" t="s">
        <v>8889</v>
      </c>
      <c r="F1284" s="218" t="s">
        <v>8890</v>
      </c>
      <c r="G1284" s="218">
        <v>4</v>
      </c>
      <c r="H1284" s="218" t="s">
        <v>614</v>
      </c>
      <c r="I1284" s="218" t="str">
        <f>("1509270108")</f>
        <v>1509270108</v>
      </c>
    </row>
    <row r="1285" spans="1:10" x14ac:dyDescent="0.15">
      <c r="A1285" s="406" t="str">
        <f t="shared" si="20"/>
        <v>スマイススポーツＵ１２Ｂ_5</v>
      </c>
      <c r="B1285" s="218" t="s">
        <v>8882</v>
      </c>
      <c r="C1285" s="218" t="str">
        <f>("5")</f>
        <v>5</v>
      </c>
      <c r="D1285" s="218" t="s">
        <v>615</v>
      </c>
      <c r="E1285" s="218" t="s">
        <v>8891</v>
      </c>
      <c r="F1285" s="218" t="s">
        <v>8892</v>
      </c>
      <c r="G1285" s="218">
        <v>5</v>
      </c>
      <c r="H1285" s="218" t="s">
        <v>614</v>
      </c>
      <c r="I1285" s="218" t="str">
        <f>("1404280113")</f>
        <v>1404280113</v>
      </c>
    </row>
    <row r="1286" spans="1:10" x14ac:dyDescent="0.15">
      <c r="A1286" s="406" t="str">
        <f t="shared" si="20"/>
        <v>スマイススポーツＵ１２Ｂ_6</v>
      </c>
      <c r="B1286" s="218" t="s">
        <v>8882</v>
      </c>
      <c r="C1286" s="218" t="str">
        <f>("6")</f>
        <v>6</v>
      </c>
      <c r="D1286" s="218" t="s">
        <v>611</v>
      </c>
      <c r="E1286" s="218" t="s">
        <v>8893</v>
      </c>
      <c r="F1286" s="218" t="s">
        <v>8894</v>
      </c>
      <c r="G1286" s="218">
        <v>6</v>
      </c>
      <c r="H1286" s="218" t="s">
        <v>614</v>
      </c>
      <c r="I1286" s="218" t="str">
        <f>("1311060211")</f>
        <v>1311060211</v>
      </c>
    </row>
    <row r="1287" spans="1:10" x14ac:dyDescent="0.15">
      <c r="A1287" s="406" t="str">
        <f t="shared" si="20"/>
        <v>スマイススポーツＵ１２Ｂ_7</v>
      </c>
      <c r="B1287" s="218" t="s">
        <v>8882</v>
      </c>
      <c r="C1287" s="218" t="str">
        <f>("7")</f>
        <v>7</v>
      </c>
      <c r="D1287" s="218" t="s">
        <v>623</v>
      </c>
      <c r="E1287" s="218" t="s">
        <v>8895</v>
      </c>
      <c r="F1287" s="218" t="s">
        <v>8896</v>
      </c>
      <c r="G1287" s="218">
        <v>6</v>
      </c>
      <c r="H1287" s="218" t="s">
        <v>616</v>
      </c>
      <c r="I1287" s="218" t="str">
        <f>("1309060200")</f>
        <v>1309060200</v>
      </c>
    </row>
    <row r="1288" spans="1:10" x14ac:dyDescent="0.15">
      <c r="A1288" s="406" t="str">
        <f t="shared" si="20"/>
        <v>スマイススポーツＵ１２Ｂ_8</v>
      </c>
      <c r="B1288" s="218" t="s">
        <v>8882</v>
      </c>
      <c r="C1288" s="218" t="str">
        <f>("8")</f>
        <v>8</v>
      </c>
      <c r="D1288" s="218" t="s">
        <v>623</v>
      </c>
      <c r="E1288" s="218" t="s">
        <v>8897</v>
      </c>
      <c r="F1288" s="218" t="s">
        <v>8898</v>
      </c>
      <c r="G1288" s="218">
        <v>6</v>
      </c>
      <c r="H1288" s="218" t="s">
        <v>614</v>
      </c>
      <c r="I1288" s="218" t="str">
        <f>("1312140130")</f>
        <v>1312140130</v>
      </c>
    </row>
    <row r="1289" spans="1:10" x14ac:dyDescent="0.15">
      <c r="A1289" s="406" t="str">
        <f t="shared" si="20"/>
        <v>スマイススポーツＵ１２Ｂ_9</v>
      </c>
      <c r="B1289" s="218" t="s">
        <v>8882</v>
      </c>
      <c r="C1289" s="218" t="str">
        <f>("9")</f>
        <v>9</v>
      </c>
      <c r="D1289" s="218" t="s">
        <v>623</v>
      </c>
      <c r="E1289" s="218" t="s">
        <v>8899</v>
      </c>
      <c r="F1289" s="218" t="s">
        <v>8900</v>
      </c>
      <c r="G1289" s="218">
        <v>6</v>
      </c>
      <c r="H1289" s="218" t="s">
        <v>614</v>
      </c>
      <c r="I1289" s="218" t="str">
        <f>("1305210292")</f>
        <v>1305210292</v>
      </c>
    </row>
    <row r="1290" spans="1:10" x14ac:dyDescent="0.15">
      <c r="A1290" s="406" t="str">
        <f t="shared" si="20"/>
        <v>スマイススポーツＵ１２Ｂ_10</v>
      </c>
      <c r="B1290" s="218" t="s">
        <v>8882</v>
      </c>
      <c r="C1290" s="218" t="str">
        <f>("10")</f>
        <v>10</v>
      </c>
      <c r="D1290" s="218" t="s">
        <v>623</v>
      </c>
      <c r="E1290" s="218" t="s">
        <v>8901</v>
      </c>
      <c r="F1290" s="218" t="s">
        <v>8902</v>
      </c>
      <c r="G1290" s="218">
        <v>6</v>
      </c>
      <c r="H1290" s="218" t="s">
        <v>614</v>
      </c>
      <c r="I1290" s="218" t="str">
        <f>("1310170223")</f>
        <v>1310170223</v>
      </c>
      <c r="J1290" s="218" t="s">
        <v>159</v>
      </c>
    </row>
    <row r="1291" spans="1:10" x14ac:dyDescent="0.15">
      <c r="A1291" s="406" t="str">
        <f t="shared" si="20"/>
        <v>スマイススポーツＵ１２Ｂ_11</v>
      </c>
      <c r="B1291" s="218" t="s">
        <v>8882</v>
      </c>
      <c r="C1291" s="218" t="str">
        <f>("11")</f>
        <v>11</v>
      </c>
      <c r="D1291" s="218" t="s">
        <v>623</v>
      </c>
      <c r="E1291" s="218" t="s">
        <v>8903</v>
      </c>
      <c r="F1291" s="218" t="s">
        <v>8904</v>
      </c>
      <c r="G1291" s="218">
        <v>6</v>
      </c>
      <c r="H1291" s="218" t="s">
        <v>614</v>
      </c>
      <c r="I1291" s="218" t="str">
        <f>("1304070188")</f>
        <v>1304070188</v>
      </c>
    </row>
    <row r="1292" spans="1:10" x14ac:dyDescent="0.15">
      <c r="A1292" s="406" t="str">
        <f t="shared" si="20"/>
        <v>スマイススポーツＵ１２Ｂ_12</v>
      </c>
      <c r="B1292" s="218" t="s">
        <v>8882</v>
      </c>
      <c r="C1292" s="218" t="str">
        <f>("12")</f>
        <v>12</v>
      </c>
      <c r="D1292" s="218" t="s">
        <v>611</v>
      </c>
      <c r="E1292" s="218" t="s">
        <v>8905</v>
      </c>
      <c r="F1292" s="218" t="s">
        <v>8906</v>
      </c>
      <c r="G1292" s="218">
        <v>6</v>
      </c>
      <c r="H1292" s="218" t="s">
        <v>614</v>
      </c>
      <c r="I1292" s="218" t="str">
        <f>("1402060150")</f>
        <v>1402060150</v>
      </c>
    </row>
    <row r="1293" spans="1:10" x14ac:dyDescent="0.15">
      <c r="A1293" s="406" t="str">
        <f t="shared" si="20"/>
        <v>スマイススポーツＵ１２Ｂ_13</v>
      </c>
      <c r="B1293" s="218" t="s">
        <v>8882</v>
      </c>
      <c r="C1293" s="218" t="str">
        <f>("13")</f>
        <v>13</v>
      </c>
      <c r="D1293" s="218" t="s">
        <v>623</v>
      </c>
      <c r="E1293" s="218" t="s">
        <v>8907</v>
      </c>
      <c r="F1293" s="218" t="s">
        <v>8908</v>
      </c>
      <c r="G1293" s="218">
        <v>6</v>
      </c>
      <c r="H1293" s="218" t="s">
        <v>614</v>
      </c>
      <c r="I1293" s="218" t="str">
        <f>("1309130292")</f>
        <v>1309130292</v>
      </c>
    </row>
    <row r="1294" spans="1:10" x14ac:dyDescent="0.15">
      <c r="A1294" s="406" t="str">
        <f t="shared" si="20"/>
        <v>スマイススポーツＵ１２Ｂ_14</v>
      </c>
      <c r="B1294" s="218" t="s">
        <v>8882</v>
      </c>
      <c r="C1294" s="218" t="str">
        <f>("14")</f>
        <v>14</v>
      </c>
      <c r="D1294" s="218" t="s">
        <v>615</v>
      </c>
      <c r="E1294" s="218" t="s">
        <v>8909</v>
      </c>
      <c r="F1294" s="218" t="s">
        <v>8910</v>
      </c>
      <c r="G1294" s="218">
        <v>5</v>
      </c>
      <c r="H1294" s="218" t="s">
        <v>614</v>
      </c>
      <c r="I1294" s="218" t="str">
        <f>("1412090249")</f>
        <v>1412090249</v>
      </c>
    </row>
    <row r="1295" spans="1:10" x14ac:dyDescent="0.15">
      <c r="A1295" s="406" t="str">
        <f t="shared" si="20"/>
        <v>スマイススポーツＵ１２Ｂ_16</v>
      </c>
      <c r="B1295" s="218" t="s">
        <v>8882</v>
      </c>
      <c r="C1295" s="218" t="str">
        <f>("16")</f>
        <v>16</v>
      </c>
      <c r="D1295" s="218" t="s">
        <v>624</v>
      </c>
      <c r="E1295" s="218" t="s">
        <v>8911</v>
      </c>
      <c r="F1295" s="218" t="s">
        <v>8912</v>
      </c>
      <c r="G1295" s="218">
        <v>4</v>
      </c>
      <c r="H1295" s="218" t="s">
        <v>614</v>
      </c>
      <c r="I1295" s="218" t="str">
        <f>("1510220126")</f>
        <v>1510220126</v>
      </c>
    </row>
    <row r="1296" spans="1:10" x14ac:dyDescent="0.15">
      <c r="A1296" s="406" t="str">
        <f t="shared" si="20"/>
        <v>スマイススポーツＵ１２Ｂ_17</v>
      </c>
      <c r="B1296" s="218" t="s">
        <v>8882</v>
      </c>
      <c r="C1296" s="218" t="str">
        <f>("17")</f>
        <v>17</v>
      </c>
      <c r="D1296" s="218" t="s">
        <v>623</v>
      </c>
      <c r="E1296" s="218" t="s">
        <v>8913</v>
      </c>
      <c r="F1296" s="218" t="s">
        <v>8914</v>
      </c>
      <c r="G1296" s="218">
        <v>5</v>
      </c>
      <c r="H1296" s="218" t="s">
        <v>614</v>
      </c>
      <c r="I1296" s="218" t="str">
        <f>("1405200181")</f>
        <v>1405200181</v>
      </c>
    </row>
    <row r="1297" spans="1:10" x14ac:dyDescent="0.15">
      <c r="A1297" s="406" t="str">
        <f t="shared" si="20"/>
        <v>ＦＣ　ＪＵＮＩＯＲＳ_1</v>
      </c>
      <c r="B1297" s="218" t="s">
        <v>1753</v>
      </c>
      <c r="C1297" s="218" t="str">
        <f>("1")</f>
        <v>1</v>
      </c>
      <c r="D1297" s="218" t="s">
        <v>624</v>
      </c>
      <c r="E1297" s="218" t="s">
        <v>8915</v>
      </c>
      <c r="F1297" s="218" t="s">
        <v>8916</v>
      </c>
      <c r="G1297" s="218">
        <v>6</v>
      </c>
      <c r="H1297" s="218" t="s">
        <v>614</v>
      </c>
      <c r="I1297" s="218" t="str">
        <f>("1312100195")</f>
        <v>1312100195</v>
      </c>
    </row>
    <row r="1298" spans="1:10" x14ac:dyDescent="0.15">
      <c r="A1298" s="406" t="str">
        <f t="shared" si="20"/>
        <v>ＦＣ　ＪＵＮＩＯＲＳ_2</v>
      </c>
      <c r="B1298" s="218" t="s">
        <v>1753</v>
      </c>
      <c r="C1298" s="218" t="str">
        <f>("2")</f>
        <v>2</v>
      </c>
      <c r="D1298" s="218" t="s">
        <v>611</v>
      </c>
      <c r="E1298" s="218" t="s">
        <v>8917</v>
      </c>
      <c r="F1298" s="218" t="s">
        <v>8918</v>
      </c>
      <c r="G1298" s="218">
        <v>6</v>
      </c>
      <c r="H1298" s="218" t="s">
        <v>614</v>
      </c>
      <c r="I1298" s="218" t="str">
        <f>("1312270218")</f>
        <v>1312270218</v>
      </c>
    </row>
    <row r="1299" spans="1:10" x14ac:dyDescent="0.15">
      <c r="A1299" s="406" t="str">
        <f t="shared" si="20"/>
        <v>ＦＣ　ＪＵＮＩＯＲＳ_3</v>
      </c>
      <c r="B1299" s="218" t="s">
        <v>1753</v>
      </c>
      <c r="C1299" s="218" t="str">
        <f>("3")</f>
        <v>3</v>
      </c>
      <c r="D1299" s="218" t="s">
        <v>615</v>
      </c>
      <c r="E1299" s="218" t="s">
        <v>8919</v>
      </c>
      <c r="F1299" s="218" t="s">
        <v>8920</v>
      </c>
      <c r="G1299" s="218">
        <v>6</v>
      </c>
      <c r="H1299" s="218" t="s">
        <v>614</v>
      </c>
      <c r="I1299" s="218" t="str">
        <f>("1402250188")</f>
        <v>1402250188</v>
      </c>
    </row>
    <row r="1300" spans="1:10" x14ac:dyDescent="0.15">
      <c r="A1300" s="406" t="str">
        <f t="shared" si="20"/>
        <v>ＦＣ　ＪＵＮＩＯＲＳ_4</v>
      </c>
      <c r="B1300" s="218" t="s">
        <v>1753</v>
      </c>
      <c r="C1300" s="218" t="str">
        <f>("4")</f>
        <v>4</v>
      </c>
      <c r="D1300" s="218" t="s">
        <v>611</v>
      </c>
      <c r="E1300" s="218" t="s">
        <v>8921</v>
      </c>
      <c r="F1300" s="218" t="s">
        <v>8922</v>
      </c>
      <c r="G1300" s="218">
        <v>6</v>
      </c>
      <c r="H1300" s="218" t="s">
        <v>614</v>
      </c>
      <c r="I1300" s="218" t="str">
        <f>("1311110086")</f>
        <v>1311110086</v>
      </c>
    </row>
    <row r="1301" spans="1:10" x14ac:dyDescent="0.15">
      <c r="A1301" s="406" t="str">
        <f t="shared" si="20"/>
        <v>ＦＣ　ＪＵＮＩＯＲＳ_5</v>
      </c>
      <c r="B1301" s="218" t="s">
        <v>1753</v>
      </c>
      <c r="C1301" s="218" t="str">
        <f>("5")</f>
        <v>5</v>
      </c>
      <c r="D1301" s="218" t="s">
        <v>611</v>
      </c>
      <c r="E1301" s="218" t="s">
        <v>8923</v>
      </c>
      <c r="F1301" s="218" t="s">
        <v>8924</v>
      </c>
      <c r="G1301" s="218">
        <v>6</v>
      </c>
      <c r="H1301" s="218" t="s">
        <v>614</v>
      </c>
      <c r="I1301" s="218" t="str">
        <f>("1308280242")</f>
        <v>1308280242</v>
      </c>
    </row>
    <row r="1302" spans="1:10" x14ac:dyDescent="0.15">
      <c r="A1302" s="406" t="str">
        <f t="shared" si="20"/>
        <v>ＦＣ　ＪＵＮＩＯＲＳ_6</v>
      </c>
      <c r="B1302" s="218" t="s">
        <v>1753</v>
      </c>
      <c r="C1302" s="218" t="str">
        <f>("6")</f>
        <v>6</v>
      </c>
      <c r="D1302" s="218" t="s">
        <v>615</v>
      </c>
      <c r="E1302" s="218" t="s">
        <v>11843</v>
      </c>
      <c r="F1302" s="218" t="s">
        <v>11844</v>
      </c>
      <c r="G1302" s="218">
        <v>4</v>
      </c>
      <c r="H1302" s="218" t="s">
        <v>614</v>
      </c>
      <c r="I1302" s="218" t="str">
        <f>("1504180095")</f>
        <v>1504180095</v>
      </c>
    </row>
    <row r="1303" spans="1:10" x14ac:dyDescent="0.15">
      <c r="A1303" s="406" t="str">
        <f t="shared" si="20"/>
        <v>ＦＣ　ＪＵＮＩＯＲＳ_7</v>
      </c>
      <c r="B1303" s="218" t="s">
        <v>1753</v>
      </c>
      <c r="C1303" s="218" t="str">
        <f>("7")</f>
        <v>7</v>
      </c>
      <c r="D1303" s="218" t="s">
        <v>615</v>
      </c>
      <c r="E1303" s="218" t="s">
        <v>8925</v>
      </c>
      <c r="F1303" s="218" t="s">
        <v>8926</v>
      </c>
      <c r="G1303" s="218">
        <v>6</v>
      </c>
      <c r="H1303" s="218" t="s">
        <v>614</v>
      </c>
      <c r="I1303" s="218" t="str">
        <f>("1312120218")</f>
        <v>1312120218</v>
      </c>
    </row>
    <row r="1304" spans="1:10" x14ac:dyDescent="0.15">
      <c r="A1304" s="406" t="str">
        <f t="shared" si="20"/>
        <v>ＦＣ　ＪＵＮＩＯＲＳ_8</v>
      </c>
      <c r="B1304" s="218" t="s">
        <v>1753</v>
      </c>
      <c r="C1304" s="218" t="str">
        <f>("8")</f>
        <v>8</v>
      </c>
      <c r="D1304" s="218" t="s">
        <v>615</v>
      </c>
      <c r="E1304" s="218" t="s">
        <v>8927</v>
      </c>
      <c r="F1304" s="218" t="s">
        <v>8928</v>
      </c>
      <c r="G1304" s="218">
        <v>6</v>
      </c>
      <c r="H1304" s="218" t="s">
        <v>614</v>
      </c>
      <c r="I1304" s="218" t="str">
        <f>("1403310157")</f>
        <v>1403310157</v>
      </c>
    </row>
    <row r="1305" spans="1:10" x14ac:dyDescent="0.15">
      <c r="A1305" s="406" t="str">
        <f t="shared" si="20"/>
        <v>ＦＣ　ＪＵＮＩＯＲＳ_9</v>
      </c>
      <c r="B1305" s="218" t="s">
        <v>1753</v>
      </c>
      <c r="C1305" s="218" t="str">
        <f>("9")</f>
        <v>9</v>
      </c>
      <c r="D1305" s="218" t="s">
        <v>623</v>
      </c>
      <c r="E1305" s="218" t="s">
        <v>8929</v>
      </c>
      <c r="F1305" s="218" t="s">
        <v>8930</v>
      </c>
      <c r="G1305" s="218">
        <v>6</v>
      </c>
      <c r="H1305" s="218" t="s">
        <v>614</v>
      </c>
      <c r="I1305" s="218" t="str">
        <f>("1403110159")</f>
        <v>1403110159</v>
      </c>
    </row>
    <row r="1306" spans="1:10" x14ac:dyDescent="0.15">
      <c r="A1306" s="406" t="str">
        <f t="shared" si="20"/>
        <v>ＦＣ　ＪＵＮＩＯＲＳ_10</v>
      </c>
      <c r="B1306" s="218" t="s">
        <v>1753</v>
      </c>
      <c r="C1306" s="218" t="str">
        <f>("10")</f>
        <v>10</v>
      </c>
      <c r="D1306" s="218" t="s">
        <v>615</v>
      </c>
      <c r="E1306" s="218" t="s">
        <v>8931</v>
      </c>
      <c r="F1306" s="218" t="s">
        <v>8932</v>
      </c>
      <c r="G1306" s="218">
        <v>6</v>
      </c>
      <c r="H1306" s="218" t="s">
        <v>614</v>
      </c>
      <c r="I1306" s="218" t="str">
        <f>("1312270171")</f>
        <v>1312270171</v>
      </c>
      <c r="J1306" s="218" t="s">
        <v>159</v>
      </c>
    </row>
    <row r="1307" spans="1:10" x14ac:dyDescent="0.15">
      <c r="A1307" s="406" t="str">
        <f t="shared" si="20"/>
        <v>ＦＣ　ＪＵＮＩＯＲＳ_11</v>
      </c>
      <c r="B1307" s="218" t="s">
        <v>1753</v>
      </c>
      <c r="C1307" s="218" t="str">
        <f>("11")</f>
        <v>11</v>
      </c>
      <c r="D1307" s="218" t="s">
        <v>623</v>
      </c>
      <c r="E1307" s="218" t="s">
        <v>8933</v>
      </c>
      <c r="F1307" s="218" t="s">
        <v>8934</v>
      </c>
      <c r="G1307" s="218">
        <v>6</v>
      </c>
      <c r="H1307" s="218" t="s">
        <v>614</v>
      </c>
      <c r="I1307" s="218" t="str">
        <f>("1310110233")</f>
        <v>1310110233</v>
      </c>
    </row>
    <row r="1308" spans="1:10" x14ac:dyDescent="0.15">
      <c r="A1308" s="406" t="str">
        <f t="shared" si="20"/>
        <v>ＦＣ　ＪＵＮＩＯＲＳ_12</v>
      </c>
      <c r="B1308" s="218" t="s">
        <v>1753</v>
      </c>
      <c r="C1308" s="218" t="str">
        <f>("12")</f>
        <v>12</v>
      </c>
      <c r="D1308" s="218" t="s">
        <v>624</v>
      </c>
      <c r="E1308" s="218" t="s">
        <v>8941</v>
      </c>
      <c r="F1308" s="218" t="s">
        <v>8942</v>
      </c>
      <c r="G1308" s="218">
        <v>5</v>
      </c>
      <c r="H1308" s="218" t="s">
        <v>614</v>
      </c>
      <c r="I1308" s="218" t="str">
        <f>("1502140152")</f>
        <v>1502140152</v>
      </c>
    </row>
    <row r="1309" spans="1:10" x14ac:dyDescent="0.15">
      <c r="A1309" s="406" t="str">
        <f t="shared" si="20"/>
        <v>ＦＣ　ＪＵＮＩＯＲＳ_13</v>
      </c>
      <c r="B1309" s="218" t="s">
        <v>1753</v>
      </c>
      <c r="C1309" s="218" t="str">
        <f>("13")</f>
        <v>13</v>
      </c>
      <c r="D1309" s="218" t="s">
        <v>615</v>
      </c>
      <c r="E1309" s="218" t="s">
        <v>8935</v>
      </c>
      <c r="F1309" s="218" t="s">
        <v>8936</v>
      </c>
      <c r="G1309" s="218">
        <v>6</v>
      </c>
      <c r="H1309" s="218" t="s">
        <v>614</v>
      </c>
      <c r="I1309" s="218" t="str">
        <f>("1306040235")</f>
        <v>1306040235</v>
      </c>
    </row>
    <row r="1310" spans="1:10" x14ac:dyDescent="0.15">
      <c r="A1310" s="406" t="str">
        <f t="shared" si="20"/>
        <v>ＦＣ　ＪＵＮＩＯＲＳ_14</v>
      </c>
      <c r="B1310" s="218" t="s">
        <v>1753</v>
      </c>
      <c r="C1310" s="218" t="str">
        <f>("14")</f>
        <v>14</v>
      </c>
      <c r="D1310" s="218" t="s">
        <v>623</v>
      </c>
      <c r="E1310" s="218" t="s">
        <v>8937</v>
      </c>
      <c r="F1310" s="218" t="s">
        <v>8938</v>
      </c>
      <c r="G1310" s="218">
        <v>6</v>
      </c>
      <c r="H1310" s="218" t="s">
        <v>614</v>
      </c>
      <c r="I1310" s="218" t="str">
        <f>("1304190089")</f>
        <v>1304190089</v>
      </c>
    </row>
    <row r="1311" spans="1:10" x14ac:dyDescent="0.15">
      <c r="A1311" s="406" t="str">
        <f t="shared" si="20"/>
        <v>ＦＣ　ＪＵＮＩＯＲＳ_15</v>
      </c>
      <c r="B1311" s="218" t="s">
        <v>1753</v>
      </c>
      <c r="C1311" s="218" t="str">
        <f>("15")</f>
        <v>15</v>
      </c>
      <c r="D1311" s="218" t="s">
        <v>611</v>
      </c>
      <c r="E1311" s="218" t="s">
        <v>11845</v>
      </c>
      <c r="F1311" s="218" t="s">
        <v>11846</v>
      </c>
      <c r="G1311" s="218">
        <v>5</v>
      </c>
      <c r="H1311" s="218" t="s">
        <v>614</v>
      </c>
      <c r="I1311" s="218" t="str">
        <f>("1503040143")</f>
        <v>1503040143</v>
      </c>
    </row>
    <row r="1312" spans="1:10" x14ac:dyDescent="0.15">
      <c r="A1312" s="406" t="str">
        <f t="shared" si="20"/>
        <v>ＦＣ　ＪＵＮＩＯＲＳ_16</v>
      </c>
      <c r="B1312" s="218" t="s">
        <v>1753</v>
      </c>
      <c r="C1312" s="218" t="str">
        <f>("16")</f>
        <v>16</v>
      </c>
      <c r="D1312" s="218" t="s">
        <v>615</v>
      </c>
      <c r="E1312" s="218" t="s">
        <v>8939</v>
      </c>
      <c r="F1312" s="218" t="s">
        <v>8940</v>
      </c>
      <c r="G1312" s="218">
        <v>5</v>
      </c>
      <c r="H1312" s="218" t="s">
        <v>614</v>
      </c>
      <c r="I1312" s="218" t="str">
        <f>("1503280120")</f>
        <v>1503280120</v>
      </c>
    </row>
    <row r="1313" spans="1:10" x14ac:dyDescent="0.15">
      <c r="A1313" s="406" t="str">
        <f t="shared" si="20"/>
        <v>ＦＣ中津ジュニア_1</v>
      </c>
      <c r="B1313" s="218" t="s">
        <v>1762</v>
      </c>
      <c r="C1313" s="218" t="str">
        <f>("1")</f>
        <v>1</v>
      </c>
      <c r="D1313" s="218" t="s">
        <v>624</v>
      </c>
      <c r="E1313" s="218" t="s">
        <v>8943</v>
      </c>
      <c r="F1313" s="218" t="s">
        <v>8944</v>
      </c>
      <c r="G1313" s="218">
        <v>5</v>
      </c>
      <c r="H1313" s="218" t="s">
        <v>614</v>
      </c>
      <c r="I1313" s="218" t="str">
        <f>("1412060157")</f>
        <v>1412060157</v>
      </c>
    </row>
    <row r="1314" spans="1:10" x14ac:dyDescent="0.15">
      <c r="A1314" s="406" t="str">
        <f t="shared" si="20"/>
        <v>ＦＣ中津ジュニア_2</v>
      </c>
      <c r="B1314" s="218" t="s">
        <v>1762</v>
      </c>
      <c r="C1314" s="218" t="str">
        <f>("2")</f>
        <v>2</v>
      </c>
      <c r="D1314" s="218" t="s">
        <v>611</v>
      </c>
      <c r="E1314" s="218" t="s">
        <v>8945</v>
      </c>
      <c r="F1314" s="218" t="s">
        <v>8946</v>
      </c>
      <c r="G1314" s="218">
        <v>6</v>
      </c>
      <c r="H1314" s="218" t="s">
        <v>614</v>
      </c>
      <c r="I1314" s="218" t="str">
        <f>("1311250087")</f>
        <v>1311250087</v>
      </c>
    </row>
    <row r="1315" spans="1:10" x14ac:dyDescent="0.15">
      <c r="A1315" s="406" t="str">
        <f t="shared" si="20"/>
        <v>ＦＣ中津ジュニア_3</v>
      </c>
      <c r="B1315" s="218" t="s">
        <v>1762</v>
      </c>
      <c r="C1315" s="218" t="str">
        <f>("3")</f>
        <v>3</v>
      </c>
      <c r="D1315" s="218" t="s">
        <v>611</v>
      </c>
      <c r="E1315" s="218" t="s">
        <v>8947</v>
      </c>
      <c r="F1315" s="218" t="s">
        <v>8252</v>
      </c>
      <c r="G1315" s="218">
        <v>6</v>
      </c>
      <c r="H1315" s="218" t="s">
        <v>614</v>
      </c>
      <c r="I1315" s="218" t="str">
        <f>("1310030127")</f>
        <v>1310030127</v>
      </c>
    </row>
    <row r="1316" spans="1:10" x14ac:dyDescent="0.15">
      <c r="A1316" s="406" t="str">
        <f t="shared" si="20"/>
        <v>ＦＣ中津ジュニア_4</v>
      </c>
      <c r="B1316" s="218" t="s">
        <v>1762</v>
      </c>
      <c r="C1316" s="218" t="str">
        <f>("4")</f>
        <v>4</v>
      </c>
      <c r="D1316" s="218" t="s">
        <v>611</v>
      </c>
      <c r="E1316" s="218" t="s">
        <v>8948</v>
      </c>
      <c r="F1316" s="218" t="s">
        <v>8949</v>
      </c>
      <c r="G1316" s="218">
        <v>6</v>
      </c>
      <c r="H1316" s="218" t="s">
        <v>614</v>
      </c>
      <c r="I1316" s="218" t="str">
        <f>("1312190095")</f>
        <v>1312190095</v>
      </c>
    </row>
    <row r="1317" spans="1:10" x14ac:dyDescent="0.15">
      <c r="A1317" s="406" t="str">
        <f t="shared" si="20"/>
        <v>ＦＣ中津ジュニア_5</v>
      </c>
      <c r="B1317" s="218" t="s">
        <v>1762</v>
      </c>
      <c r="C1317" s="218" t="str">
        <f>("5")</f>
        <v>5</v>
      </c>
      <c r="D1317" s="218" t="s">
        <v>611</v>
      </c>
      <c r="E1317" s="218" t="s">
        <v>8950</v>
      </c>
      <c r="F1317" s="218" t="s">
        <v>8951</v>
      </c>
      <c r="G1317" s="218">
        <v>6</v>
      </c>
      <c r="H1317" s="218" t="s">
        <v>614</v>
      </c>
      <c r="I1317" s="218" t="str">
        <f>("1304040143")</f>
        <v>1304040143</v>
      </c>
    </row>
    <row r="1318" spans="1:10" x14ac:dyDescent="0.15">
      <c r="A1318" s="406" t="str">
        <f t="shared" si="20"/>
        <v>ＦＣ中津ジュニア_6</v>
      </c>
      <c r="B1318" s="218" t="s">
        <v>1762</v>
      </c>
      <c r="C1318" s="218" t="str">
        <f>("6")</f>
        <v>6</v>
      </c>
      <c r="D1318" s="218" t="s">
        <v>611</v>
      </c>
      <c r="E1318" s="218" t="s">
        <v>8952</v>
      </c>
      <c r="F1318" s="218" t="s">
        <v>8953</v>
      </c>
      <c r="G1318" s="218">
        <v>6</v>
      </c>
      <c r="H1318" s="218" t="s">
        <v>614</v>
      </c>
      <c r="I1318" s="218" t="str">
        <f>("1305210239")</f>
        <v>1305210239</v>
      </c>
    </row>
    <row r="1319" spans="1:10" x14ac:dyDescent="0.15">
      <c r="A1319" s="406" t="str">
        <f t="shared" si="20"/>
        <v>ＦＣ中津ジュニア_7</v>
      </c>
      <c r="B1319" s="218" t="s">
        <v>1762</v>
      </c>
      <c r="C1319" s="218" t="str">
        <f>("7")</f>
        <v>7</v>
      </c>
      <c r="D1319" s="218" t="s">
        <v>615</v>
      </c>
      <c r="E1319" s="218" t="s">
        <v>8954</v>
      </c>
      <c r="F1319" s="218" t="s">
        <v>8955</v>
      </c>
      <c r="G1319" s="218">
        <v>6</v>
      </c>
      <c r="H1319" s="218" t="s">
        <v>614</v>
      </c>
      <c r="I1319" s="218" t="str">
        <f>("1307180126")</f>
        <v>1307180126</v>
      </c>
    </row>
    <row r="1320" spans="1:10" x14ac:dyDescent="0.15">
      <c r="A1320" s="406" t="str">
        <f t="shared" si="20"/>
        <v>ＦＣ中津ジュニア_8</v>
      </c>
      <c r="B1320" s="218" t="s">
        <v>1762</v>
      </c>
      <c r="C1320" s="218" t="str">
        <f>("8")</f>
        <v>8</v>
      </c>
      <c r="D1320" s="218" t="s">
        <v>623</v>
      </c>
      <c r="E1320" s="218" t="s">
        <v>8956</v>
      </c>
      <c r="F1320" s="218" t="s">
        <v>8957</v>
      </c>
      <c r="G1320" s="218">
        <v>6</v>
      </c>
      <c r="H1320" s="218" t="s">
        <v>614</v>
      </c>
      <c r="I1320" s="218" t="str">
        <f>("1309030103")</f>
        <v>1309030103</v>
      </c>
    </row>
    <row r="1321" spans="1:10" x14ac:dyDescent="0.15">
      <c r="A1321" s="406" t="str">
        <f t="shared" si="20"/>
        <v>ＦＣ中津ジュニア_9</v>
      </c>
      <c r="B1321" s="218" t="s">
        <v>1762</v>
      </c>
      <c r="C1321" s="218" t="str">
        <f>("9")</f>
        <v>9</v>
      </c>
      <c r="D1321" s="218" t="s">
        <v>623</v>
      </c>
      <c r="E1321" s="218" t="s">
        <v>8958</v>
      </c>
      <c r="F1321" s="218" t="s">
        <v>8959</v>
      </c>
      <c r="G1321" s="218">
        <v>6</v>
      </c>
      <c r="H1321" s="218" t="s">
        <v>614</v>
      </c>
      <c r="I1321" s="218" t="str">
        <f>("1307020129")</f>
        <v>1307020129</v>
      </c>
      <c r="J1321" s="218" t="s">
        <v>159</v>
      </c>
    </row>
    <row r="1322" spans="1:10" x14ac:dyDescent="0.15">
      <c r="A1322" s="406" t="str">
        <f t="shared" si="20"/>
        <v>ＦＣ中津ジュニア_10</v>
      </c>
      <c r="B1322" s="218" t="s">
        <v>1762</v>
      </c>
      <c r="C1322" s="218" t="str">
        <f>("10")</f>
        <v>10</v>
      </c>
      <c r="D1322" s="218" t="s">
        <v>615</v>
      </c>
      <c r="E1322" s="218" t="s">
        <v>8960</v>
      </c>
      <c r="F1322" s="218" t="s">
        <v>8961</v>
      </c>
      <c r="G1322" s="218">
        <v>6</v>
      </c>
      <c r="H1322" s="218" t="s">
        <v>614</v>
      </c>
      <c r="I1322" s="218" t="str">
        <f>("1311040074")</f>
        <v>1311040074</v>
      </c>
    </row>
    <row r="1323" spans="1:10" x14ac:dyDescent="0.15">
      <c r="A1323" s="406" t="str">
        <f t="shared" si="20"/>
        <v>ＦＣ中津ジュニア_11</v>
      </c>
      <c r="B1323" s="218" t="s">
        <v>1762</v>
      </c>
      <c r="C1323" s="218" t="str">
        <f>("11")</f>
        <v>11</v>
      </c>
      <c r="D1323" s="218" t="s">
        <v>615</v>
      </c>
      <c r="E1323" s="218" t="s">
        <v>8962</v>
      </c>
      <c r="F1323" s="218" t="s">
        <v>8963</v>
      </c>
      <c r="G1323" s="218">
        <v>6</v>
      </c>
      <c r="H1323" s="218" t="s">
        <v>614</v>
      </c>
      <c r="I1323" s="218" t="str">
        <f>("1308140118")</f>
        <v>1308140118</v>
      </c>
    </row>
    <row r="1324" spans="1:10" x14ac:dyDescent="0.15">
      <c r="A1324" s="406" t="str">
        <f t="shared" si="20"/>
        <v>ＦＣ中津ジュニア_12</v>
      </c>
      <c r="B1324" s="218" t="s">
        <v>1762</v>
      </c>
      <c r="C1324" s="218" t="str">
        <f>("12")</f>
        <v>12</v>
      </c>
      <c r="D1324" s="218" t="s">
        <v>624</v>
      </c>
      <c r="E1324" s="218" t="s">
        <v>8964</v>
      </c>
      <c r="F1324" s="218" t="s">
        <v>8965</v>
      </c>
      <c r="G1324" s="218">
        <v>5</v>
      </c>
      <c r="H1324" s="218" t="s">
        <v>614</v>
      </c>
      <c r="I1324" s="218" t="str">
        <f>("1503170038")</f>
        <v>1503170038</v>
      </c>
    </row>
    <row r="1325" spans="1:10" x14ac:dyDescent="0.15">
      <c r="A1325" s="406" t="str">
        <f t="shared" si="20"/>
        <v>ＦＣ中津ジュニア_13</v>
      </c>
      <c r="B1325" s="218" t="s">
        <v>1762</v>
      </c>
      <c r="C1325" s="218" t="str">
        <f>("13")</f>
        <v>13</v>
      </c>
      <c r="D1325" s="218" t="s">
        <v>615</v>
      </c>
      <c r="E1325" s="218" t="s">
        <v>8966</v>
      </c>
      <c r="F1325" s="218" t="s">
        <v>8967</v>
      </c>
      <c r="G1325" s="218">
        <v>6</v>
      </c>
      <c r="H1325" s="218" t="s">
        <v>614</v>
      </c>
      <c r="I1325" s="218" t="str">
        <f>("1311180100")</f>
        <v>1311180100</v>
      </c>
    </row>
    <row r="1326" spans="1:10" x14ac:dyDescent="0.15">
      <c r="A1326" s="406" t="str">
        <f t="shared" si="20"/>
        <v>ＦＣ中津ジュニア_14</v>
      </c>
      <c r="B1326" s="218" t="s">
        <v>1762</v>
      </c>
      <c r="C1326" s="218" t="str">
        <f>("14")</f>
        <v>14</v>
      </c>
      <c r="D1326" s="218" t="s">
        <v>623</v>
      </c>
      <c r="E1326" s="218" t="s">
        <v>8968</v>
      </c>
      <c r="F1326" s="218" t="s">
        <v>8969</v>
      </c>
      <c r="G1326" s="218">
        <v>6</v>
      </c>
      <c r="H1326" s="218" t="s">
        <v>614</v>
      </c>
      <c r="I1326" s="218" t="str">
        <f>("1402200065")</f>
        <v>1402200065</v>
      </c>
    </row>
    <row r="1327" spans="1:10" x14ac:dyDescent="0.15">
      <c r="A1327" s="406" t="str">
        <f t="shared" si="20"/>
        <v>ＦＣリーベル_1</v>
      </c>
      <c r="B1327" s="218" t="s">
        <v>1768</v>
      </c>
      <c r="C1327" s="218" t="str">
        <f>("1")</f>
        <v>1</v>
      </c>
      <c r="D1327" s="218" t="s">
        <v>624</v>
      </c>
      <c r="E1327" s="218" t="s">
        <v>1779</v>
      </c>
      <c r="F1327" s="218" t="s">
        <v>1780</v>
      </c>
      <c r="G1327" s="218">
        <v>5</v>
      </c>
      <c r="H1327" s="218" t="s">
        <v>614</v>
      </c>
      <c r="I1327" s="218" t="str">
        <f>("1405090036")</f>
        <v>1405090036</v>
      </c>
    </row>
    <row r="1328" spans="1:10" x14ac:dyDescent="0.15">
      <c r="A1328" s="406" t="str">
        <f t="shared" si="20"/>
        <v>ＦＣリーベル_2</v>
      </c>
      <c r="B1328" s="218" t="s">
        <v>1768</v>
      </c>
      <c r="C1328" s="218" t="str">
        <f>("2")</f>
        <v>2</v>
      </c>
      <c r="D1328" s="218" t="s">
        <v>611</v>
      </c>
      <c r="E1328" s="218" t="s">
        <v>8970</v>
      </c>
      <c r="F1328" s="218" t="s">
        <v>8971</v>
      </c>
      <c r="G1328" s="218">
        <v>5</v>
      </c>
      <c r="H1328" s="218" t="s">
        <v>616</v>
      </c>
      <c r="I1328" s="218" t="str">
        <f>("1406110005")</f>
        <v>1406110005</v>
      </c>
    </row>
    <row r="1329" spans="1:10" x14ac:dyDescent="0.15">
      <c r="A1329" s="406" t="str">
        <f t="shared" si="20"/>
        <v>ＦＣリーベル_4</v>
      </c>
      <c r="B1329" s="218" t="s">
        <v>1768</v>
      </c>
      <c r="C1329" s="218" t="str">
        <f>("4")</f>
        <v>4</v>
      </c>
      <c r="D1329" s="218" t="s">
        <v>623</v>
      </c>
      <c r="E1329" s="218" t="s">
        <v>8972</v>
      </c>
      <c r="F1329" s="218" t="s">
        <v>8973</v>
      </c>
      <c r="G1329" s="218">
        <v>5</v>
      </c>
      <c r="H1329" s="218" t="s">
        <v>614</v>
      </c>
      <c r="I1329" s="218" t="str">
        <f>("1404040180")</f>
        <v>1404040180</v>
      </c>
    </row>
    <row r="1330" spans="1:10" x14ac:dyDescent="0.15">
      <c r="A1330" s="406" t="str">
        <f t="shared" si="20"/>
        <v>ＦＣリーベル_5</v>
      </c>
      <c r="B1330" s="218" t="s">
        <v>1768</v>
      </c>
      <c r="C1330" s="218" t="str">
        <f>("5")</f>
        <v>5</v>
      </c>
      <c r="D1330" s="218" t="s">
        <v>615</v>
      </c>
      <c r="E1330" s="218" t="s">
        <v>8974</v>
      </c>
      <c r="F1330" s="218" t="s">
        <v>8975</v>
      </c>
      <c r="G1330" s="218">
        <v>6</v>
      </c>
      <c r="H1330" s="218" t="s">
        <v>614</v>
      </c>
      <c r="I1330" s="218" t="str">
        <f>("1309130001")</f>
        <v>1309130001</v>
      </c>
    </row>
    <row r="1331" spans="1:10" x14ac:dyDescent="0.15">
      <c r="A1331" s="406" t="str">
        <f t="shared" si="20"/>
        <v>ＦＣリーベル_6</v>
      </c>
      <c r="B1331" s="218" t="s">
        <v>1768</v>
      </c>
      <c r="C1331" s="218" t="str">
        <f>("6")</f>
        <v>6</v>
      </c>
      <c r="D1331" s="218" t="s">
        <v>611</v>
      </c>
      <c r="E1331" s="218" t="s">
        <v>1771</v>
      </c>
      <c r="F1331" s="218" t="s">
        <v>1772</v>
      </c>
      <c r="G1331" s="218">
        <v>6</v>
      </c>
      <c r="H1331" s="218" t="s">
        <v>614</v>
      </c>
      <c r="I1331" s="218" t="str">
        <f>("1307030012")</f>
        <v>1307030012</v>
      </c>
    </row>
    <row r="1332" spans="1:10" x14ac:dyDescent="0.15">
      <c r="A1332" s="406" t="str">
        <f t="shared" si="20"/>
        <v>ＦＣリーベル_7</v>
      </c>
      <c r="B1332" s="218" t="s">
        <v>1768</v>
      </c>
      <c r="C1332" s="218" t="str">
        <f>("7")</f>
        <v>7</v>
      </c>
      <c r="D1332" s="218" t="s">
        <v>615</v>
      </c>
      <c r="E1332" s="218" t="s">
        <v>8976</v>
      </c>
      <c r="F1332" s="218" t="s">
        <v>8977</v>
      </c>
      <c r="G1332" s="218">
        <v>5</v>
      </c>
      <c r="H1332" s="218" t="s">
        <v>614</v>
      </c>
      <c r="I1332" s="218" t="str">
        <f>("1410150043")</f>
        <v>1410150043</v>
      </c>
    </row>
    <row r="1333" spans="1:10" x14ac:dyDescent="0.15">
      <c r="A1333" s="406" t="str">
        <f t="shared" si="20"/>
        <v>ＦＣリーベル_8</v>
      </c>
      <c r="B1333" s="218" t="s">
        <v>1768</v>
      </c>
      <c r="C1333" s="218" t="str">
        <f>("8")</f>
        <v>8</v>
      </c>
      <c r="D1333" s="218" t="s">
        <v>615</v>
      </c>
      <c r="E1333" s="218" t="s">
        <v>1769</v>
      </c>
      <c r="F1333" s="218" t="s">
        <v>1770</v>
      </c>
      <c r="G1333" s="218">
        <v>6</v>
      </c>
      <c r="H1333" s="218" t="s">
        <v>614</v>
      </c>
      <c r="I1333" s="218" t="str">
        <f>("1301140093")</f>
        <v>1301140093</v>
      </c>
    </row>
    <row r="1334" spans="1:10" x14ac:dyDescent="0.15">
      <c r="A1334" s="406" t="str">
        <f t="shared" si="20"/>
        <v>ＦＣリーベル_9</v>
      </c>
      <c r="B1334" s="218" t="s">
        <v>1768</v>
      </c>
      <c r="C1334" s="218" t="str">
        <f>("9")</f>
        <v>9</v>
      </c>
      <c r="D1334" s="218" t="s">
        <v>611</v>
      </c>
      <c r="E1334" s="218" t="s">
        <v>8978</v>
      </c>
      <c r="F1334" s="218" t="s">
        <v>8979</v>
      </c>
      <c r="G1334" s="218">
        <v>5</v>
      </c>
      <c r="H1334" s="218" t="s">
        <v>614</v>
      </c>
      <c r="I1334" s="218" t="str">
        <f>("1404080138")</f>
        <v>1404080138</v>
      </c>
    </row>
    <row r="1335" spans="1:10" x14ac:dyDescent="0.15">
      <c r="A1335" s="406" t="str">
        <f t="shared" si="20"/>
        <v>ＦＣリーベル_10</v>
      </c>
      <c r="B1335" s="218" t="s">
        <v>1768</v>
      </c>
      <c r="C1335" s="218" t="str">
        <f>("10")</f>
        <v>10</v>
      </c>
      <c r="D1335" s="218" t="s">
        <v>615</v>
      </c>
      <c r="E1335" s="218" t="s">
        <v>1775</v>
      </c>
      <c r="F1335" s="218" t="s">
        <v>1776</v>
      </c>
      <c r="G1335" s="218">
        <v>6</v>
      </c>
      <c r="H1335" s="218" t="s">
        <v>614</v>
      </c>
      <c r="I1335" s="218" t="str">
        <f>("1307220004")</f>
        <v>1307220004</v>
      </c>
      <c r="J1335" s="218" t="s">
        <v>159</v>
      </c>
    </row>
    <row r="1336" spans="1:10" x14ac:dyDescent="0.15">
      <c r="A1336" s="406" t="str">
        <f t="shared" si="20"/>
        <v>ＦＣリーベル_11</v>
      </c>
      <c r="B1336" s="218" t="s">
        <v>1768</v>
      </c>
      <c r="C1336" s="218" t="str">
        <f>("11")</f>
        <v>11</v>
      </c>
      <c r="D1336" s="218" t="s">
        <v>623</v>
      </c>
      <c r="E1336" s="218" t="s">
        <v>8980</v>
      </c>
      <c r="F1336" s="218" t="s">
        <v>8981</v>
      </c>
      <c r="G1336" s="218">
        <v>5</v>
      </c>
      <c r="H1336" s="218" t="s">
        <v>614</v>
      </c>
      <c r="I1336" s="218" t="str">
        <f>("1406140017")</f>
        <v>1406140017</v>
      </c>
    </row>
    <row r="1337" spans="1:10" x14ac:dyDescent="0.15">
      <c r="A1337" s="406" t="str">
        <f t="shared" si="20"/>
        <v>ＦＣリーベル_12</v>
      </c>
      <c r="B1337" s="218" t="s">
        <v>1768</v>
      </c>
      <c r="C1337" s="218" t="str">
        <f>("12")</f>
        <v>12</v>
      </c>
      <c r="D1337" s="218" t="s">
        <v>624</v>
      </c>
      <c r="E1337" s="218" t="s">
        <v>8982</v>
      </c>
      <c r="F1337" s="218" t="s">
        <v>8983</v>
      </c>
      <c r="G1337" s="218">
        <v>6</v>
      </c>
      <c r="H1337" s="218" t="s">
        <v>614</v>
      </c>
      <c r="I1337" s="218" t="str">
        <f>("1304020193")</f>
        <v>1304020193</v>
      </c>
    </row>
    <row r="1338" spans="1:10" x14ac:dyDescent="0.15">
      <c r="A1338" s="406" t="str">
        <f t="shared" si="20"/>
        <v>ＦＣリーベル_14</v>
      </c>
      <c r="B1338" s="218" t="s">
        <v>1768</v>
      </c>
      <c r="C1338" s="218" t="str">
        <f>("14")</f>
        <v>14</v>
      </c>
      <c r="D1338" s="218" t="s">
        <v>611</v>
      </c>
      <c r="E1338" s="218" t="s">
        <v>8984</v>
      </c>
      <c r="F1338" s="218" t="s">
        <v>8985</v>
      </c>
      <c r="G1338" s="218">
        <v>5</v>
      </c>
      <c r="H1338" s="218" t="s">
        <v>616</v>
      </c>
      <c r="I1338" s="218" t="str">
        <f>("1502020028")</f>
        <v>1502020028</v>
      </c>
    </row>
    <row r="1339" spans="1:10" x14ac:dyDescent="0.15">
      <c r="A1339" s="406" t="str">
        <f t="shared" si="20"/>
        <v>ＦＣリーベル_15</v>
      </c>
      <c r="B1339" s="218" t="s">
        <v>1768</v>
      </c>
      <c r="C1339" s="218" t="str">
        <f>("15")</f>
        <v>15</v>
      </c>
      <c r="D1339" s="218" t="s">
        <v>623</v>
      </c>
      <c r="E1339" s="218" t="s">
        <v>8986</v>
      </c>
      <c r="F1339" s="218" t="s">
        <v>8987</v>
      </c>
      <c r="G1339" s="218">
        <v>5</v>
      </c>
      <c r="H1339" s="218" t="s">
        <v>614</v>
      </c>
      <c r="I1339" s="218" t="str">
        <f>("1404240060")</f>
        <v>1404240060</v>
      </c>
    </row>
    <row r="1340" spans="1:10" x14ac:dyDescent="0.15">
      <c r="A1340" s="406" t="str">
        <f t="shared" si="20"/>
        <v>ＦＣリーベル_17</v>
      </c>
      <c r="B1340" s="218" t="s">
        <v>1768</v>
      </c>
      <c r="C1340" s="218" t="str">
        <f>("17")</f>
        <v>17</v>
      </c>
      <c r="D1340" s="218" t="s">
        <v>615</v>
      </c>
      <c r="E1340" s="218" t="s">
        <v>8988</v>
      </c>
      <c r="F1340" s="218" t="s">
        <v>8989</v>
      </c>
      <c r="G1340" s="218">
        <v>5</v>
      </c>
      <c r="H1340" s="218" t="s">
        <v>614</v>
      </c>
      <c r="I1340" s="218" t="str">
        <f>("1408230086")</f>
        <v>1408230086</v>
      </c>
    </row>
    <row r="1341" spans="1:10" x14ac:dyDescent="0.15">
      <c r="A1341" s="406" t="str">
        <f t="shared" si="20"/>
        <v>ＦＣリーベル_18</v>
      </c>
      <c r="B1341" s="218" t="s">
        <v>1768</v>
      </c>
      <c r="C1341" s="218" t="str">
        <f>("18")</f>
        <v>18</v>
      </c>
      <c r="D1341" s="218" t="s">
        <v>615</v>
      </c>
      <c r="E1341" s="218" t="s">
        <v>8990</v>
      </c>
      <c r="F1341" s="218" t="s">
        <v>8991</v>
      </c>
      <c r="G1341" s="218">
        <v>5</v>
      </c>
      <c r="H1341" s="218" t="s">
        <v>614</v>
      </c>
      <c r="I1341" s="218" t="str">
        <f>("1411260006")</f>
        <v>1411260006</v>
      </c>
    </row>
    <row r="1342" spans="1:10" x14ac:dyDescent="0.15">
      <c r="A1342" s="406" t="str">
        <f t="shared" si="20"/>
        <v>ＦＣリーベル_31</v>
      </c>
      <c r="B1342" s="218" t="s">
        <v>1768</v>
      </c>
      <c r="C1342" s="218" t="str">
        <f>("31")</f>
        <v>31</v>
      </c>
      <c r="D1342" s="218" t="s">
        <v>615</v>
      </c>
      <c r="E1342" s="218" t="s">
        <v>8992</v>
      </c>
      <c r="F1342" s="218" t="s">
        <v>8993</v>
      </c>
      <c r="G1342" s="218">
        <v>5</v>
      </c>
      <c r="H1342" s="218" t="s">
        <v>616</v>
      </c>
      <c r="I1342" s="218" t="str">
        <f>("1404040186")</f>
        <v>1404040186</v>
      </c>
    </row>
    <row r="1343" spans="1:10" x14ac:dyDescent="0.15">
      <c r="A1343" s="406" t="str">
        <f t="shared" si="20"/>
        <v>如水ジュニアサッカークラブ_1</v>
      </c>
      <c r="B1343" s="218" t="s">
        <v>1781</v>
      </c>
      <c r="C1343" s="218" t="str">
        <f>("1")</f>
        <v>1</v>
      </c>
      <c r="D1343" s="218" t="s">
        <v>624</v>
      </c>
      <c r="E1343" s="218" t="s">
        <v>8994</v>
      </c>
      <c r="F1343" s="218" t="s">
        <v>8995</v>
      </c>
      <c r="G1343" s="218">
        <v>6</v>
      </c>
      <c r="H1343" s="218" t="s">
        <v>614</v>
      </c>
      <c r="I1343" s="218" t="str">
        <f>("1305160158")</f>
        <v>1305160158</v>
      </c>
    </row>
    <row r="1344" spans="1:10" x14ac:dyDescent="0.15">
      <c r="A1344" s="406" t="str">
        <f t="shared" si="20"/>
        <v>如水ジュニアサッカークラブ_2</v>
      </c>
      <c r="B1344" s="218" t="s">
        <v>1781</v>
      </c>
      <c r="C1344" s="218" t="str">
        <f>("2")</f>
        <v>2</v>
      </c>
      <c r="D1344" s="218" t="s">
        <v>611</v>
      </c>
      <c r="E1344" s="218" t="s">
        <v>8996</v>
      </c>
      <c r="F1344" s="218" t="s">
        <v>8997</v>
      </c>
      <c r="G1344" s="218">
        <v>6</v>
      </c>
      <c r="H1344" s="218" t="s">
        <v>614</v>
      </c>
      <c r="I1344" s="218" t="str">
        <f>("1402040109")</f>
        <v>1402040109</v>
      </c>
    </row>
    <row r="1345" spans="1:10" x14ac:dyDescent="0.15">
      <c r="A1345" s="406" t="str">
        <f t="shared" ref="A1345:A1408" si="21">CONCATENATE(B1345,"_",C1345)</f>
        <v>如水ジュニアサッカークラブ_3</v>
      </c>
      <c r="B1345" s="218" t="s">
        <v>1781</v>
      </c>
      <c r="C1345" s="218" t="str">
        <f>("3")</f>
        <v>3</v>
      </c>
      <c r="D1345" s="218" t="s">
        <v>611</v>
      </c>
      <c r="E1345" s="218" t="s">
        <v>8998</v>
      </c>
      <c r="F1345" s="218" t="s">
        <v>8999</v>
      </c>
      <c r="G1345" s="218">
        <v>6</v>
      </c>
      <c r="H1345" s="218" t="s">
        <v>616</v>
      </c>
      <c r="I1345" s="218" t="str">
        <f>("1306290230")</f>
        <v>1306290230</v>
      </c>
    </row>
    <row r="1346" spans="1:10" x14ac:dyDescent="0.15">
      <c r="A1346" s="406" t="str">
        <f t="shared" si="21"/>
        <v>如水ジュニアサッカークラブ_4</v>
      </c>
      <c r="B1346" s="218" t="s">
        <v>1781</v>
      </c>
      <c r="C1346" s="218" t="str">
        <f>("4")</f>
        <v>4</v>
      </c>
      <c r="D1346" s="218" t="s">
        <v>611</v>
      </c>
      <c r="E1346" s="218" t="s">
        <v>9000</v>
      </c>
      <c r="F1346" s="218" t="s">
        <v>9001</v>
      </c>
      <c r="G1346" s="218">
        <v>6</v>
      </c>
      <c r="H1346" s="218" t="s">
        <v>616</v>
      </c>
      <c r="I1346" s="218" t="str">
        <f>("1305250137")</f>
        <v>1305250137</v>
      </c>
    </row>
    <row r="1347" spans="1:10" x14ac:dyDescent="0.15">
      <c r="A1347" s="406" t="str">
        <f t="shared" si="21"/>
        <v>如水ジュニアサッカークラブ_5</v>
      </c>
      <c r="B1347" s="218" t="s">
        <v>1781</v>
      </c>
      <c r="C1347" s="218" t="str">
        <f>("5")</f>
        <v>5</v>
      </c>
      <c r="D1347" s="218" t="s">
        <v>615</v>
      </c>
      <c r="E1347" s="218" t="s">
        <v>9002</v>
      </c>
      <c r="F1347" s="218" t="s">
        <v>9003</v>
      </c>
      <c r="G1347" s="218">
        <v>6</v>
      </c>
      <c r="H1347" s="218" t="s">
        <v>616</v>
      </c>
      <c r="I1347" s="218" t="str">
        <f>("1307180308")</f>
        <v>1307180308</v>
      </c>
    </row>
    <row r="1348" spans="1:10" x14ac:dyDescent="0.15">
      <c r="A1348" s="406" t="str">
        <f t="shared" si="21"/>
        <v>如水ジュニアサッカークラブ_6</v>
      </c>
      <c r="B1348" s="218" t="s">
        <v>1781</v>
      </c>
      <c r="C1348" s="218" t="str">
        <f>("6")</f>
        <v>6</v>
      </c>
      <c r="D1348" s="218" t="s">
        <v>623</v>
      </c>
      <c r="E1348" s="218" t="s">
        <v>9004</v>
      </c>
      <c r="F1348" s="218" t="s">
        <v>9005</v>
      </c>
      <c r="G1348" s="218">
        <v>6</v>
      </c>
      <c r="H1348" s="218" t="s">
        <v>614</v>
      </c>
      <c r="I1348" s="218" t="str">
        <f>("1310280118")</f>
        <v>1310280118</v>
      </c>
    </row>
    <row r="1349" spans="1:10" x14ac:dyDescent="0.15">
      <c r="A1349" s="406" t="str">
        <f t="shared" si="21"/>
        <v>如水ジュニアサッカークラブ_7</v>
      </c>
      <c r="B1349" s="218" t="s">
        <v>1781</v>
      </c>
      <c r="C1349" s="218" t="str">
        <f>("7")</f>
        <v>7</v>
      </c>
      <c r="D1349" s="218" t="s">
        <v>611</v>
      </c>
      <c r="E1349" s="218" t="s">
        <v>9006</v>
      </c>
      <c r="F1349" s="218" t="s">
        <v>9007</v>
      </c>
      <c r="G1349" s="218">
        <v>6</v>
      </c>
      <c r="H1349" s="218" t="s">
        <v>614</v>
      </c>
      <c r="I1349" s="218" t="str">
        <f>("1305280168")</f>
        <v>1305280168</v>
      </c>
    </row>
    <row r="1350" spans="1:10" x14ac:dyDescent="0.15">
      <c r="A1350" s="406" t="str">
        <f t="shared" si="21"/>
        <v>如水ジュニアサッカークラブ_8</v>
      </c>
      <c r="B1350" s="218" t="s">
        <v>1781</v>
      </c>
      <c r="C1350" s="218" t="str">
        <f>("8")</f>
        <v>8</v>
      </c>
      <c r="D1350" s="218" t="s">
        <v>615</v>
      </c>
      <c r="E1350" s="218" t="s">
        <v>9008</v>
      </c>
      <c r="F1350" s="218" t="s">
        <v>9009</v>
      </c>
      <c r="G1350" s="218">
        <v>6</v>
      </c>
      <c r="H1350" s="218" t="s">
        <v>614</v>
      </c>
      <c r="I1350" s="218" t="str">
        <f>("1311300100")</f>
        <v>1311300100</v>
      </c>
    </row>
    <row r="1351" spans="1:10" x14ac:dyDescent="0.15">
      <c r="A1351" s="406" t="str">
        <f t="shared" si="21"/>
        <v>如水ジュニアサッカークラブ_9</v>
      </c>
      <c r="B1351" s="218" t="s">
        <v>1781</v>
      </c>
      <c r="C1351" s="218" t="str">
        <f>("9")</f>
        <v>9</v>
      </c>
      <c r="D1351" s="218" t="s">
        <v>611</v>
      </c>
      <c r="E1351" s="218" t="s">
        <v>9010</v>
      </c>
      <c r="F1351" s="218" t="s">
        <v>9011</v>
      </c>
      <c r="G1351" s="218">
        <v>6</v>
      </c>
      <c r="H1351" s="218" t="s">
        <v>614</v>
      </c>
      <c r="I1351" s="218" t="str">
        <f>("1304280092")</f>
        <v>1304280092</v>
      </c>
    </row>
    <row r="1352" spans="1:10" x14ac:dyDescent="0.15">
      <c r="A1352" s="406" t="str">
        <f t="shared" si="21"/>
        <v>如水ジュニアサッカークラブ_10</v>
      </c>
      <c r="B1352" s="218" t="s">
        <v>1781</v>
      </c>
      <c r="C1352" s="218" t="str">
        <f>("10")</f>
        <v>10</v>
      </c>
      <c r="D1352" s="218" t="s">
        <v>615</v>
      </c>
      <c r="E1352" s="218" t="s">
        <v>9012</v>
      </c>
      <c r="F1352" s="218" t="s">
        <v>9013</v>
      </c>
      <c r="G1352" s="218">
        <v>6</v>
      </c>
      <c r="H1352" s="218" t="s">
        <v>614</v>
      </c>
      <c r="I1352" s="218" t="str">
        <f>("1305270126")</f>
        <v>1305270126</v>
      </c>
    </row>
    <row r="1353" spans="1:10" x14ac:dyDescent="0.15">
      <c r="A1353" s="406" t="str">
        <f t="shared" si="21"/>
        <v>如水ジュニアサッカークラブ_11</v>
      </c>
      <c r="B1353" s="218" t="s">
        <v>1781</v>
      </c>
      <c r="C1353" s="218" t="str">
        <f>("11")</f>
        <v>11</v>
      </c>
      <c r="D1353" s="218" t="s">
        <v>611</v>
      </c>
      <c r="E1353" s="218" t="s">
        <v>9014</v>
      </c>
      <c r="F1353" s="218" t="s">
        <v>9015</v>
      </c>
      <c r="G1353" s="218">
        <v>6</v>
      </c>
      <c r="H1353" s="218" t="s">
        <v>616</v>
      </c>
      <c r="I1353" s="218" t="str">
        <f>("1403020074")</f>
        <v>1403020074</v>
      </c>
    </row>
    <row r="1354" spans="1:10" x14ac:dyDescent="0.15">
      <c r="A1354" s="406" t="str">
        <f t="shared" si="21"/>
        <v>如水ジュニアサッカークラブ_12</v>
      </c>
      <c r="B1354" s="218" t="s">
        <v>1781</v>
      </c>
      <c r="C1354" s="218" t="str">
        <f>("12")</f>
        <v>12</v>
      </c>
      <c r="D1354" s="218" t="s">
        <v>624</v>
      </c>
      <c r="E1354" s="218" t="s">
        <v>9016</v>
      </c>
      <c r="F1354" s="218" t="s">
        <v>9017</v>
      </c>
      <c r="G1354" s="218">
        <v>5</v>
      </c>
      <c r="H1354" s="218" t="s">
        <v>614</v>
      </c>
      <c r="I1354" s="218" t="str">
        <f>("1502010121")</f>
        <v>1502010121</v>
      </c>
    </row>
    <row r="1355" spans="1:10" x14ac:dyDescent="0.15">
      <c r="A1355" s="406" t="str">
        <f t="shared" si="21"/>
        <v>如水ジュニアサッカークラブ_13</v>
      </c>
      <c r="B1355" s="218" t="s">
        <v>1781</v>
      </c>
      <c r="C1355" s="218" t="str">
        <f>("13")</f>
        <v>13</v>
      </c>
      <c r="D1355" s="218" t="s">
        <v>623</v>
      </c>
      <c r="E1355" s="218" t="s">
        <v>9018</v>
      </c>
      <c r="F1355" s="218" t="s">
        <v>9019</v>
      </c>
      <c r="G1355" s="218">
        <v>4</v>
      </c>
      <c r="H1355" s="218" t="s">
        <v>614</v>
      </c>
      <c r="I1355" s="218" t="str">
        <f>("1510240083")</f>
        <v>1510240083</v>
      </c>
    </row>
    <row r="1356" spans="1:10" x14ac:dyDescent="0.15">
      <c r="A1356" s="406" t="str">
        <f t="shared" si="21"/>
        <v>如水ジュニアサッカークラブ_18</v>
      </c>
      <c r="B1356" s="218" t="s">
        <v>1781</v>
      </c>
      <c r="C1356" s="218" t="str">
        <f>("18")</f>
        <v>18</v>
      </c>
      <c r="D1356" s="218" t="s">
        <v>615</v>
      </c>
      <c r="E1356" s="218" t="s">
        <v>9020</v>
      </c>
      <c r="F1356" s="218" t="s">
        <v>9021</v>
      </c>
      <c r="G1356" s="218">
        <v>6</v>
      </c>
      <c r="H1356" s="218" t="s">
        <v>614</v>
      </c>
      <c r="I1356" s="218" t="str">
        <f>("1308210167")</f>
        <v>1308210167</v>
      </c>
      <c r="J1356" s="218" t="s">
        <v>159</v>
      </c>
    </row>
    <row r="1357" spans="1:10" x14ac:dyDescent="0.15">
      <c r="A1357" s="406" t="str">
        <f t="shared" si="21"/>
        <v>ＦＣ．ＲＥ．ＳＴＡＲＴ　_1</v>
      </c>
      <c r="B1357" s="218" t="s">
        <v>1784</v>
      </c>
      <c r="C1357" s="218" t="str">
        <f>("1")</f>
        <v>1</v>
      </c>
      <c r="D1357" s="218" t="s">
        <v>624</v>
      </c>
      <c r="E1357" s="218" t="s">
        <v>1785</v>
      </c>
      <c r="F1357" s="218" t="s">
        <v>1786</v>
      </c>
      <c r="G1357" s="218">
        <v>5</v>
      </c>
      <c r="H1357" s="218" t="s">
        <v>614</v>
      </c>
      <c r="I1357" s="218" t="str">
        <f>("1404220042")</f>
        <v>1404220042</v>
      </c>
    </row>
    <row r="1358" spans="1:10" x14ac:dyDescent="0.15">
      <c r="A1358" s="406" t="str">
        <f t="shared" si="21"/>
        <v>ＦＣ．ＲＥ．ＳＴＡＲＴ　_2</v>
      </c>
      <c r="B1358" s="218" t="s">
        <v>1784</v>
      </c>
      <c r="C1358" s="218" t="str">
        <f>("2")</f>
        <v>2</v>
      </c>
      <c r="D1358" s="218" t="s">
        <v>615</v>
      </c>
      <c r="E1358" s="218" t="s">
        <v>9022</v>
      </c>
      <c r="F1358" s="218" t="s">
        <v>9023</v>
      </c>
      <c r="G1358" s="218">
        <v>3</v>
      </c>
      <c r="H1358" s="218" t="s">
        <v>614</v>
      </c>
      <c r="I1358" s="218" t="str">
        <f>("1605190031")</f>
        <v>1605190031</v>
      </c>
    </row>
    <row r="1359" spans="1:10" x14ac:dyDescent="0.15">
      <c r="A1359" s="406" t="str">
        <f t="shared" si="21"/>
        <v>ＦＣ．ＲＥ．ＳＴＡＲＴ　_3</v>
      </c>
      <c r="B1359" s="218" t="s">
        <v>1784</v>
      </c>
      <c r="C1359" s="218" t="str">
        <f>("3")</f>
        <v>3</v>
      </c>
      <c r="D1359" s="218" t="s">
        <v>615</v>
      </c>
      <c r="E1359" s="218" t="s">
        <v>9024</v>
      </c>
      <c r="F1359" s="218" t="s">
        <v>9025</v>
      </c>
      <c r="G1359" s="218">
        <v>3</v>
      </c>
      <c r="H1359" s="218" t="s">
        <v>614</v>
      </c>
      <c r="I1359" s="218" t="str">
        <f>("1605230032")</f>
        <v>1605230032</v>
      </c>
    </row>
    <row r="1360" spans="1:10" x14ac:dyDescent="0.15">
      <c r="A1360" s="406" t="str">
        <f t="shared" si="21"/>
        <v>ＦＣ．ＲＥ．ＳＴＡＲＴ　_4</v>
      </c>
      <c r="B1360" s="218" t="s">
        <v>1784</v>
      </c>
      <c r="C1360" s="218" t="str">
        <f>("4")</f>
        <v>4</v>
      </c>
      <c r="D1360" s="218" t="s">
        <v>615</v>
      </c>
      <c r="E1360" s="218" t="s">
        <v>9026</v>
      </c>
      <c r="F1360" s="218" t="s">
        <v>9027</v>
      </c>
      <c r="G1360" s="218">
        <v>4</v>
      </c>
      <c r="H1360" s="218" t="s">
        <v>614</v>
      </c>
      <c r="I1360" s="218" t="str">
        <f>("1601270011")</f>
        <v>1601270011</v>
      </c>
    </row>
    <row r="1361" spans="1:10" x14ac:dyDescent="0.15">
      <c r="A1361" s="406" t="str">
        <f t="shared" si="21"/>
        <v>ＦＣ．ＲＥ．ＳＴＡＲＴ　_5</v>
      </c>
      <c r="B1361" s="218" t="s">
        <v>1784</v>
      </c>
      <c r="C1361" s="218" t="str">
        <f>("5")</f>
        <v>5</v>
      </c>
      <c r="D1361" s="218" t="s">
        <v>611</v>
      </c>
      <c r="E1361" s="218" t="s">
        <v>1787</v>
      </c>
      <c r="F1361" s="218" t="s">
        <v>1788</v>
      </c>
      <c r="G1361" s="218">
        <v>6</v>
      </c>
      <c r="H1361" s="218" t="s">
        <v>614</v>
      </c>
      <c r="I1361" s="218" t="str">
        <f>("1312110089")</f>
        <v>1312110089</v>
      </c>
    </row>
    <row r="1362" spans="1:10" x14ac:dyDescent="0.15">
      <c r="A1362" s="406" t="str">
        <f t="shared" si="21"/>
        <v>ＦＣ．ＲＥ．ＳＴＡＲＴ　_6</v>
      </c>
      <c r="B1362" s="218" t="s">
        <v>1784</v>
      </c>
      <c r="C1362" s="218" t="str">
        <f>("6")</f>
        <v>6</v>
      </c>
      <c r="D1362" s="218" t="s">
        <v>623</v>
      </c>
      <c r="E1362" s="218" t="s">
        <v>9028</v>
      </c>
      <c r="F1362" s="218" t="s">
        <v>9029</v>
      </c>
      <c r="G1362" s="218">
        <v>4</v>
      </c>
      <c r="H1362" s="218" t="s">
        <v>614</v>
      </c>
      <c r="I1362" s="218" t="str">
        <f>("1508250006")</f>
        <v>1508250006</v>
      </c>
    </row>
    <row r="1363" spans="1:10" x14ac:dyDescent="0.15">
      <c r="A1363" s="406" t="str">
        <f t="shared" si="21"/>
        <v>ＦＣ．ＲＥ．ＳＴＡＲＴ　_7</v>
      </c>
      <c r="B1363" s="218" t="s">
        <v>1784</v>
      </c>
      <c r="C1363" s="218" t="str">
        <f>("7")</f>
        <v>7</v>
      </c>
      <c r="D1363" s="218" t="s">
        <v>615</v>
      </c>
      <c r="E1363" s="218" t="s">
        <v>9030</v>
      </c>
      <c r="F1363" s="218" t="s">
        <v>9031</v>
      </c>
      <c r="G1363" s="218">
        <v>4</v>
      </c>
      <c r="H1363" s="218" t="s">
        <v>614</v>
      </c>
      <c r="I1363" s="218" t="str">
        <f>("1601050011")</f>
        <v>1601050011</v>
      </c>
    </row>
    <row r="1364" spans="1:10" x14ac:dyDescent="0.15">
      <c r="A1364" s="406" t="str">
        <f t="shared" si="21"/>
        <v>ＦＣ．ＲＥ．ＳＴＡＲＴ　_8</v>
      </c>
      <c r="B1364" s="218" t="s">
        <v>1784</v>
      </c>
      <c r="C1364" s="218" t="str">
        <f>("8")</f>
        <v>8</v>
      </c>
      <c r="D1364" s="218" t="s">
        <v>615</v>
      </c>
      <c r="E1364" s="218" t="s">
        <v>9032</v>
      </c>
      <c r="F1364" s="218" t="s">
        <v>9033</v>
      </c>
      <c r="G1364" s="218">
        <v>4</v>
      </c>
      <c r="H1364" s="218" t="s">
        <v>614</v>
      </c>
      <c r="I1364" s="218" t="str">
        <f>("1602030001")</f>
        <v>1602030001</v>
      </c>
    </row>
    <row r="1365" spans="1:10" x14ac:dyDescent="0.15">
      <c r="A1365" s="406" t="str">
        <f t="shared" si="21"/>
        <v>ＦＣ．ＲＥ．ＳＴＡＲＴ　_9</v>
      </c>
      <c r="B1365" s="218" t="s">
        <v>1784</v>
      </c>
      <c r="C1365" s="218" t="str">
        <f>("9")</f>
        <v>9</v>
      </c>
      <c r="D1365" s="218" t="s">
        <v>623</v>
      </c>
      <c r="E1365" s="218" t="s">
        <v>9034</v>
      </c>
      <c r="F1365" s="218" t="s">
        <v>9035</v>
      </c>
      <c r="G1365" s="218">
        <v>5</v>
      </c>
      <c r="H1365" s="218" t="s">
        <v>614</v>
      </c>
      <c r="I1365" s="218" t="str">
        <f>("1405190179")</f>
        <v>1405190179</v>
      </c>
    </row>
    <row r="1366" spans="1:10" x14ac:dyDescent="0.15">
      <c r="A1366" s="406" t="str">
        <f t="shared" si="21"/>
        <v>ＦＣ．ＲＥ．ＳＴＡＲＴ　_10</v>
      </c>
      <c r="B1366" s="218" t="s">
        <v>1784</v>
      </c>
      <c r="C1366" s="218" t="str">
        <f>("10")</f>
        <v>10</v>
      </c>
      <c r="D1366" s="218" t="s">
        <v>611</v>
      </c>
      <c r="E1366" s="218" t="s">
        <v>1793</v>
      </c>
      <c r="F1366" s="218" t="s">
        <v>1794</v>
      </c>
      <c r="G1366" s="218">
        <v>6</v>
      </c>
      <c r="H1366" s="218" t="s">
        <v>614</v>
      </c>
      <c r="I1366" s="218" t="str">
        <f>("1306140093")</f>
        <v>1306140093</v>
      </c>
      <c r="J1366" s="218" t="s">
        <v>159</v>
      </c>
    </row>
    <row r="1367" spans="1:10" x14ac:dyDescent="0.15">
      <c r="A1367" s="406" t="str">
        <f t="shared" si="21"/>
        <v>ＦＣ．ＲＥ．ＳＴＡＲＴ　_11</v>
      </c>
      <c r="B1367" s="218" t="s">
        <v>1784</v>
      </c>
      <c r="C1367" s="218" t="str">
        <f>("11")</f>
        <v>11</v>
      </c>
      <c r="D1367" s="218" t="s">
        <v>611</v>
      </c>
      <c r="E1367" s="218" t="s">
        <v>1789</v>
      </c>
      <c r="F1367" s="218" t="s">
        <v>1790</v>
      </c>
      <c r="G1367" s="218">
        <v>6</v>
      </c>
      <c r="H1367" s="218" t="s">
        <v>614</v>
      </c>
      <c r="I1367" s="218" t="str">
        <f>("1305200152")</f>
        <v>1305200152</v>
      </c>
    </row>
    <row r="1368" spans="1:10" x14ac:dyDescent="0.15">
      <c r="A1368" s="406" t="str">
        <f t="shared" si="21"/>
        <v>ＦＣ．ＲＥ．ＳＴＡＲＴ　_12</v>
      </c>
      <c r="B1368" s="218" t="s">
        <v>1784</v>
      </c>
      <c r="C1368" s="218" t="str">
        <f>("12")</f>
        <v>12</v>
      </c>
      <c r="D1368" s="218" t="s">
        <v>623</v>
      </c>
      <c r="E1368" s="218" t="s">
        <v>9036</v>
      </c>
      <c r="F1368" s="218" t="s">
        <v>9037</v>
      </c>
      <c r="G1368" s="218">
        <v>3</v>
      </c>
      <c r="H1368" s="218" t="s">
        <v>616</v>
      </c>
      <c r="I1368" s="218" t="str">
        <f>("1605110027")</f>
        <v>1605110027</v>
      </c>
    </row>
    <row r="1369" spans="1:10" x14ac:dyDescent="0.15">
      <c r="A1369" s="406" t="str">
        <f t="shared" si="21"/>
        <v>ＦＣ．ＲＥ．ＳＴＡＲＴ　_13</v>
      </c>
      <c r="B1369" s="218" t="s">
        <v>1784</v>
      </c>
      <c r="C1369" s="218" t="str">
        <f>("13")</f>
        <v>13</v>
      </c>
      <c r="D1369" s="218" t="s">
        <v>623</v>
      </c>
      <c r="E1369" s="218" t="s">
        <v>1795</v>
      </c>
      <c r="F1369" s="218" t="s">
        <v>1796</v>
      </c>
      <c r="G1369" s="218">
        <v>4</v>
      </c>
      <c r="H1369" s="218" t="s">
        <v>614</v>
      </c>
      <c r="I1369" s="218" t="str">
        <f>("1505140012")</f>
        <v>1505140012</v>
      </c>
    </row>
    <row r="1370" spans="1:10" x14ac:dyDescent="0.15">
      <c r="A1370" s="406" t="str">
        <f t="shared" si="21"/>
        <v>ＦＣ．ＲＥ．ＳＴＡＲＴ　_14</v>
      </c>
      <c r="B1370" s="218" t="s">
        <v>1784</v>
      </c>
      <c r="C1370" s="218" t="str">
        <f>("14")</f>
        <v>14</v>
      </c>
      <c r="D1370" s="218" t="s">
        <v>623</v>
      </c>
      <c r="E1370" s="218" t="s">
        <v>9038</v>
      </c>
      <c r="F1370" s="218" t="s">
        <v>9039</v>
      </c>
      <c r="G1370" s="218">
        <v>3</v>
      </c>
      <c r="H1370" s="218" t="s">
        <v>616</v>
      </c>
      <c r="I1370" s="218" t="str">
        <f>("1606080037")</f>
        <v>1606080037</v>
      </c>
    </row>
    <row r="1371" spans="1:10" x14ac:dyDescent="0.15">
      <c r="A1371" s="406" t="str">
        <f t="shared" si="21"/>
        <v>ＦＣ．ＲＥ．ＳＴＡＲＴ　_15</v>
      </c>
      <c r="B1371" s="218" t="s">
        <v>1784</v>
      </c>
      <c r="C1371" s="218" t="str">
        <f>("15")</f>
        <v>15</v>
      </c>
      <c r="D1371" s="218" t="s">
        <v>615</v>
      </c>
      <c r="E1371" s="218" t="s">
        <v>645</v>
      </c>
      <c r="F1371" s="218" t="s">
        <v>646</v>
      </c>
      <c r="G1371" s="218">
        <v>5</v>
      </c>
      <c r="H1371" s="218" t="s">
        <v>614</v>
      </c>
      <c r="I1371" s="218" t="str">
        <f>("1411210027")</f>
        <v>1411210027</v>
      </c>
    </row>
    <row r="1372" spans="1:10" x14ac:dyDescent="0.15">
      <c r="A1372" s="406" t="str">
        <f t="shared" si="21"/>
        <v>ＦＣ．ＲＥ．ＳＴＡＲＴ　_16</v>
      </c>
      <c r="B1372" s="218" t="s">
        <v>1784</v>
      </c>
      <c r="C1372" s="218" t="str">
        <f>("16")</f>
        <v>16</v>
      </c>
      <c r="D1372" s="218" t="s">
        <v>624</v>
      </c>
      <c r="E1372" s="218" t="s">
        <v>9040</v>
      </c>
      <c r="F1372" s="218" t="s">
        <v>9041</v>
      </c>
      <c r="G1372" s="218">
        <v>5</v>
      </c>
      <c r="H1372" s="218" t="s">
        <v>614</v>
      </c>
      <c r="I1372" s="218" t="str">
        <f>("1406040157")</f>
        <v>1406040157</v>
      </c>
    </row>
    <row r="1373" spans="1:10" x14ac:dyDescent="0.15">
      <c r="A1373" s="406" t="str">
        <f t="shared" si="21"/>
        <v>大分セントラルＦＣ_1</v>
      </c>
      <c r="B1373" s="218" t="s">
        <v>9042</v>
      </c>
      <c r="C1373" s="218" t="str">
        <f>("1")</f>
        <v>1</v>
      </c>
      <c r="D1373" s="218" t="s">
        <v>624</v>
      </c>
      <c r="E1373" s="218" t="s">
        <v>9043</v>
      </c>
      <c r="F1373" s="218" t="s">
        <v>9044</v>
      </c>
      <c r="G1373" s="218">
        <v>6</v>
      </c>
      <c r="H1373" s="218" t="s">
        <v>614</v>
      </c>
      <c r="I1373" s="218" t="str">
        <f>("1307300277")</f>
        <v>1307300277</v>
      </c>
    </row>
    <row r="1374" spans="1:10" x14ac:dyDescent="0.15">
      <c r="A1374" s="406" t="str">
        <f t="shared" si="21"/>
        <v>大分セントラルＦＣ_2</v>
      </c>
      <c r="B1374" s="218" t="s">
        <v>9042</v>
      </c>
      <c r="C1374" s="218" t="str">
        <f>("2")</f>
        <v>2</v>
      </c>
      <c r="D1374" s="218" t="s">
        <v>611</v>
      </c>
      <c r="E1374" s="218" t="s">
        <v>9045</v>
      </c>
      <c r="F1374" s="218" t="s">
        <v>9046</v>
      </c>
      <c r="G1374" s="218">
        <v>4</v>
      </c>
      <c r="H1374" s="218" t="s">
        <v>614</v>
      </c>
      <c r="I1374" s="218" t="str">
        <f>("1504090194")</f>
        <v>1504090194</v>
      </c>
    </row>
    <row r="1375" spans="1:10" x14ac:dyDescent="0.15">
      <c r="A1375" s="406" t="str">
        <f t="shared" si="21"/>
        <v>大分セントラルＦＣ_3</v>
      </c>
      <c r="B1375" s="218" t="s">
        <v>9042</v>
      </c>
      <c r="C1375" s="218" t="str">
        <f>("3")</f>
        <v>3</v>
      </c>
      <c r="D1375" s="218" t="s">
        <v>611</v>
      </c>
      <c r="E1375" s="218" t="s">
        <v>9047</v>
      </c>
      <c r="F1375" s="218" t="s">
        <v>9048</v>
      </c>
      <c r="G1375" s="218">
        <v>2</v>
      </c>
      <c r="H1375" s="218" t="s">
        <v>614</v>
      </c>
      <c r="I1375" s="218" t="str">
        <f>("1801090017")</f>
        <v>1801090017</v>
      </c>
    </row>
    <row r="1376" spans="1:10" x14ac:dyDescent="0.15">
      <c r="A1376" s="406" t="str">
        <f t="shared" si="21"/>
        <v>大分セントラルＦＣ_4</v>
      </c>
      <c r="B1376" s="218" t="s">
        <v>9042</v>
      </c>
      <c r="C1376" s="218" t="str">
        <f>("4")</f>
        <v>4</v>
      </c>
      <c r="D1376" s="218" t="s">
        <v>611</v>
      </c>
      <c r="E1376" s="218" t="s">
        <v>9049</v>
      </c>
      <c r="F1376" s="218" t="s">
        <v>9050</v>
      </c>
      <c r="G1376" s="218">
        <v>3</v>
      </c>
      <c r="H1376" s="218" t="s">
        <v>614</v>
      </c>
      <c r="I1376" s="218" t="str">
        <f>("1605190085")</f>
        <v>1605190085</v>
      </c>
    </row>
    <row r="1377" spans="1:10" x14ac:dyDescent="0.15">
      <c r="A1377" s="406" t="str">
        <f t="shared" si="21"/>
        <v>大分セントラルＦＣ_5</v>
      </c>
      <c r="B1377" s="218" t="s">
        <v>9042</v>
      </c>
      <c r="C1377" s="218" t="str">
        <f>("5")</f>
        <v>5</v>
      </c>
      <c r="D1377" s="218" t="s">
        <v>611</v>
      </c>
      <c r="E1377" s="218" t="s">
        <v>9051</v>
      </c>
      <c r="F1377" s="218" t="s">
        <v>9052</v>
      </c>
      <c r="G1377" s="218">
        <v>4</v>
      </c>
      <c r="H1377" s="218" t="s">
        <v>614</v>
      </c>
      <c r="I1377" s="218" t="str">
        <f>("1602220142")</f>
        <v>1602220142</v>
      </c>
    </row>
    <row r="1378" spans="1:10" x14ac:dyDescent="0.15">
      <c r="A1378" s="406" t="str">
        <f t="shared" si="21"/>
        <v>大分セントラルＦＣ_6</v>
      </c>
      <c r="B1378" s="218" t="s">
        <v>9042</v>
      </c>
      <c r="C1378" s="218" t="str">
        <f>("6")</f>
        <v>6</v>
      </c>
      <c r="D1378" s="218" t="s">
        <v>623</v>
      </c>
      <c r="E1378" s="218" t="s">
        <v>9053</v>
      </c>
      <c r="F1378" s="218" t="s">
        <v>9054</v>
      </c>
      <c r="G1378" s="218">
        <v>4</v>
      </c>
      <c r="H1378" s="218" t="s">
        <v>614</v>
      </c>
      <c r="I1378" s="218" t="str">
        <f>("1508190164")</f>
        <v>1508190164</v>
      </c>
    </row>
    <row r="1379" spans="1:10" x14ac:dyDescent="0.15">
      <c r="A1379" s="406" t="str">
        <f t="shared" si="21"/>
        <v>大分セントラルＦＣ_7</v>
      </c>
      <c r="B1379" s="218" t="s">
        <v>9042</v>
      </c>
      <c r="C1379" s="218" t="str">
        <f>("7")</f>
        <v>7</v>
      </c>
      <c r="D1379" s="218" t="s">
        <v>615</v>
      </c>
      <c r="E1379" s="218" t="s">
        <v>9055</v>
      </c>
      <c r="F1379" s="218" t="s">
        <v>9056</v>
      </c>
      <c r="G1379" s="218">
        <v>6</v>
      </c>
      <c r="H1379" s="218" t="s">
        <v>614</v>
      </c>
      <c r="I1379" s="218" t="str">
        <f>("1310010080")</f>
        <v>1310010080</v>
      </c>
      <c r="J1379" s="218" t="s">
        <v>159</v>
      </c>
    </row>
    <row r="1380" spans="1:10" x14ac:dyDescent="0.15">
      <c r="A1380" s="406" t="str">
        <f t="shared" si="21"/>
        <v>大分セントラルＦＣ_8</v>
      </c>
      <c r="B1380" s="218" t="s">
        <v>9042</v>
      </c>
      <c r="C1380" s="218" t="str">
        <f>("8")</f>
        <v>8</v>
      </c>
      <c r="D1380" s="218" t="s">
        <v>615</v>
      </c>
      <c r="E1380" s="218" t="s">
        <v>9057</v>
      </c>
      <c r="F1380" s="218" t="s">
        <v>9058</v>
      </c>
      <c r="G1380" s="218">
        <v>4</v>
      </c>
      <c r="H1380" s="218" t="s">
        <v>614</v>
      </c>
      <c r="I1380" s="218" t="str">
        <f>("1505100106")</f>
        <v>1505100106</v>
      </c>
    </row>
    <row r="1381" spans="1:10" x14ac:dyDescent="0.15">
      <c r="A1381" s="406" t="str">
        <f t="shared" si="21"/>
        <v>大分セントラルＦＣ_9</v>
      </c>
      <c r="B1381" s="218" t="s">
        <v>9042</v>
      </c>
      <c r="C1381" s="218" t="str">
        <f>("9")</f>
        <v>9</v>
      </c>
      <c r="D1381" s="218" t="s">
        <v>623</v>
      </c>
      <c r="E1381" s="218" t="s">
        <v>9059</v>
      </c>
      <c r="F1381" s="218" t="s">
        <v>9060</v>
      </c>
      <c r="G1381" s="218">
        <v>5</v>
      </c>
      <c r="H1381" s="218" t="s">
        <v>614</v>
      </c>
      <c r="I1381" s="218" t="str">
        <f>("1503240166")</f>
        <v>1503240166</v>
      </c>
    </row>
    <row r="1382" spans="1:10" x14ac:dyDescent="0.15">
      <c r="A1382" s="406" t="str">
        <f t="shared" si="21"/>
        <v>大分セントラルＦＣ_10</v>
      </c>
      <c r="B1382" s="218" t="s">
        <v>9042</v>
      </c>
      <c r="C1382" s="218" t="str">
        <f>("10")</f>
        <v>10</v>
      </c>
      <c r="D1382" s="218" t="s">
        <v>623</v>
      </c>
      <c r="E1382" s="218" t="s">
        <v>9061</v>
      </c>
      <c r="F1382" s="218" t="s">
        <v>9062</v>
      </c>
      <c r="G1382" s="218">
        <v>5</v>
      </c>
      <c r="H1382" s="218" t="s">
        <v>614</v>
      </c>
      <c r="I1382" s="218" t="str">
        <f>("1406090115")</f>
        <v>1406090115</v>
      </c>
    </row>
    <row r="1383" spans="1:10" x14ac:dyDescent="0.15">
      <c r="A1383" s="406" t="str">
        <f t="shared" si="21"/>
        <v>大分セントラルＦＣ_11</v>
      </c>
      <c r="B1383" s="218" t="s">
        <v>9042</v>
      </c>
      <c r="C1383" s="218" t="str">
        <f>("11")</f>
        <v>11</v>
      </c>
      <c r="D1383" s="218" t="s">
        <v>615</v>
      </c>
      <c r="E1383" s="218" t="s">
        <v>9063</v>
      </c>
      <c r="F1383" s="218" t="s">
        <v>9064</v>
      </c>
      <c r="G1383" s="218">
        <v>4</v>
      </c>
      <c r="H1383" s="218" t="s">
        <v>614</v>
      </c>
      <c r="I1383" s="218" t="str">
        <f>("1509110135")</f>
        <v>1509110135</v>
      </c>
    </row>
    <row r="1384" spans="1:10" x14ac:dyDescent="0.15">
      <c r="A1384" s="406" t="str">
        <f t="shared" si="21"/>
        <v>大分セントラルＦＣ_12</v>
      </c>
      <c r="B1384" s="218" t="s">
        <v>9042</v>
      </c>
      <c r="C1384" s="218" t="str">
        <f>("12")</f>
        <v>12</v>
      </c>
      <c r="D1384" s="218" t="s">
        <v>624</v>
      </c>
      <c r="E1384" s="218" t="s">
        <v>9065</v>
      </c>
      <c r="F1384" s="218" t="s">
        <v>1100</v>
      </c>
      <c r="G1384" s="218">
        <v>4</v>
      </c>
      <c r="H1384" s="218" t="s">
        <v>614</v>
      </c>
      <c r="I1384" s="218" t="str">
        <f>("1508080163")</f>
        <v>1508080163</v>
      </c>
    </row>
    <row r="1385" spans="1:10" x14ac:dyDescent="0.15">
      <c r="A1385" s="406" t="str">
        <f t="shared" si="21"/>
        <v>大分セントラルＦＣ_13</v>
      </c>
      <c r="B1385" s="218" t="s">
        <v>9042</v>
      </c>
      <c r="C1385" s="218" t="str">
        <f>("13")</f>
        <v>13</v>
      </c>
      <c r="D1385" s="218" t="s">
        <v>623</v>
      </c>
      <c r="E1385" s="218" t="s">
        <v>9066</v>
      </c>
      <c r="F1385" s="218" t="s">
        <v>9067</v>
      </c>
      <c r="G1385" s="218">
        <v>2</v>
      </c>
      <c r="H1385" s="218" t="s">
        <v>614</v>
      </c>
      <c r="I1385" s="218" t="str">
        <f>("1705250018")</f>
        <v>1705250018</v>
      </c>
    </row>
    <row r="1386" spans="1:10" x14ac:dyDescent="0.15">
      <c r="A1386" s="406" t="str">
        <f t="shared" si="21"/>
        <v>大分セントラルＦＣ_14</v>
      </c>
      <c r="B1386" s="218" t="s">
        <v>9042</v>
      </c>
      <c r="C1386" s="218" t="str">
        <f>("14")</f>
        <v>14</v>
      </c>
      <c r="D1386" s="218" t="s">
        <v>623</v>
      </c>
      <c r="E1386" s="218" t="s">
        <v>9068</v>
      </c>
      <c r="F1386" s="218" t="s">
        <v>9069</v>
      </c>
      <c r="G1386" s="218">
        <v>6</v>
      </c>
      <c r="H1386" s="218" t="s">
        <v>614</v>
      </c>
      <c r="I1386" s="218" t="str">
        <f>("1306030197")</f>
        <v>1306030197</v>
      </c>
    </row>
    <row r="1387" spans="1:10" x14ac:dyDescent="0.15">
      <c r="A1387" s="406" t="str">
        <f t="shared" si="21"/>
        <v>大分セントラルＦＣ_15</v>
      </c>
      <c r="B1387" s="218" t="s">
        <v>9042</v>
      </c>
      <c r="C1387" s="218" t="str">
        <f>("15")</f>
        <v>15</v>
      </c>
      <c r="D1387" s="218" t="s">
        <v>615</v>
      </c>
      <c r="E1387" s="218" t="s">
        <v>9070</v>
      </c>
      <c r="F1387" s="218" t="s">
        <v>9071</v>
      </c>
      <c r="G1387" s="218">
        <v>2</v>
      </c>
      <c r="H1387" s="218" t="s">
        <v>614</v>
      </c>
      <c r="I1387" s="218" t="str">
        <f>("1712010020")</f>
        <v>1712010020</v>
      </c>
    </row>
    <row r="1388" spans="1:10" x14ac:dyDescent="0.15">
      <c r="A1388" s="406" t="str">
        <f t="shared" si="21"/>
        <v>大分セントラルＦＣ_16</v>
      </c>
      <c r="B1388" s="218" t="s">
        <v>9042</v>
      </c>
      <c r="C1388" s="218" t="str">
        <f>("16")</f>
        <v>16</v>
      </c>
      <c r="D1388" s="218" t="s">
        <v>611</v>
      </c>
      <c r="E1388" s="218" t="s">
        <v>9072</v>
      </c>
      <c r="F1388" s="218" t="s">
        <v>9073</v>
      </c>
      <c r="G1388" s="218">
        <v>4</v>
      </c>
      <c r="H1388" s="218" t="s">
        <v>614</v>
      </c>
      <c r="I1388" s="218" t="str">
        <f>("1603310083")</f>
        <v>1603310083</v>
      </c>
    </row>
    <row r="1389" spans="1:10" x14ac:dyDescent="0.15">
      <c r="A1389" s="406" t="str">
        <f t="shared" si="21"/>
        <v>彦陽ジュニアサッカークラブ_3</v>
      </c>
      <c r="B1389" s="218" t="s">
        <v>1797</v>
      </c>
      <c r="C1389" s="218" t="str">
        <f>("3")</f>
        <v>3</v>
      </c>
      <c r="D1389" s="218" t="s">
        <v>611</v>
      </c>
      <c r="E1389" s="218" t="s">
        <v>1812</v>
      </c>
      <c r="F1389" s="218" t="s">
        <v>1813</v>
      </c>
      <c r="G1389" s="218">
        <v>5</v>
      </c>
      <c r="H1389" s="218" t="s">
        <v>614</v>
      </c>
      <c r="I1389" s="218" t="str">
        <f>("1410210093")</f>
        <v>1410210093</v>
      </c>
    </row>
    <row r="1390" spans="1:10" x14ac:dyDescent="0.15">
      <c r="A1390" s="406" t="str">
        <f t="shared" si="21"/>
        <v>彦陽ジュニアサッカークラブ_6</v>
      </c>
      <c r="B1390" s="218" t="s">
        <v>1797</v>
      </c>
      <c r="C1390" s="218" t="str">
        <f>("6")</f>
        <v>6</v>
      </c>
      <c r="D1390" s="218" t="s">
        <v>615</v>
      </c>
      <c r="E1390" s="218" t="s">
        <v>1806</v>
      </c>
      <c r="F1390" s="218" t="s">
        <v>1807</v>
      </c>
      <c r="G1390" s="218">
        <v>5</v>
      </c>
      <c r="H1390" s="218" t="s">
        <v>614</v>
      </c>
      <c r="I1390" s="218" t="str">
        <f>("1411180025")</f>
        <v>1411180025</v>
      </c>
    </row>
    <row r="1391" spans="1:10" x14ac:dyDescent="0.15">
      <c r="A1391" s="406" t="str">
        <f t="shared" si="21"/>
        <v>彦陽ジュニアサッカークラブ_7</v>
      </c>
      <c r="B1391" s="218" t="s">
        <v>1797</v>
      </c>
      <c r="C1391" s="218" t="str">
        <f>("7")</f>
        <v>7</v>
      </c>
      <c r="D1391" s="218" t="s">
        <v>611</v>
      </c>
      <c r="E1391" s="218" t="s">
        <v>1804</v>
      </c>
      <c r="F1391" s="218" t="s">
        <v>1805</v>
      </c>
      <c r="G1391" s="218">
        <v>5</v>
      </c>
      <c r="H1391" s="218" t="s">
        <v>614</v>
      </c>
      <c r="I1391" s="218" t="str">
        <f>("1503060028")</f>
        <v>1503060028</v>
      </c>
    </row>
    <row r="1392" spans="1:10" x14ac:dyDescent="0.15">
      <c r="A1392" s="406" t="str">
        <f t="shared" si="21"/>
        <v>彦陽ジュニアサッカークラブ_8</v>
      </c>
      <c r="B1392" s="218" t="s">
        <v>1797</v>
      </c>
      <c r="C1392" s="218" t="str">
        <f>("8")</f>
        <v>8</v>
      </c>
      <c r="D1392" s="218" t="s">
        <v>611</v>
      </c>
      <c r="E1392" s="218" t="s">
        <v>1810</v>
      </c>
      <c r="F1392" s="218" t="s">
        <v>1811</v>
      </c>
      <c r="G1392" s="218">
        <v>5</v>
      </c>
      <c r="H1392" s="218" t="s">
        <v>614</v>
      </c>
      <c r="I1392" s="218" t="str">
        <f>("1405120030")</f>
        <v>1405120030</v>
      </c>
    </row>
    <row r="1393" spans="1:10" x14ac:dyDescent="0.15">
      <c r="A1393" s="406" t="str">
        <f t="shared" si="21"/>
        <v>彦陽ジュニアサッカークラブ_9</v>
      </c>
      <c r="B1393" s="218" t="s">
        <v>1797</v>
      </c>
      <c r="C1393" s="218" t="str">
        <f>("9")</f>
        <v>9</v>
      </c>
      <c r="D1393" s="218" t="s">
        <v>615</v>
      </c>
      <c r="E1393" s="218" t="s">
        <v>1802</v>
      </c>
      <c r="F1393" s="218" t="s">
        <v>1803</v>
      </c>
      <c r="G1393" s="218">
        <v>6</v>
      </c>
      <c r="H1393" s="218" t="s">
        <v>616</v>
      </c>
      <c r="I1393" s="218" t="str">
        <f>("1309050083")</f>
        <v>1309050083</v>
      </c>
    </row>
    <row r="1394" spans="1:10" x14ac:dyDescent="0.15">
      <c r="A1394" s="406" t="str">
        <f t="shared" si="21"/>
        <v>彦陽ジュニアサッカークラブ_10</v>
      </c>
      <c r="B1394" s="218" t="s">
        <v>1797</v>
      </c>
      <c r="C1394" s="218" t="str">
        <f>("10")</f>
        <v>10</v>
      </c>
      <c r="D1394" s="218" t="s">
        <v>615</v>
      </c>
      <c r="E1394" s="218" t="s">
        <v>1798</v>
      </c>
      <c r="F1394" s="218" t="s">
        <v>1799</v>
      </c>
      <c r="G1394" s="218">
        <v>6</v>
      </c>
      <c r="H1394" s="218" t="s">
        <v>614</v>
      </c>
      <c r="I1394" s="218" t="str">
        <f>("1307090096")</f>
        <v>1307090096</v>
      </c>
      <c r="J1394" s="218" t="s">
        <v>159</v>
      </c>
    </row>
    <row r="1395" spans="1:10" x14ac:dyDescent="0.15">
      <c r="A1395" s="406" t="str">
        <f t="shared" si="21"/>
        <v>彦陽ジュニアサッカークラブ_11</v>
      </c>
      <c r="B1395" s="218" t="s">
        <v>1797</v>
      </c>
      <c r="C1395" s="218" t="str">
        <f>("11")</f>
        <v>11</v>
      </c>
      <c r="D1395" s="218" t="s">
        <v>611</v>
      </c>
      <c r="E1395" s="218" t="s">
        <v>1800</v>
      </c>
      <c r="F1395" s="218" t="s">
        <v>1801</v>
      </c>
      <c r="G1395" s="218">
        <v>6</v>
      </c>
      <c r="H1395" s="218" t="s">
        <v>614</v>
      </c>
      <c r="I1395" s="218" t="str">
        <f>("1308090097")</f>
        <v>1308090097</v>
      </c>
    </row>
    <row r="1396" spans="1:10" x14ac:dyDescent="0.15">
      <c r="A1396" s="406" t="str">
        <f t="shared" si="21"/>
        <v>彦陽ジュニアサッカークラブ_12</v>
      </c>
      <c r="B1396" s="218" t="s">
        <v>1797</v>
      </c>
      <c r="C1396" s="218" t="str">
        <f>("12")</f>
        <v>12</v>
      </c>
      <c r="D1396" s="218" t="s">
        <v>624</v>
      </c>
      <c r="E1396" s="218" t="s">
        <v>1808</v>
      </c>
      <c r="F1396" s="218" t="s">
        <v>1809</v>
      </c>
      <c r="G1396" s="218">
        <v>5</v>
      </c>
      <c r="H1396" s="218" t="s">
        <v>614</v>
      </c>
      <c r="I1396" s="218" t="str">
        <f>("1408130039")</f>
        <v>1408130039</v>
      </c>
    </row>
    <row r="1397" spans="1:10" x14ac:dyDescent="0.15">
      <c r="A1397" s="406" t="str">
        <f t="shared" si="21"/>
        <v>彦陽ジュニアサッカークラブ_13</v>
      </c>
      <c r="B1397" s="218" t="s">
        <v>1797</v>
      </c>
      <c r="C1397" s="218" t="str">
        <f>("13")</f>
        <v>13</v>
      </c>
      <c r="D1397" s="218" t="s">
        <v>623</v>
      </c>
      <c r="E1397" s="218" t="s">
        <v>9074</v>
      </c>
      <c r="F1397" s="218" t="s">
        <v>9075</v>
      </c>
      <c r="G1397" s="218">
        <v>4</v>
      </c>
      <c r="H1397" s="218" t="s">
        <v>614</v>
      </c>
      <c r="I1397" s="218" t="str">
        <f>("1512150030")</f>
        <v>1512150030</v>
      </c>
    </row>
    <row r="1398" spans="1:10" x14ac:dyDescent="0.15">
      <c r="A1398" s="406" t="str">
        <f t="shared" si="21"/>
        <v>Ｄｉｖｅｒｔ．ＦＣ_1</v>
      </c>
      <c r="B1398" s="218" t="s">
        <v>1814</v>
      </c>
      <c r="C1398" s="218" t="str">
        <f>("1")</f>
        <v>1</v>
      </c>
      <c r="D1398" s="218" t="s">
        <v>624</v>
      </c>
      <c r="E1398" s="218" t="s">
        <v>9076</v>
      </c>
      <c r="F1398" s="218" t="s">
        <v>9077</v>
      </c>
      <c r="G1398" s="218">
        <v>5</v>
      </c>
      <c r="H1398" s="218" t="s">
        <v>614</v>
      </c>
      <c r="I1398" s="218" t="str">
        <f>("1502110059")</f>
        <v>1502110059</v>
      </c>
    </row>
    <row r="1399" spans="1:10" x14ac:dyDescent="0.15">
      <c r="A1399" s="406" t="str">
        <f t="shared" si="21"/>
        <v>Ｄｉｖｅｒｔ．ＦＣ_2</v>
      </c>
      <c r="B1399" s="218" t="s">
        <v>1814</v>
      </c>
      <c r="C1399" s="218" t="str">
        <f>("2")</f>
        <v>2</v>
      </c>
      <c r="D1399" s="218" t="s">
        <v>615</v>
      </c>
      <c r="E1399" s="218" t="s">
        <v>9078</v>
      </c>
      <c r="F1399" s="218" t="s">
        <v>9079</v>
      </c>
      <c r="G1399" s="218">
        <v>4</v>
      </c>
      <c r="H1399" s="218" t="s">
        <v>616</v>
      </c>
      <c r="I1399" s="218" t="str">
        <f>("1507050027")</f>
        <v>1507050027</v>
      </c>
    </row>
    <row r="1400" spans="1:10" x14ac:dyDescent="0.15">
      <c r="A1400" s="406" t="str">
        <f t="shared" si="21"/>
        <v>Ｄｉｖｅｒｔ．ＦＣ_3</v>
      </c>
      <c r="B1400" s="218" t="s">
        <v>1814</v>
      </c>
      <c r="C1400" s="218" t="str">
        <f>("3")</f>
        <v>3</v>
      </c>
      <c r="D1400" s="218" t="s">
        <v>611</v>
      </c>
      <c r="E1400" s="218" t="s">
        <v>1815</v>
      </c>
      <c r="F1400" s="218" t="s">
        <v>1816</v>
      </c>
      <c r="G1400" s="218">
        <v>5</v>
      </c>
      <c r="H1400" s="218" t="s">
        <v>614</v>
      </c>
      <c r="I1400" s="218" t="str">
        <f>("1407020078")</f>
        <v>1407020078</v>
      </c>
    </row>
    <row r="1401" spans="1:10" x14ac:dyDescent="0.15">
      <c r="A1401" s="406" t="str">
        <f t="shared" si="21"/>
        <v>Ｄｉｖｅｒｔ．ＦＣ_4</v>
      </c>
      <c r="B1401" s="218" t="s">
        <v>1814</v>
      </c>
      <c r="C1401" s="218" t="str">
        <f>("4")</f>
        <v>4</v>
      </c>
      <c r="D1401" s="218" t="s">
        <v>623</v>
      </c>
      <c r="E1401" s="218" t="s">
        <v>9080</v>
      </c>
      <c r="F1401" s="218" t="s">
        <v>9081</v>
      </c>
      <c r="G1401" s="218">
        <v>3</v>
      </c>
      <c r="H1401" s="218" t="s">
        <v>614</v>
      </c>
      <c r="I1401" s="218" t="str">
        <f>("1702050003")</f>
        <v>1702050003</v>
      </c>
    </row>
    <row r="1402" spans="1:10" x14ac:dyDescent="0.15">
      <c r="A1402" s="406" t="str">
        <f t="shared" si="21"/>
        <v>Ｄｉｖｅｒｔ．ＦＣ_5</v>
      </c>
      <c r="B1402" s="218" t="s">
        <v>1814</v>
      </c>
      <c r="C1402" s="218" t="str">
        <f>("5")</f>
        <v>5</v>
      </c>
      <c r="D1402" s="218" t="s">
        <v>611</v>
      </c>
      <c r="E1402" s="218" t="s">
        <v>1823</v>
      </c>
      <c r="F1402" s="218" t="s">
        <v>1824</v>
      </c>
      <c r="G1402" s="218">
        <v>6</v>
      </c>
      <c r="H1402" s="218" t="s">
        <v>614</v>
      </c>
      <c r="I1402" s="218" t="str">
        <f>("1309070138")</f>
        <v>1309070138</v>
      </c>
    </row>
    <row r="1403" spans="1:10" x14ac:dyDescent="0.15">
      <c r="A1403" s="406" t="str">
        <f t="shared" si="21"/>
        <v>Ｄｉｖｅｒｔ．ＦＣ_6</v>
      </c>
      <c r="B1403" s="218" t="s">
        <v>1814</v>
      </c>
      <c r="C1403" s="218" t="str">
        <f>("6")</f>
        <v>6</v>
      </c>
      <c r="D1403" s="218" t="s">
        <v>623</v>
      </c>
      <c r="E1403" s="218" t="s">
        <v>9082</v>
      </c>
      <c r="F1403" s="218" t="s">
        <v>9083</v>
      </c>
      <c r="G1403" s="218">
        <v>4</v>
      </c>
      <c r="H1403" s="218" t="s">
        <v>614</v>
      </c>
      <c r="I1403" s="218" t="str">
        <f>("1607130011")</f>
        <v>1607130011</v>
      </c>
    </row>
    <row r="1404" spans="1:10" x14ac:dyDescent="0.15">
      <c r="A1404" s="406" t="str">
        <f t="shared" si="21"/>
        <v>Ｄｉｖｅｒｔ．ＦＣ_7</v>
      </c>
      <c r="B1404" s="218" t="s">
        <v>1814</v>
      </c>
      <c r="C1404" s="218" t="str">
        <f>("7")</f>
        <v>7</v>
      </c>
      <c r="D1404" s="218" t="s">
        <v>615</v>
      </c>
      <c r="E1404" s="218" t="s">
        <v>1819</v>
      </c>
      <c r="F1404" s="218" t="s">
        <v>1820</v>
      </c>
      <c r="G1404" s="218">
        <v>6</v>
      </c>
      <c r="H1404" s="218" t="s">
        <v>614</v>
      </c>
      <c r="I1404" s="218" t="str">
        <f>("1308180099")</f>
        <v>1308180099</v>
      </c>
      <c r="J1404" s="218" t="s">
        <v>159</v>
      </c>
    </row>
    <row r="1405" spans="1:10" x14ac:dyDescent="0.15">
      <c r="A1405" s="406" t="str">
        <f t="shared" si="21"/>
        <v>Ｄｉｖｅｒｔ．ＦＣ_8</v>
      </c>
      <c r="B1405" s="218" t="s">
        <v>1814</v>
      </c>
      <c r="C1405" s="218" t="str">
        <f>("8")</f>
        <v>8</v>
      </c>
      <c r="D1405" s="218" t="s">
        <v>611</v>
      </c>
      <c r="E1405" s="218" t="s">
        <v>1821</v>
      </c>
      <c r="F1405" s="218" t="s">
        <v>1822</v>
      </c>
      <c r="G1405" s="218">
        <v>6</v>
      </c>
      <c r="H1405" s="218" t="s">
        <v>614</v>
      </c>
      <c r="I1405" s="218" t="str">
        <f>("1401290001")</f>
        <v>1401290001</v>
      </c>
    </row>
    <row r="1406" spans="1:10" x14ac:dyDescent="0.15">
      <c r="A1406" s="406" t="str">
        <f t="shared" si="21"/>
        <v>Ｄｉｖｅｒｔ．ＦＣ_9</v>
      </c>
      <c r="B1406" s="218" t="s">
        <v>1814</v>
      </c>
      <c r="C1406" s="218" t="str">
        <f>("9")</f>
        <v>9</v>
      </c>
      <c r="D1406" s="218" t="s">
        <v>615</v>
      </c>
      <c r="E1406" s="218" t="s">
        <v>9084</v>
      </c>
      <c r="F1406" s="218" t="s">
        <v>9085</v>
      </c>
      <c r="G1406" s="218">
        <v>4</v>
      </c>
      <c r="H1406" s="218" t="s">
        <v>614</v>
      </c>
      <c r="I1406" s="218" t="str">
        <f>("1509090031")</f>
        <v>1509090031</v>
      </c>
    </row>
    <row r="1407" spans="1:10" x14ac:dyDescent="0.15">
      <c r="A1407" s="406" t="str">
        <f t="shared" si="21"/>
        <v>Ｄｉｖｅｒｔ．ＦＣ_10</v>
      </c>
      <c r="B1407" s="218" t="s">
        <v>1814</v>
      </c>
      <c r="C1407" s="218" t="str">
        <f>("10")</f>
        <v>10</v>
      </c>
      <c r="D1407" s="218" t="s">
        <v>615</v>
      </c>
      <c r="E1407" s="218" t="s">
        <v>1825</v>
      </c>
      <c r="F1407" s="218" t="s">
        <v>1826</v>
      </c>
      <c r="G1407" s="218">
        <v>4</v>
      </c>
      <c r="H1407" s="218" t="s">
        <v>614</v>
      </c>
      <c r="I1407" s="218" t="str">
        <f>("1510110016")</f>
        <v>1510110016</v>
      </c>
    </row>
    <row r="1408" spans="1:10" x14ac:dyDescent="0.15">
      <c r="A1408" s="406" t="str">
        <f t="shared" si="21"/>
        <v>Ｄｉｖｅｒｔ．ＦＣ_11</v>
      </c>
      <c r="B1408" s="218" t="s">
        <v>1814</v>
      </c>
      <c r="C1408" s="218" t="str">
        <f>("11")</f>
        <v>11</v>
      </c>
      <c r="D1408" s="218" t="s">
        <v>615</v>
      </c>
      <c r="E1408" s="218" t="s">
        <v>9086</v>
      </c>
      <c r="F1408" s="218" t="s">
        <v>9087</v>
      </c>
      <c r="G1408" s="218">
        <v>3</v>
      </c>
      <c r="H1408" s="218" t="s">
        <v>614</v>
      </c>
      <c r="I1408" s="218" t="str">
        <f>("1608090006")</f>
        <v>1608090006</v>
      </c>
    </row>
    <row r="1409" spans="1:10" x14ac:dyDescent="0.15">
      <c r="A1409" s="406" t="str">
        <f t="shared" ref="A1409:A1472" si="22">CONCATENATE(B1409,"_",C1409)</f>
        <v>Ｄｉｖｅｒｔ．ＦＣ_16</v>
      </c>
      <c r="B1409" s="218" t="s">
        <v>1814</v>
      </c>
      <c r="C1409" s="218" t="str">
        <f>("16")</f>
        <v>16</v>
      </c>
      <c r="D1409" s="218" t="s">
        <v>624</v>
      </c>
      <c r="E1409" s="218" t="s">
        <v>1817</v>
      </c>
      <c r="F1409" s="218" t="s">
        <v>1818</v>
      </c>
      <c r="G1409" s="218">
        <v>5</v>
      </c>
      <c r="H1409" s="218" t="s">
        <v>614</v>
      </c>
      <c r="I1409" s="218" t="str">
        <f>("1407250089")</f>
        <v>1407250089</v>
      </c>
    </row>
    <row r="1410" spans="1:10" x14ac:dyDescent="0.15">
      <c r="A1410" s="406" t="str">
        <f t="shared" si="22"/>
        <v>ＮＦＣ・ＯＩＴＡ　Ｕ１２_1</v>
      </c>
      <c r="B1410" s="218" t="s">
        <v>9088</v>
      </c>
      <c r="C1410" s="218" t="str">
        <f>("1")</f>
        <v>1</v>
      </c>
      <c r="D1410" s="218" t="s">
        <v>624</v>
      </c>
      <c r="E1410" s="218" t="s">
        <v>1622</v>
      </c>
      <c r="F1410" s="218" t="s">
        <v>1623</v>
      </c>
      <c r="G1410" s="218">
        <v>6</v>
      </c>
      <c r="H1410" s="218" t="s">
        <v>614</v>
      </c>
      <c r="I1410" s="218" t="str">
        <f>("1402140093")</f>
        <v>1402140093</v>
      </c>
    </row>
    <row r="1411" spans="1:10" x14ac:dyDescent="0.15">
      <c r="A1411" s="406" t="str">
        <f t="shared" si="22"/>
        <v>ＮＦＣ・ＯＩＴＡ　Ｕ１２_2</v>
      </c>
      <c r="B1411" s="218" t="s">
        <v>9088</v>
      </c>
      <c r="C1411" s="218" t="str">
        <f>("2")</f>
        <v>2</v>
      </c>
      <c r="D1411" s="218" t="s">
        <v>615</v>
      </c>
      <c r="E1411" s="218" t="s">
        <v>9089</v>
      </c>
      <c r="F1411" s="218" t="s">
        <v>9090</v>
      </c>
      <c r="G1411" s="218">
        <v>5</v>
      </c>
      <c r="H1411" s="218" t="s">
        <v>614</v>
      </c>
      <c r="I1411" s="218" t="str">
        <f>("1406290111")</f>
        <v>1406290111</v>
      </c>
    </row>
    <row r="1412" spans="1:10" x14ac:dyDescent="0.15">
      <c r="A1412" s="406" t="str">
        <f t="shared" si="22"/>
        <v>ＮＦＣ・ＯＩＴＡ　Ｕ１２_4</v>
      </c>
      <c r="B1412" s="218" t="s">
        <v>9088</v>
      </c>
      <c r="C1412" s="218" t="str">
        <f>("4")</f>
        <v>4</v>
      </c>
      <c r="D1412" s="218" t="s">
        <v>611</v>
      </c>
      <c r="E1412" s="218" t="s">
        <v>9091</v>
      </c>
      <c r="F1412" s="218" t="s">
        <v>9092</v>
      </c>
      <c r="G1412" s="218">
        <v>6</v>
      </c>
      <c r="H1412" s="218" t="s">
        <v>614</v>
      </c>
      <c r="I1412" s="218" t="str">
        <f>("1307090084")</f>
        <v>1307090084</v>
      </c>
    </row>
    <row r="1413" spans="1:10" x14ac:dyDescent="0.15">
      <c r="A1413" s="406" t="str">
        <f t="shared" si="22"/>
        <v>ＮＦＣ・ＯＩＴＡ　Ｕ１２_5</v>
      </c>
      <c r="B1413" s="218" t="s">
        <v>9088</v>
      </c>
      <c r="C1413" s="218" t="str">
        <f>("5")</f>
        <v>5</v>
      </c>
      <c r="D1413" s="218" t="s">
        <v>611</v>
      </c>
      <c r="E1413" s="218" t="s">
        <v>1630</v>
      </c>
      <c r="F1413" s="218" t="s">
        <v>1631</v>
      </c>
      <c r="G1413" s="218">
        <v>6</v>
      </c>
      <c r="H1413" s="218" t="s">
        <v>614</v>
      </c>
      <c r="I1413" s="218" t="str">
        <f>("1309280113")</f>
        <v>1309280113</v>
      </c>
      <c r="J1413" s="218" t="s">
        <v>159</v>
      </c>
    </row>
    <row r="1414" spans="1:10" x14ac:dyDescent="0.15">
      <c r="A1414" s="406" t="str">
        <f t="shared" si="22"/>
        <v>ＮＦＣ・ＯＩＴＡ　Ｕ１２_6</v>
      </c>
      <c r="B1414" s="218" t="s">
        <v>9088</v>
      </c>
      <c r="C1414" s="218" t="str">
        <f>("6")</f>
        <v>6</v>
      </c>
      <c r="D1414" s="218" t="s">
        <v>615</v>
      </c>
      <c r="E1414" s="218" t="s">
        <v>9093</v>
      </c>
      <c r="F1414" s="218" t="s">
        <v>9094</v>
      </c>
      <c r="G1414" s="218">
        <v>5</v>
      </c>
      <c r="H1414" s="218" t="s">
        <v>614</v>
      </c>
      <c r="I1414" s="218" t="str">
        <f>("1501270095")</f>
        <v>1501270095</v>
      </c>
    </row>
    <row r="1415" spans="1:10" x14ac:dyDescent="0.15">
      <c r="A1415" s="406" t="str">
        <f t="shared" si="22"/>
        <v>ＮＦＣ・ＯＩＴＡ　Ｕ１２_7</v>
      </c>
      <c r="B1415" s="218" t="s">
        <v>9088</v>
      </c>
      <c r="C1415" s="218" t="str">
        <f>("7")</f>
        <v>7</v>
      </c>
      <c r="D1415" s="218" t="s">
        <v>615</v>
      </c>
      <c r="E1415" s="218" t="s">
        <v>9095</v>
      </c>
      <c r="F1415" s="218" t="s">
        <v>9096</v>
      </c>
      <c r="G1415" s="218">
        <v>5</v>
      </c>
      <c r="H1415" s="218" t="s">
        <v>614</v>
      </c>
      <c r="I1415" s="218" t="str">
        <f>("1407250026")</f>
        <v>1407250026</v>
      </c>
    </row>
    <row r="1416" spans="1:10" x14ac:dyDescent="0.15">
      <c r="A1416" s="406" t="str">
        <f t="shared" si="22"/>
        <v>ＮＦＣ・ＯＩＴＡ　Ｕ１２_8</v>
      </c>
      <c r="B1416" s="218" t="s">
        <v>9088</v>
      </c>
      <c r="C1416" s="218" t="str">
        <f>("8")</f>
        <v>8</v>
      </c>
      <c r="D1416" s="218" t="s">
        <v>615</v>
      </c>
      <c r="E1416" s="218" t="s">
        <v>9097</v>
      </c>
      <c r="F1416" s="218" t="s">
        <v>9098</v>
      </c>
      <c r="G1416" s="218">
        <v>5</v>
      </c>
      <c r="H1416" s="218" t="s">
        <v>614</v>
      </c>
      <c r="I1416" s="218" t="str">
        <f>("1408130137")</f>
        <v>1408130137</v>
      </c>
    </row>
    <row r="1417" spans="1:10" x14ac:dyDescent="0.15">
      <c r="A1417" s="406" t="str">
        <f t="shared" si="22"/>
        <v>ＮＦＣ・ＯＩＴＡ　Ｕ１２_9</v>
      </c>
      <c r="B1417" s="218" t="s">
        <v>9088</v>
      </c>
      <c r="C1417" s="218" t="str">
        <f>("9")</f>
        <v>9</v>
      </c>
      <c r="D1417" s="218" t="s">
        <v>615</v>
      </c>
      <c r="E1417" s="218" t="s">
        <v>9099</v>
      </c>
      <c r="F1417" s="218" t="s">
        <v>9100</v>
      </c>
      <c r="G1417" s="218">
        <v>5</v>
      </c>
      <c r="H1417" s="218" t="s">
        <v>614</v>
      </c>
      <c r="I1417" s="218" t="str">
        <f>("1408130136")</f>
        <v>1408130136</v>
      </c>
    </row>
    <row r="1418" spans="1:10" x14ac:dyDescent="0.15">
      <c r="A1418" s="406" t="str">
        <f t="shared" si="22"/>
        <v>ＮＦＣ・ＯＩＴＡ　Ｕ１２_10</v>
      </c>
      <c r="B1418" s="218" t="s">
        <v>9088</v>
      </c>
      <c r="C1418" s="218" t="str">
        <f>("10")</f>
        <v>10</v>
      </c>
      <c r="D1418" s="218" t="s">
        <v>615</v>
      </c>
      <c r="E1418" s="218" t="s">
        <v>9101</v>
      </c>
      <c r="F1418" s="218" t="s">
        <v>9102</v>
      </c>
      <c r="G1418" s="218">
        <v>5</v>
      </c>
      <c r="H1418" s="218" t="s">
        <v>614</v>
      </c>
      <c r="I1418" s="218" t="str">
        <f>("1405240013")</f>
        <v>1405240013</v>
      </c>
    </row>
    <row r="1419" spans="1:10" x14ac:dyDescent="0.15">
      <c r="A1419" s="406" t="str">
        <f t="shared" si="22"/>
        <v>ＮＦＣ・ＯＩＴＡ　Ｕ１２_11</v>
      </c>
      <c r="B1419" s="218" t="s">
        <v>9088</v>
      </c>
      <c r="C1419" s="218" t="str">
        <f>("11")</f>
        <v>11</v>
      </c>
      <c r="D1419" s="218" t="s">
        <v>615</v>
      </c>
      <c r="E1419" s="218" t="s">
        <v>1245</v>
      </c>
      <c r="F1419" s="218" t="s">
        <v>1246</v>
      </c>
      <c r="G1419" s="218">
        <v>6</v>
      </c>
      <c r="H1419" s="218" t="s">
        <v>614</v>
      </c>
      <c r="I1419" s="218" t="str">
        <f>("1304120137")</f>
        <v>1304120137</v>
      </c>
    </row>
    <row r="1420" spans="1:10" x14ac:dyDescent="0.15">
      <c r="A1420" s="406" t="str">
        <f t="shared" si="22"/>
        <v>ＮＦＣ・ＯＩＴＡ　Ｕ１２_13</v>
      </c>
      <c r="B1420" s="218" t="s">
        <v>9088</v>
      </c>
      <c r="C1420" s="218" t="str">
        <f>("13")</f>
        <v>13</v>
      </c>
      <c r="D1420" s="218" t="s">
        <v>623</v>
      </c>
      <c r="E1420" s="218" t="s">
        <v>9103</v>
      </c>
      <c r="F1420" s="218" t="s">
        <v>9104</v>
      </c>
      <c r="G1420" s="218">
        <v>5</v>
      </c>
      <c r="H1420" s="218" t="s">
        <v>614</v>
      </c>
      <c r="I1420" s="218" t="str">
        <f>("1411200027")</f>
        <v>1411200027</v>
      </c>
    </row>
    <row r="1421" spans="1:10" x14ac:dyDescent="0.15">
      <c r="A1421" s="406" t="str">
        <f t="shared" si="22"/>
        <v>ＮＦＣ・ＯＩＴＡ　Ｕ１２_16</v>
      </c>
      <c r="B1421" s="218" t="s">
        <v>9088</v>
      </c>
      <c r="C1421" s="218" t="str">
        <f>("16")</f>
        <v>16</v>
      </c>
      <c r="D1421" s="218" t="s">
        <v>611</v>
      </c>
      <c r="E1421" s="218" t="s">
        <v>9105</v>
      </c>
      <c r="F1421" s="218" t="s">
        <v>9106</v>
      </c>
      <c r="G1421" s="218">
        <v>6</v>
      </c>
      <c r="H1421" s="218" t="s">
        <v>614</v>
      </c>
      <c r="I1421" s="218" t="str">
        <f>("1311250086")</f>
        <v>1311250086</v>
      </c>
    </row>
    <row r="1422" spans="1:10" x14ac:dyDescent="0.15">
      <c r="A1422" s="406" t="str">
        <f t="shared" si="22"/>
        <v>ＮＦＣ・ＯＩＴＡ　Ｕ１２_17</v>
      </c>
      <c r="B1422" s="218" t="s">
        <v>9088</v>
      </c>
      <c r="C1422" s="218" t="str">
        <f>("17")</f>
        <v>17</v>
      </c>
      <c r="D1422" s="218" t="s">
        <v>615</v>
      </c>
      <c r="E1422" s="218" t="s">
        <v>9107</v>
      </c>
      <c r="F1422" s="218" t="s">
        <v>9108</v>
      </c>
      <c r="G1422" s="218">
        <v>6</v>
      </c>
      <c r="H1422" s="218" t="s">
        <v>614</v>
      </c>
      <c r="I1422" s="218" t="str">
        <f>("1309230058")</f>
        <v>1309230058</v>
      </c>
    </row>
    <row r="1423" spans="1:10" x14ac:dyDescent="0.15">
      <c r="A1423" s="406" t="str">
        <f t="shared" si="22"/>
        <v>ＮＦＣ・ＯＩＴＡ　Ｕ１２Ｂ_1</v>
      </c>
      <c r="B1423" s="218" t="s">
        <v>9109</v>
      </c>
      <c r="C1423" s="218" t="str">
        <f>("1")</f>
        <v>1</v>
      </c>
      <c r="D1423" s="218" t="s">
        <v>624</v>
      </c>
      <c r="E1423" s="218" t="s">
        <v>9110</v>
      </c>
      <c r="F1423" s="218" t="s">
        <v>1374</v>
      </c>
      <c r="G1423" s="218">
        <v>6</v>
      </c>
      <c r="H1423" s="218" t="s">
        <v>614</v>
      </c>
      <c r="I1423" s="218" t="str">
        <f>("1306210091")</f>
        <v>1306210091</v>
      </c>
    </row>
    <row r="1424" spans="1:10" x14ac:dyDescent="0.15">
      <c r="A1424" s="406" t="str">
        <f t="shared" si="22"/>
        <v>ＮＦＣ・ＯＩＴＡ　Ｕ１２Ｂ_2</v>
      </c>
      <c r="B1424" s="218" t="s">
        <v>9109</v>
      </c>
      <c r="C1424" s="218" t="str">
        <f>("2")</f>
        <v>2</v>
      </c>
      <c r="D1424" s="218" t="s">
        <v>611</v>
      </c>
      <c r="E1424" s="218" t="s">
        <v>9111</v>
      </c>
      <c r="F1424" s="218" t="s">
        <v>9112</v>
      </c>
      <c r="G1424" s="218">
        <v>5</v>
      </c>
      <c r="H1424" s="218" t="s">
        <v>614</v>
      </c>
      <c r="I1424" s="218" t="str">
        <f>("1405260160")</f>
        <v>1405260160</v>
      </c>
    </row>
    <row r="1425" spans="1:10" x14ac:dyDescent="0.15">
      <c r="A1425" s="406" t="str">
        <f t="shared" si="22"/>
        <v>ＮＦＣ・ＯＩＴＡ　Ｕ１２Ｂ_3</v>
      </c>
      <c r="B1425" s="218" t="s">
        <v>9109</v>
      </c>
      <c r="C1425" s="218" t="str">
        <f>("3")</f>
        <v>3</v>
      </c>
      <c r="D1425" s="218" t="s">
        <v>623</v>
      </c>
      <c r="E1425" s="218" t="s">
        <v>9113</v>
      </c>
      <c r="F1425" s="218" t="s">
        <v>9114</v>
      </c>
      <c r="G1425" s="218">
        <v>3</v>
      </c>
      <c r="H1425" s="218" t="s">
        <v>614</v>
      </c>
      <c r="I1425" s="218" t="str">
        <f>("1612200008")</f>
        <v>1612200008</v>
      </c>
    </row>
    <row r="1426" spans="1:10" x14ac:dyDescent="0.15">
      <c r="A1426" s="406" t="str">
        <f t="shared" si="22"/>
        <v>ＮＦＣ・ＯＩＴＡ　Ｕ１２Ｂ_4</v>
      </c>
      <c r="B1426" s="218" t="s">
        <v>9109</v>
      </c>
      <c r="C1426" s="218" t="str">
        <f>("4")</f>
        <v>4</v>
      </c>
      <c r="D1426" s="218" t="s">
        <v>623</v>
      </c>
      <c r="E1426" s="218" t="s">
        <v>9115</v>
      </c>
      <c r="F1426" s="218" t="s">
        <v>873</v>
      </c>
      <c r="G1426" s="218">
        <v>5</v>
      </c>
      <c r="H1426" s="218" t="s">
        <v>614</v>
      </c>
      <c r="I1426" s="218" t="str">
        <f>("1405250130")</f>
        <v>1405250130</v>
      </c>
    </row>
    <row r="1427" spans="1:10" x14ac:dyDescent="0.15">
      <c r="A1427" s="406" t="str">
        <f t="shared" si="22"/>
        <v>ＮＦＣ・ＯＩＴＡ　Ｕ１２Ｂ_5</v>
      </c>
      <c r="B1427" s="218" t="s">
        <v>9109</v>
      </c>
      <c r="C1427" s="218" t="str">
        <f>("5")</f>
        <v>5</v>
      </c>
      <c r="D1427" s="218" t="s">
        <v>611</v>
      </c>
      <c r="E1427" s="218" t="s">
        <v>9116</v>
      </c>
      <c r="F1427" s="218" t="s">
        <v>9117</v>
      </c>
      <c r="G1427" s="218">
        <v>6</v>
      </c>
      <c r="H1427" s="218" t="s">
        <v>614</v>
      </c>
      <c r="I1427" s="218" t="str">
        <f>("1312270143")</f>
        <v>1312270143</v>
      </c>
      <c r="J1427" s="218" t="s">
        <v>159</v>
      </c>
    </row>
    <row r="1428" spans="1:10" x14ac:dyDescent="0.15">
      <c r="A1428" s="406" t="str">
        <f t="shared" si="22"/>
        <v>ＮＦＣ・ＯＩＴＡ　Ｕ１２Ｂ_6</v>
      </c>
      <c r="B1428" s="218" t="s">
        <v>9109</v>
      </c>
      <c r="C1428" s="218" t="str">
        <f>("6")</f>
        <v>6</v>
      </c>
      <c r="D1428" s="218" t="s">
        <v>615</v>
      </c>
      <c r="E1428" s="218" t="s">
        <v>9118</v>
      </c>
      <c r="F1428" s="218" t="s">
        <v>9119</v>
      </c>
      <c r="G1428" s="218">
        <v>5</v>
      </c>
      <c r="H1428" s="218" t="s">
        <v>614</v>
      </c>
      <c r="I1428" s="218" t="str">
        <f>("1406020015")</f>
        <v>1406020015</v>
      </c>
    </row>
    <row r="1429" spans="1:10" x14ac:dyDescent="0.15">
      <c r="A1429" s="406" t="str">
        <f t="shared" si="22"/>
        <v>ＮＦＣ・ＯＩＴＡ　Ｕ１２Ｂ_7</v>
      </c>
      <c r="B1429" s="218" t="s">
        <v>9109</v>
      </c>
      <c r="C1429" s="218" t="str">
        <f>("7")</f>
        <v>7</v>
      </c>
      <c r="D1429" s="218" t="s">
        <v>615</v>
      </c>
      <c r="E1429" s="218" t="s">
        <v>9120</v>
      </c>
      <c r="F1429" s="218" t="s">
        <v>9121</v>
      </c>
      <c r="G1429" s="218">
        <v>5</v>
      </c>
      <c r="H1429" s="218" t="s">
        <v>614</v>
      </c>
      <c r="I1429" s="218" t="str">
        <f>("1503220004")</f>
        <v>1503220004</v>
      </c>
    </row>
    <row r="1430" spans="1:10" x14ac:dyDescent="0.15">
      <c r="A1430" s="406" t="str">
        <f t="shared" si="22"/>
        <v>ＮＦＣ・ＯＩＴＡ　Ｕ１２Ｂ_8</v>
      </c>
      <c r="B1430" s="218" t="s">
        <v>9109</v>
      </c>
      <c r="C1430" s="218" t="str">
        <f>("8")</f>
        <v>8</v>
      </c>
      <c r="D1430" s="218" t="s">
        <v>615</v>
      </c>
      <c r="E1430" s="218" t="s">
        <v>9122</v>
      </c>
      <c r="F1430" s="218" t="s">
        <v>9123</v>
      </c>
      <c r="G1430" s="218">
        <v>5</v>
      </c>
      <c r="H1430" s="218" t="s">
        <v>614</v>
      </c>
      <c r="I1430" s="218" t="str">
        <f>("1501280131")</f>
        <v>1501280131</v>
      </c>
    </row>
    <row r="1431" spans="1:10" x14ac:dyDescent="0.15">
      <c r="A1431" s="406" t="str">
        <f t="shared" si="22"/>
        <v>ＮＦＣ・ＯＩＴＡ　Ｕ１２Ｂ_9</v>
      </c>
      <c r="B1431" s="218" t="s">
        <v>9109</v>
      </c>
      <c r="C1431" s="218" t="str">
        <f>("9")</f>
        <v>9</v>
      </c>
      <c r="D1431" s="218" t="s">
        <v>615</v>
      </c>
      <c r="E1431" s="218" t="s">
        <v>9124</v>
      </c>
      <c r="F1431" s="218" t="s">
        <v>9125</v>
      </c>
      <c r="G1431" s="218">
        <v>5</v>
      </c>
      <c r="H1431" s="218" t="s">
        <v>614</v>
      </c>
      <c r="I1431" s="218" t="str">
        <f>("1501150180")</f>
        <v>1501150180</v>
      </c>
    </row>
    <row r="1432" spans="1:10" x14ac:dyDescent="0.15">
      <c r="A1432" s="406" t="str">
        <f t="shared" si="22"/>
        <v>ＮＦＣ・ＯＩＴＡ　Ｕ１２Ｂ_10</v>
      </c>
      <c r="B1432" s="218" t="s">
        <v>9109</v>
      </c>
      <c r="C1432" s="218" t="str">
        <f>("10")</f>
        <v>10</v>
      </c>
      <c r="D1432" s="218" t="s">
        <v>615</v>
      </c>
      <c r="E1432" s="218" t="s">
        <v>9126</v>
      </c>
      <c r="F1432" s="218" t="s">
        <v>9127</v>
      </c>
      <c r="G1432" s="218">
        <v>5</v>
      </c>
      <c r="H1432" s="218" t="s">
        <v>614</v>
      </c>
      <c r="I1432" s="218" t="str">
        <f>("1404130017")</f>
        <v>1404130017</v>
      </c>
    </row>
    <row r="1433" spans="1:10" x14ac:dyDescent="0.15">
      <c r="A1433" s="406" t="str">
        <f t="shared" si="22"/>
        <v>ＮＦＣ・ＯＩＴＡ　Ｕ１２Ｂ_11</v>
      </c>
      <c r="B1433" s="218" t="s">
        <v>9109</v>
      </c>
      <c r="C1433" s="218" t="str">
        <f>("11")</f>
        <v>11</v>
      </c>
      <c r="D1433" s="218" t="s">
        <v>615</v>
      </c>
      <c r="E1433" s="218" t="s">
        <v>9128</v>
      </c>
      <c r="F1433" s="218" t="s">
        <v>9129</v>
      </c>
      <c r="G1433" s="218">
        <v>4</v>
      </c>
      <c r="H1433" s="218" t="s">
        <v>614</v>
      </c>
      <c r="I1433" s="218" t="str">
        <f>("1512140108")</f>
        <v>1512140108</v>
      </c>
    </row>
    <row r="1434" spans="1:10" x14ac:dyDescent="0.15">
      <c r="A1434" s="406" t="str">
        <f t="shared" si="22"/>
        <v>ＮＦＣ・ＯＩＴＡ　Ｕ１２Ｂ_12</v>
      </c>
      <c r="B1434" s="218" t="s">
        <v>9109</v>
      </c>
      <c r="C1434" s="218" t="str">
        <f>("12")</f>
        <v>12</v>
      </c>
      <c r="D1434" s="218" t="s">
        <v>624</v>
      </c>
      <c r="E1434" s="218" t="s">
        <v>9130</v>
      </c>
      <c r="F1434" s="218" t="s">
        <v>9131</v>
      </c>
      <c r="G1434" s="218">
        <v>5</v>
      </c>
      <c r="H1434" s="218" t="s">
        <v>614</v>
      </c>
      <c r="I1434" s="218" t="str">
        <f>("1503180117")</f>
        <v>1503180117</v>
      </c>
    </row>
    <row r="1435" spans="1:10" x14ac:dyDescent="0.15">
      <c r="A1435" s="406" t="str">
        <f t="shared" si="22"/>
        <v>ＮＦＣ・ＯＩＴＡ　Ｕ１２Ｂ_13</v>
      </c>
      <c r="B1435" s="218" t="s">
        <v>9109</v>
      </c>
      <c r="C1435" s="218" t="str">
        <f>("13")</f>
        <v>13</v>
      </c>
      <c r="D1435" s="218" t="s">
        <v>623</v>
      </c>
      <c r="E1435" s="218" t="s">
        <v>9132</v>
      </c>
      <c r="F1435" s="218" t="s">
        <v>9133</v>
      </c>
      <c r="G1435" s="218">
        <v>3</v>
      </c>
      <c r="H1435" s="218" t="s">
        <v>614</v>
      </c>
      <c r="I1435" s="218" t="str">
        <f>("1609270038")</f>
        <v>1609270038</v>
      </c>
    </row>
    <row r="1436" spans="1:10" x14ac:dyDescent="0.15">
      <c r="A1436" s="406" t="str">
        <f t="shared" si="22"/>
        <v>ＮＦＣ・ＯＩＴＡ　Ｕ１２Ｂ_14</v>
      </c>
      <c r="B1436" s="218" t="s">
        <v>9109</v>
      </c>
      <c r="C1436" s="218" t="str">
        <f>("14")</f>
        <v>14</v>
      </c>
      <c r="D1436" s="218" t="s">
        <v>615</v>
      </c>
      <c r="E1436" s="218" t="s">
        <v>9134</v>
      </c>
      <c r="F1436" s="218" t="s">
        <v>9135</v>
      </c>
      <c r="G1436" s="218">
        <v>4</v>
      </c>
      <c r="H1436" s="218" t="s">
        <v>614</v>
      </c>
      <c r="I1436" s="218" t="str">
        <f>("1506100030")</f>
        <v>1506100030</v>
      </c>
    </row>
    <row r="1437" spans="1:10" x14ac:dyDescent="0.15">
      <c r="A1437" s="406" t="str">
        <f t="shared" si="22"/>
        <v>ＮＦＣ・ＯＩＴＡ　Ｕ１２Ｂ_15</v>
      </c>
      <c r="B1437" s="218" t="s">
        <v>9109</v>
      </c>
      <c r="C1437" s="218" t="str">
        <f>("15")</f>
        <v>15</v>
      </c>
      <c r="D1437" s="218" t="s">
        <v>615</v>
      </c>
      <c r="E1437" s="218" t="s">
        <v>9136</v>
      </c>
      <c r="F1437" s="218" t="s">
        <v>9137</v>
      </c>
      <c r="G1437" s="218">
        <v>6</v>
      </c>
      <c r="H1437" s="218" t="s">
        <v>614</v>
      </c>
      <c r="I1437" s="218" t="str">
        <f>("1306160155")</f>
        <v>1306160155</v>
      </c>
    </row>
    <row r="1438" spans="1:10" x14ac:dyDescent="0.15">
      <c r="A1438" s="406" t="str">
        <f t="shared" si="22"/>
        <v>ＮＦＣ・ＯＩＴＡ　Ｕ１２Ｂ_17</v>
      </c>
      <c r="B1438" s="218" t="s">
        <v>9109</v>
      </c>
      <c r="C1438" s="218" t="str">
        <f>("17")</f>
        <v>17</v>
      </c>
      <c r="D1438" s="218" t="s">
        <v>611</v>
      </c>
      <c r="E1438" s="218" t="s">
        <v>9138</v>
      </c>
      <c r="F1438" s="218" t="s">
        <v>9139</v>
      </c>
      <c r="G1438" s="218">
        <v>6</v>
      </c>
      <c r="H1438" s="218" t="s">
        <v>614</v>
      </c>
      <c r="I1438" s="218" t="str">
        <f>("1403180028")</f>
        <v>1403180028</v>
      </c>
    </row>
    <row r="1439" spans="1:10" x14ac:dyDescent="0.15">
      <c r="A1439" s="406" t="str">
        <f t="shared" si="22"/>
        <v>_</v>
      </c>
    </row>
    <row r="1440" spans="1:10" x14ac:dyDescent="0.15">
      <c r="A1440" s="406" t="str">
        <f t="shared" si="22"/>
        <v>_</v>
      </c>
    </row>
    <row r="1441" spans="1:1" x14ac:dyDescent="0.15">
      <c r="A1441" s="406" t="str">
        <f t="shared" si="22"/>
        <v>_</v>
      </c>
    </row>
    <row r="1442" spans="1:1" x14ac:dyDescent="0.15">
      <c r="A1442" s="406" t="str">
        <f t="shared" si="22"/>
        <v>_</v>
      </c>
    </row>
    <row r="1443" spans="1:1" x14ac:dyDescent="0.15">
      <c r="A1443" s="406" t="str">
        <f t="shared" si="22"/>
        <v>_</v>
      </c>
    </row>
    <row r="1444" spans="1:1" x14ac:dyDescent="0.15">
      <c r="A1444" s="406" t="str">
        <f t="shared" si="22"/>
        <v>_</v>
      </c>
    </row>
    <row r="1445" spans="1:1" x14ac:dyDescent="0.15">
      <c r="A1445" s="406" t="str">
        <f t="shared" si="22"/>
        <v>_</v>
      </c>
    </row>
    <row r="1446" spans="1:1" x14ac:dyDescent="0.15">
      <c r="A1446" s="406" t="str">
        <f t="shared" si="22"/>
        <v>_</v>
      </c>
    </row>
    <row r="1447" spans="1:1" x14ac:dyDescent="0.15">
      <c r="A1447" s="406" t="str">
        <f t="shared" si="22"/>
        <v>_</v>
      </c>
    </row>
    <row r="1448" spans="1:1" x14ac:dyDescent="0.15">
      <c r="A1448" s="406" t="str">
        <f t="shared" si="22"/>
        <v>_</v>
      </c>
    </row>
    <row r="1449" spans="1:1" x14ac:dyDescent="0.15">
      <c r="A1449" s="406" t="str">
        <f t="shared" si="22"/>
        <v>_</v>
      </c>
    </row>
    <row r="1450" spans="1:1" x14ac:dyDescent="0.15">
      <c r="A1450" s="406" t="str">
        <f t="shared" si="22"/>
        <v>_</v>
      </c>
    </row>
    <row r="1451" spans="1:1" x14ac:dyDescent="0.15">
      <c r="A1451" s="406" t="str">
        <f t="shared" si="22"/>
        <v>_</v>
      </c>
    </row>
    <row r="1452" spans="1:1" x14ac:dyDescent="0.15">
      <c r="A1452" s="406" t="str">
        <f t="shared" si="22"/>
        <v>_</v>
      </c>
    </row>
    <row r="1453" spans="1:1" x14ac:dyDescent="0.15">
      <c r="A1453" s="406" t="str">
        <f t="shared" si="22"/>
        <v>_</v>
      </c>
    </row>
    <row r="1454" spans="1:1" x14ac:dyDescent="0.15">
      <c r="A1454" s="406" t="str">
        <f t="shared" si="22"/>
        <v>_</v>
      </c>
    </row>
    <row r="1455" spans="1:1" x14ac:dyDescent="0.15">
      <c r="A1455" s="406" t="str">
        <f t="shared" si="22"/>
        <v>_</v>
      </c>
    </row>
    <row r="1456" spans="1:1" x14ac:dyDescent="0.15">
      <c r="A1456" s="406" t="str">
        <f t="shared" si="22"/>
        <v>_</v>
      </c>
    </row>
    <row r="1457" spans="1:1" x14ac:dyDescent="0.15">
      <c r="A1457" s="406" t="str">
        <f t="shared" si="22"/>
        <v>_</v>
      </c>
    </row>
    <row r="1458" spans="1:1" x14ac:dyDescent="0.15">
      <c r="A1458" s="406" t="str">
        <f t="shared" si="22"/>
        <v>_</v>
      </c>
    </row>
    <row r="1459" spans="1:1" x14ac:dyDescent="0.15">
      <c r="A1459" s="406" t="str">
        <f t="shared" si="22"/>
        <v>_</v>
      </c>
    </row>
    <row r="1460" spans="1:1" x14ac:dyDescent="0.15">
      <c r="A1460" s="406" t="str">
        <f t="shared" si="22"/>
        <v>_</v>
      </c>
    </row>
    <row r="1461" spans="1:1" x14ac:dyDescent="0.15">
      <c r="A1461" s="406" t="str">
        <f t="shared" si="22"/>
        <v>_</v>
      </c>
    </row>
    <row r="1462" spans="1:1" x14ac:dyDescent="0.15">
      <c r="A1462" s="406" t="str">
        <f t="shared" si="22"/>
        <v>_</v>
      </c>
    </row>
    <row r="1463" spans="1:1" x14ac:dyDescent="0.15">
      <c r="A1463" s="406" t="str">
        <f t="shared" si="22"/>
        <v>_</v>
      </c>
    </row>
    <row r="1464" spans="1:1" x14ac:dyDescent="0.15">
      <c r="A1464" s="406" t="str">
        <f t="shared" si="22"/>
        <v>_</v>
      </c>
    </row>
    <row r="1465" spans="1:1" x14ac:dyDescent="0.15">
      <c r="A1465" s="406" t="str">
        <f t="shared" si="22"/>
        <v>_</v>
      </c>
    </row>
    <row r="1466" spans="1:1" x14ac:dyDescent="0.15">
      <c r="A1466" s="406" t="str">
        <f t="shared" si="22"/>
        <v>_</v>
      </c>
    </row>
    <row r="1467" spans="1:1" x14ac:dyDescent="0.15">
      <c r="A1467" s="406" t="str">
        <f t="shared" si="22"/>
        <v>_</v>
      </c>
    </row>
    <row r="1468" spans="1:1" x14ac:dyDescent="0.15">
      <c r="A1468" s="406" t="str">
        <f t="shared" si="22"/>
        <v>_</v>
      </c>
    </row>
    <row r="1469" spans="1:1" x14ac:dyDescent="0.15">
      <c r="A1469" s="406" t="str">
        <f t="shared" si="22"/>
        <v>_</v>
      </c>
    </row>
    <row r="1470" spans="1:1" x14ac:dyDescent="0.15">
      <c r="A1470" s="406" t="str">
        <f t="shared" si="22"/>
        <v>_</v>
      </c>
    </row>
    <row r="1471" spans="1:1" x14ac:dyDescent="0.15">
      <c r="A1471" s="406" t="str">
        <f t="shared" si="22"/>
        <v>_</v>
      </c>
    </row>
    <row r="1472" spans="1:1" x14ac:dyDescent="0.15">
      <c r="A1472" s="406" t="str">
        <f t="shared" si="22"/>
        <v>_</v>
      </c>
    </row>
    <row r="1473" spans="1:1" x14ac:dyDescent="0.15">
      <c r="A1473" s="406" t="str">
        <f t="shared" ref="A1473:A1481" si="23">CONCATENATE(B1473,"_",C1473)</f>
        <v>_</v>
      </c>
    </row>
    <row r="1474" spans="1:1" x14ac:dyDescent="0.15">
      <c r="A1474" s="406" t="str">
        <f t="shared" si="23"/>
        <v>_</v>
      </c>
    </row>
    <row r="1475" spans="1:1" x14ac:dyDescent="0.15">
      <c r="A1475" s="406" t="str">
        <f t="shared" si="23"/>
        <v>_</v>
      </c>
    </row>
    <row r="1476" spans="1:1" x14ac:dyDescent="0.15">
      <c r="A1476" s="406" t="str">
        <f t="shared" si="23"/>
        <v>_</v>
      </c>
    </row>
    <row r="1477" spans="1:1" x14ac:dyDescent="0.15">
      <c r="A1477" s="406" t="str">
        <f t="shared" si="23"/>
        <v>_</v>
      </c>
    </row>
    <row r="1478" spans="1:1" x14ac:dyDescent="0.15">
      <c r="A1478" s="406" t="str">
        <f t="shared" si="23"/>
        <v>_</v>
      </c>
    </row>
    <row r="1479" spans="1:1" x14ac:dyDescent="0.15">
      <c r="A1479" s="406" t="str">
        <f t="shared" si="23"/>
        <v>_</v>
      </c>
    </row>
    <row r="1480" spans="1:1" x14ac:dyDescent="0.15">
      <c r="A1480" s="406" t="str">
        <f t="shared" si="23"/>
        <v>_</v>
      </c>
    </row>
    <row r="1481" spans="1:1" x14ac:dyDescent="0.15">
      <c r="A1481" s="406" t="str">
        <f t="shared" si="23"/>
        <v>_</v>
      </c>
    </row>
  </sheetData>
  <phoneticPr fontId="77"/>
  <pageMargins left="0.7" right="0.7" top="0.75" bottom="0.75" header="0.3" footer="0.3"/>
  <pageSetup paperSize="9" orientation="portrait" horizontalDpi="2147483648"/>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tabColor indexed="2"/>
  </sheetPr>
  <dimension ref="A1:L2799"/>
  <sheetViews>
    <sheetView zoomScale="70" workbookViewId="0">
      <selection activeCell="I4" sqref="I4"/>
    </sheetView>
  </sheetViews>
  <sheetFormatPr defaultColWidth="9" defaultRowHeight="14.25" x14ac:dyDescent="0.15"/>
  <cols>
    <col min="1" max="8" width="9" style="218"/>
    <col min="9" max="9" width="9" style="405"/>
    <col min="10" max="10" width="10.375" style="405" bestFit="1" customWidth="1"/>
    <col min="11" max="11" width="9" style="405"/>
    <col min="12" max="12" width="15.375" style="405" bestFit="1" customWidth="1"/>
    <col min="13" max="16384" width="9" style="405"/>
  </cols>
  <sheetData>
    <row r="1" spans="1:12" x14ac:dyDescent="0.15">
      <c r="A1" s="218" t="s">
        <v>1827</v>
      </c>
      <c r="B1" s="218" t="s">
        <v>242</v>
      </c>
      <c r="C1" s="218" t="s">
        <v>1828</v>
      </c>
      <c r="D1" s="218" t="s">
        <v>1829</v>
      </c>
      <c r="E1" s="218" t="s">
        <v>1830</v>
      </c>
      <c r="F1" s="218" t="s">
        <v>1831</v>
      </c>
      <c r="G1" s="218" t="s">
        <v>1832</v>
      </c>
      <c r="H1" s="218" t="s">
        <v>1833</v>
      </c>
      <c r="J1" s="405" t="s">
        <v>1834</v>
      </c>
      <c r="L1" s="405" t="s">
        <v>514</v>
      </c>
    </row>
    <row r="2" spans="1:12" x14ac:dyDescent="0.15">
      <c r="A2" s="218" t="s">
        <v>11559</v>
      </c>
      <c r="B2" s="218" t="s">
        <v>11560</v>
      </c>
      <c r="C2" s="218" t="s">
        <v>1982</v>
      </c>
      <c r="D2" s="218" t="s">
        <v>11561</v>
      </c>
      <c r="E2" s="218" t="s">
        <v>1839</v>
      </c>
      <c r="F2" s="218" t="s">
        <v>1840</v>
      </c>
      <c r="G2" s="218" t="s">
        <v>11562</v>
      </c>
      <c r="H2" s="218" t="s">
        <v>1841</v>
      </c>
      <c r="J2" s="405" t="s">
        <v>518</v>
      </c>
      <c r="L2" s="405" t="s">
        <v>519</v>
      </c>
    </row>
    <row r="3" spans="1:12" x14ac:dyDescent="0.15">
      <c r="A3" s="218" t="s">
        <v>1835</v>
      </c>
      <c r="B3" s="218" t="s">
        <v>1836</v>
      </c>
      <c r="C3" s="218" t="s">
        <v>1837</v>
      </c>
      <c r="D3" s="218" t="s">
        <v>1838</v>
      </c>
      <c r="E3" s="218" t="s">
        <v>1839</v>
      </c>
      <c r="F3" s="218" t="s">
        <v>1840</v>
      </c>
      <c r="G3" s="218" t="s">
        <v>1841</v>
      </c>
      <c r="J3" s="405" t="s">
        <v>522</v>
      </c>
      <c r="L3" s="405" t="s">
        <v>523</v>
      </c>
    </row>
    <row r="4" spans="1:12" x14ac:dyDescent="0.15">
      <c r="A4" s="218" t="s">
        <v>1908</v>
      </c>
      <c r="B4" s="218" t="s">
        <v>1909</v>
      </c>
      <c r="C4" s="218" t="s">
        <v>1837</v>
      </c>
      <c r="D4" s="218" t="s">
        <v>1910</v>
      </c>
      <c r="E4" s="218" t="s">
        <v>1839</v>
      </c>
      <c r="F4" s="218" t="s">
        <v>1840</v>
      </c>
      <c r="G4" s="218" t="s">
        <v>1841</v>
      </c>
      <c r="L4" s="405" t="s">
        <v>528</v>
      </c>
    </row>
    <row r="5" spans="1:12" x14ac:dyDescent="0.15">
      <c r="A5" s="218" t="s">
        <v>1843</v>
      </c>
      <c r="B5" s="218" t="s">
        <v>1844</v>
      </c>
      <c r="C5" s="218" t="s">
        <v>1842</v>
      </c>
      <c r="D5" s="218" t="s">
        <v>1845</v>
      </c>
      <c r="E5" s="218" t="s">
        <v>1839</v>
      </c>
      <c r="F5" s="218" t="s">
        <v>1840</v>
      </c>
      <c r="G5" s="218" t="s">
        <v>1841</v>
      </c>
      <c r="L5" s="405" t="s">
        <v>533</v>
      </c>
    </row>
    <row r="6" spans="1:12" x14ac:dyDescent="0.15">
      <c r="A6" s="218" t="s">
        <v>1846</v>
      </c>
      <c r="B6" s="218" t="s">
        <v>1847</v>
      </c>
      <c r="C6" s="218" t="s">
        <v>1842</v>
      </c>
      <c r="D6" s="218" t="s">
        <v>1848</v>
      </c>
      <c r="E6" s="218" t="s">
        <v>1839</v>
      </c>
      <c r="F6" s="218" t="s">
        <v>1840</v>
      </c>
      <c r="G6" s="218" t="s">
        <v>1841</v>
      </c>
      <c r="L6" s="405" t="s">
        <v>537</v>
      </c>
    </row>
    <row r="7" spans="1:12" x14ac:dyDescent="0.15">
      <c r="A7" s="218" t="s">
        <v>1850</v>
      </c>
      <c r="B7" s="218" t="s">
        <v>1851</v>
      </c>
      <c r="C7" s="218" t="s">
        <v>1842</v>
      </c>
      <c r="D7" s="218" t="s">
        <v>1852</v>
      </c>
      <c r="E7" s="218" t="s">
        <v>1839</v>
      </c>
      <c r="F7" s="218" t="s">
        <v>1840</v>
      </c>
      <c r="G7" s="218" t="s">
        <v>1841</v>
      </c>
      <c r="L7" s="405" t="s">
        <v>540</v>
      </c>
    </row>
    <row r="8" spans="1:12" x14ac:dyDescent="0.15">
      <c r="A8" s="218" t="s">
        <v>1853</v>
      </c>
      <c r="B8" s="218" t="s">
        <v>1854</v>
      </c>
      <c r="C8" s="218" t="s">
        <v>1842</v>
      </c>
      <c r="D8" s="218" t="s">
        <v>1855</v>
      </c>
      <c r="E8" s="218" t="s">
        <v>1839</v>
      </c>
      <c r="F8" s="218" t="s">
        <v>1840</v>
      </c>
      <c r="G8" s="218" t="s">
        <v>1841</v>
      </c>
      <c r="L8" s="405" t="s">
        <v>544</v>
      </c>
    </row>
    <row r="9" spans="1:12" x14ac:dyDescent="0.15">
      <c r="A9" s="218" t="s">
        <v>558</v>
      </c>
      <c r="B9" s="218" t="s">
        <v>557</v>
      </c>
      <c r="C9" s="218" t="s">
        <v>1842</v>
      </c>
      <c r="D9" s="218" t="s">
        <v>2218</v>
      </c>
      <c r="E9" s="218" t="s">
        <v>1839</v>
      </c>
      <c r="F9" s="218" t="s">
        <v>1840</v>
      </c>
      <c r="G9" s="218" t="s">
        <v>1841</v>
      </c>
      <c r="L9" s="405" t="s">
        <v>547</v>
      </c>
    </row>
    <row r="10" spans="1:12" x14ac:dyDescent="0.15">
      <c r="A10" s="218" t="s">
        <v>1856</v>
      </c>
      <c r="B10" s="218" t="s">
        <v>1857</v>
      </c>
      <c r="C10" s="218" t="s">
        <v>1842</v>
      </c>
      <c r="D10" s="218" t="s">
        <v>1858</v>
      </c>
      <c r="E10" s="218" t="s">
        <v>1839</v>
      </c>
      <c r="F10" s="218" t="s">
        <v>1840</v>
      </c>
      <c r="G10" s="218" t="s">
        <v>1841</v>
      </c>
      <c r="L10" s="405" t="s">
        <v>551</v>
      </c>
    </row>
    <row r="11" spans="1:12" x14ac:dyDescent="0.15">
      <c r="A11" s="218" t="s">
        <v>1859</v>
      </c>
      <c r="B11" s="218" t="s">
        <v>1860</v>
      </c>
      <c r="C11" s="218" t="s">
        <v>1842</v>
      </c>
      <c r="D11" s="218" t="s">
        <v>1861</v>
      </c>
      <c r="E11" s="218" t="s">
        <v>1839</v>
      </c>
      <c r="F11" s="218" t="s">
        <v>1840</v>
      </c>
      <c r="G11" s="218" t="s">
        <v>1841</v>
      </c>
      <c r="L11" s="405" t="s">
        <v>555</v>
      </c>
    </row>
    <row r="12" spans="1:12" x14ac:dyDescent="0.15">
      <c r="A12" s="218" t="s">
        <v>4248</v>
      </c>
      <c r="B12" s="218" t="s">
        <v>4249</v>
      </c>
      <c r="C12" s="218" t="s">
        <v>1842</v>
      </c>
      <c r="D12" s="218" t="s">
        <v>4250</v>
      </c>
      <c r="E12" s="218" t="s">
        <v>1839</v>
      </c>
      <c r="F12" s="218" t="s">
        <v>1840</v>
      </c>
      <c r="G12" s="218" t="s">
        <v>1841</v>
      </c>
      <c r="L12" s="405" t="s">
        <v>559</v>
      </c>
    </row>
    <row r="13" spans="1:12" x14ac:dyDescent="0.15">
      <c r="A13" s="218" t="s">
        <v>1862</v>
      </c>
      <c r="B13" s="218" t="s">
        <v>1863</v>
      </c>
      <c r="C13" s="218" t="s">
        <v>1842</v>
      </c>
      <c r="D13" s="218" t="s">
        <v>1864</v>
      </c>
      <c r="E13" s="218" t="s">
        <v>1839</v>
      </c>
      <c r="F13" s="218" t="s">
        <v>1840</v>
      </c>
      <c r="G13" s="218" t="s">
        <v>1841</v>
      </c>
      <c r="L13" s="405" t="s">
        <v>563</v>
      </c>
    </row>
    <row r="14" spans="1:12" x14ac:dyDescent="0.15">
      <c r="A14" s="218" t="s">
        <v>1865</v>
      </c>
      <c r="B14" s="218" t="s">
        <v>1866</v>
      </c>
      <c r="C14" s="218" t="s">
        <v>1842</v>
      </c>
      <c r="D14" s="218" t="s">
        <v>1867</v>
      </c>
      <c r="E14" s="218" t="s">
        <v>1839</v>
      </c>
      <c r="F14" s="218" t="s">
        <v>1840</v>
      </c>
      <c r="G14" s="218" t="s">
        <v>1841</v>
      </c>
      <c r="L14" s="405" t="s">
        <v>567</v>
      </c>
    </row>
    <row r="15" spans="1:12" x14ac:dyDescent="0.15">
      <c r="A15" s="218" t="s">
        <v>1868</v>
      </c>
      <c r="B15" s="218" t="s">
        <v>1869</v>
      </c>
      <c r="C15" s="218" t="s">
        <v>1842</v>
      </c>
      <c r="D15" s="218" t="s">
        <v>1870</v>
      </c>
      <c r="E15" s="218" t="s">
        <v>1839</v>
      </c>
      <c r="F15" s="218" t="s">
        <v>1840</v>
      </c>
      <c r="G15" s="218" t="s">
        <v>1841</v>
      </c>
      <c r="L15" s="405" t="s">
        <v>570</v>
      </c>
    </row>
    <row r="16" spans="1:12" x14ac:dyDescent="0.15">
      <c r="A16" s="218" t="s">
        <v>1871</v>
      </c>
      <c r="B16" s="218" t="s">
        <v>1872</v>
      </c>
      <c r="C16" s="218" t="s">
        <v>1842</v>
      </c>
      <c r="D16" s="218" t="s">
        <v>1873</v>
      </c>
      <c r="E16" s="218" t="s">
        <v>1839</v>
      </c>
      <c r="F16" s="218" t="s">
        <v>1840</v>
      </c>
      <c r="G16" s="218" t="s">
        <v>1841</v>
      </c>
      <c r="L16" s="405" t="s">
        <v>574</v>
      </c>
    </row>
    <row r="17" spans="1:12" x14ac:dyDescent="0.15">
      <c r="A17" s="218" t="s">
        <v>1874</v>
      </c>
      <c r="B17" s="218" t="s">
        <v>1875</v>
      </c>
      <c r="C17" s="218" t="s">
        <v>1842</v>
      </c>
      <c r="D17" s="218" t="s">
        <v>1876</v>
      </c>
      <c r="E17" s="218" t="s">
        <v>1839</v>
      </c>
      <c r="F17" s="218" t="s">
        <v>1840</v>
      </c>
      <c r="G17" s="218" t="s">
        <v>1841</v>
      </c>
      <c r="L17" s="405" t="s">
        <v>576</v>
      </c>
    </row>
    <row r="18" spans="1:12" x14ac:dyDescent="0.15">
      <c r="A18" s="218" t="s">
        <v>1877</v>
      </c>
      <c r="B18" s="218" t="s">
        <v>1878</v>
      </c>
      <c r="C18" s="218" t="s">
        <v>1842</v>
      </c>
      <c r="D18" s="218" t="s">
        <v>1879</v>
      </c>
      <c r="E18" s="218" t="s">
        <v>1839</v>
      </c>
      <c r="F18" s="218" t="s">
        <v>1840</v>
      </c>
      <c r="G18" s="218" t="s">
        <v>1841</v>
      </c>
    </row>
    <row r="19" spans="1:12" x14ac:dyDescent="0.15">
      <c r="A19" s="218" t="s">
        <v>1880</v>
      </c>
      <c r="B19" s="218" t="s">
        <v>1881</v>
      </c>
      <c r="C19" s="218" t="s">
        <v>1842</v>
      </c>
      <c r="D19" s="218" t="s">
        <v>1882</v>
      </c>
      <c r="E19" s="218" t="s">
        <v>1839</v>
      </c>
      <c r="F19" s="218" t="s">
        <v>1840</v>
      </c>
      <c r="G19" s="218" t="s">
        <v>1841</v>
      </c>
    </row>
    <row r="20" spans="1:12" x14ac:dyDescent="0.15">
      <c r="A20" s="218" t="s">
        <v>1883</v>
      </c>
      <c r="B20" s="218" t="s">
        <v>1884</v>
      </c>
      <c r="C20" s="218" t="s">
        <v>1842</v>
      </c>
      <c r="D20" s="218" t="s">
        <v>1885</v>
      </c>
      <c r="E20" s="218" t="s">
        <v>1839</v>
      </c>
      <c r="F20" s="218" t="s">
        <v>1840</v>
      </c>
      <c r="G20" s="218" t="s">
        <v>1841</v>
      </c>
    </row>
    <row r="21" spans="1:12" x14ac:dyDescent="0.15">
      <c r="A21" s="218" t="s">
        <v>9140</v>
      </c>
      <c r="B21" s="218" t="s">
        <v>9141</v>
      </c>
      <c r="C21" s="218" t="s">
        <v>1842</v>
      </c>
      <c r="D21" s="218" t="s">
        <v>9142</v>
      </c>
      <c r="E21" s="218" t="s">
        <v>1839</v>
      </c>
      <c r="F21" s="218" t="s">
        <v>1840</v>
      </c>
      <c r="G21" s="218" t="s">
        <v>1841</v>
      </c>
    </row>
    <row r="22" spans="1:12" x14ac:dyDescent="0.15">
      <c r="A22" s="218" t="s">
        <v>1886</v>
      </c>
      <c r="B22" s="218" t="s">
        <v>1887</v>
      </c>
      <c r="C22" s="218" t="s">
        <v>1842</v>
      </c>
      <c r="D22" s="218" t="s">
        <v>1888</v>
      </c>
      <c r="E22" s="218" t="s">
        <v>1839</v>
      </c>
      <c r="F22" s="218" t="s">
        <v>1840</v>
      </c>
      <c r="G22" s="218" t="s">
        <v>1841</v>
      </c>
    </row>
    <row r="23" spans="1:12" x14ac:dyDescent="0.15">
      <c r="A23" s="218" t="s">
        <v>1889</v>
      </c>
      <c r="B23" s="218" t="s">
        <v>1890</v>
      </c>
      <c r="C23" s="218" t="s">
        <v>1842</v>
      </c>
      <c r="D23" s="218" t="s">
        <v>1891</v>
      </c>
      <c r="E23" s="218" t="s">
        <v>1839</v>
      </c>
      <c r="F23" s="218" t="s">
        <v>1840</v>
      </c>
      <c r="G23" s="218" t="s">
        <v>1841</v>
      </c>
    </row>
    <row r="24" spans="1:12" x14ac:dyDescent="0.15">
      <c r="A24" s="218" t="s">
        <v>1892</v>
      </c>
      <c r="B24" s="218" t="s">
        <v>1893</v>
      </c>
      <c r="C24" s="218" t="s">
        <v>1842</v>
      </c>
      <c r="D24" s="218" t="s">
        <v>1894</v>
      </c>
      <c r="E24" s="218" t="s">
        <v>1839</v>
      </c>
      <c r="F24" s="218" t="s">
        <v>1840</v>
      </c>
      <c r="G24" s="218" t="s">
        <v>1841</v>
      </c>
    </row>
    <row r="25" spans="1:12" x14ac:dyDescent="0.15">
      <c r="A25" s="218" t="s">
        <v>1895</v>
      </c>
      <c r="B25" s="218" t="s">
        <v>1896</v>
      </c>
      <c r="C25" s="218" t="s">
        <v>1842</v>
      </c>
      <c r="D25" s="218" t="s">
        <v>1897</v>
      </c>
      <c r="E25" s="218" t="s">
        <v>1839</v>
      </c>
      <c r="F25" s="218" t="s">
        <v>1840</v>
      </c>
      <c r="G25" s="218" t="s">
        <v>1841</v>
      </c>
    </row>
    <row r="26" spans="1:12" x14ac:dyDescent="0.15">
      <c r="A26" s="218" t="s">
        <v>1898</v>
      </c>
      <c r="B26" s="218" t="s">
        <v>1899</v>
      </c>
      <c r="C26" s="218" t="s">
        <v>1842</v>
      </c>
      <c r="D26" s="218" t="s">
        <v>1900</v>
      </c>
      <c r="E26" s="218" t="s">
        <v>1839</v>
      </c>
      <c r="F26" s="218" t="s">
        <v>1840</v>
      </c>
      <c r="G26" s="218" t="s">
        <v>1841</v>
      </c>
    </row>
    <row r="27" spans="1:12" x14ac:dyDescent="0.15">
      <c r="A27" s="218" t="s">
        <v>1901</v>
      </c>
      <c r="B27" s="218" t="s">
        <v>1902</v>
      </c>
      <c r="C27" s="218" t="s">
        <v>1842</v>
      </c>
      <c r="D27" s="218" t="s">
        <v>1903</v>
      </c>
      <c r="E27" s="218" t="s">
        <v>1839</v>
      </c>
      <c r="F27" s="218" t="s">
        <v>1840</v>
      </c>
      <c r="G27" s="218" t="s">
        <v>1841</v>
      </c>
    </row>
    <row r="28" spans="1:12" x14ac:dyDescent="0.15">
      <c r="A28" s="218" t="s">
        <v>2784</v>
      </c>
      <c r="B28" s="218" t="s">
        <v>2785</v>
      </c>
      <c r="C28" s="218" t="s">
        <v>1842</v>
      </c>
      <c r="D28" s="218" t="s">
        <v>2786</v>
      </c>
      <c r="E28" s="218" t="s">
        <v>1839</v>
      </c>
      <c r="F28" s="218" t="s">
        <v>1840</v>
      </c>
      <c r="G28" s="218" t="s">
        <v>1841</v>
      </c>
    </row>
    <row r="29" spans="1:12" x14ac:dyDescent="0.15">
      <c r="A29" s="218" t="s">
        <v>543</v>
      </c>
      <c r="B29" s="218" t="s">
        <v>542</v>
      </c>
      <c r="C29" s="218" t="s">
        <v>1842</v>
      </c>
      <c r="D29" s="218" t="s">
        <v>1904</v>
      </c>
      <c r="E29" s="218" t="s">
        <v>1839</v>
      </c>
      <c r="F29" s="218" t="s">
        <v>1840</v>
      </c>
      <c r="G29" s="218" t="s">
        <v>1841</v>
      </c>
    </row>
    <row r="30" spans="1:12" x14ac:dyDescent="0.15">
      <c r="A30" s="218" t="s">
        <v>1905</v>
      </c>
      <c r="B30" s="218" t="s">
        <v>1906</v>
      </c>
      <c r="C30" s="218" t="s">
        <v>1842</v>
      </c>
      <c r="D30" s="218" t="s">
        <v>1907</v>
      </c>
      <c r="E30" s="218" t="s">
        <v>1839</v>
      </c>
      <c r="F30" s="218" t="s">
        <v>1840</v>
      </c>
      <c r="G30" s="218" t="s">
        <v>1841</v>
      </c>
    </row>
    <row r="31" spans="1:12" x14ac:dyDescent="0.15">
      <c r="A31" s="218" t="s">
        <v>1914</v>
      </c>
      <c r="B31" s="218" t="s">
        <v>1915</v>
      </c>
      <c r="C31" s="218" t="s">
        <v>1842</v>
      </c>
      <c r="D31" s="218" t="s">
        <v>1916</v>
      </c>
      <c r="E31" s="218" t="s">
        <v>1839</v>
      </c>
      <c r="F31" s="218" t="s">
        <v>1840</v>
      </c>
      <c r="G31" s="218" t="s">
        <v>1841</v>
      </c>
    </row>
    <row r="32" spans="1:12" x14ac:dyDescent="0.15">
      <c r="A32" s="218" t="s">
        <v>1917</v>
      </c>
      <c r="B32" s="218" t="s">
        <v>1918</v>
      </c>
      <c r="C32" s="218" t="s">
        <v>1842</v>
      </c>
      <c r="D32" s="218" t="s">
        <v>1919</v>
      </c>
      <c r="E32" s="218" t="s">
        <v>1839</v>
      </c>
      <c r="F32" s="218" t="s">
        <v>1840</v>
      </c>
      <c r="G32" s="218" t="s">
        <v>1841</v>
      </c>
    </row>
    <row r="33" spans="1:7" x14ac:dyDescent="0.15">
      <c r="A33" s="218" t="s">
        <v>1920</v>
      </c>
      <c r="B33" s="218" t="s">
        <v>1921</v>
      </c>
      <c r="C33" s="218" t="s">
        <v>1842</v>
      </c>
      <c r="D33" s="218" t="s">
        <v>1922</v>
      </c>
      <c r="E33" s="218" t="s">
        <v>1839</v>
      </c>
      <c r="F33" s="218" t="s">
        <v>1840</v>
      </c>
      <c r="G33" s="218" t="s">
        <v>1841</v>
      </c>
    </row>
    <row r="34" spans="1:7" x14ac:dyDescent="0.15">
      <c r="A34" s="218" t="s">
        <v>1923</v>
      </c>
      <c r="B34" s="218" t="s">
        <v>1924</v>
      </c>
      <c r="C34" s="218" t="s">
        <v>1842</v>
      </c>
      <c r="D34" s="218" t="s">
        <v>1925</v>
      </c>
      <c r="E34" s="218" t="s">
        <v>1839</v>
      </c>
      <c r="F34" s="218" t="s">
        <v>1840</v>
      </c>
      <c r="G34" s="218" t="s">
        <v>1841</v>
      </c>
    </row>
    <row r="35" spans="1:7" x14ac:dyDescent="0.15">
      <c r="A35" s="218" t="s">
        <v>1926</v>
      </c>
      <c r="B35" s="218" t="s">
        <v>1927</v>
      </c>
      <c r="C35" s="218" t="s">
        <v>1842</v>
      </c>
      <c r="D35" s="218" t="s">
        <v>1928</v>
      </c>
      <c r="E35" s="218" t="s">
        <v>1839</v>
      </c>
      <c r="F35" s="218" t="s">
        <v>1840</v>
      </c>
      <c r="G35" s="218" t="s">
        <v>1841</v>
      </c>
    </row>
    <row r="36" spans="1:7" x14ac:dyDescent="0.15">
      <c r="A36" s="218" t="s">
        <v>2995</v>
      </c>
      <c r="B36" s="218" t="s">
        <v>2996</v>
      </c>
      <c r="C36" s="218" t="s">
        <v>1842</v>
      </c>
      <c r="D36" s="218" t="s">
        <v>2997</v>
      </c>
      <c r="E36" s="218" t="s">
        <v>1935</v>
      </c>
      <c r="F36" s="218" t="s">
        <v>1840</v>
      </c>
      <c r="G36" s="218" t="s">
        <v>1841</v>
      </c>
    </row>
    <row r="37" spans="1:7" x14ac:dyDescent="0.15">
      <c r="A37" s="218" t="s">
        <v>1929</v>
      </c>
      <c r="B37" s="218" t="s">
        <v>1930</v>
      </c>
      <c r="C37" s="218" t="s">
        <v>1842</v>
      </c>
      <c r="D37" s="218" t="s">
        <v>1931</v>
      </c>
      <c r="E37" s="218" t="s">
        <v>1839</v>
      </c>
      <c r="F37" s="218" t="s">
        <v>1840</v>
      </c>
      <c r="G37" s="218" t="s">
        <v>1841</v>
      </c>
    </row>
    <row r="38" spans="1:7" x14ac:dyDescent="0.15">
      <c r="A38" s="218" t="s">
        <v>1932</v>
      </c>
      <c r="B38" s="218" t="s">
        <v>1933</v>
      </c>
      <c r="C38" s="218" t="s">
        <v>1842</v>
      </c>
      <c r="D38" s="218" t="s">
        <v>1934</v>
      </c>
      <c r="E38" s="218" t="s">
        <v>1935</v>
      </c>
      <c r="F38" s="218" t="s">
        <v>1840</v>
      </c>
      <c r="G38" s="218" t="s">
        <v>1841</v>
      </c>
    </row>
    <row r="39" spans="1:7" x14ac:dyDescent="0.15">
      <c r="A39" s="218" t="s">
        <v>1936</v>
      </c>
      <c r="B39" s="218" t="s">
        <v>1937</v>
      </c>
      <c r="C39" s="218" t="s">
        <v>1842</v>
      </c>
      <c r="D39" s="218" t="s">
        <v>1938</v>
      </c>
      <c r="E39" s="218" t="s">
        <v>1839</v>
      </c>
      <c r="F39" s="218" t="s">
        <v>1840</v>
      </c>
      <c r="G39" s="218" t="s">
        <v>1841</v>
      </c>
    </row>
    <row r="40" spans="1:7" x14ac:dyDescent="0.15">
      <c r="A40" s="218" t="s">
        <v>1939</v>
      </c>
      <c r="B40" s="218" t="s">
        <v>1940</v>
      </c>
      <c r="C40" s="218" t="s">
        <v>1842</v>
      </c>
      <c r="D40" s="218" t="s">
        <v>1941</v>
      </c>
      <c r="E40" s="218" t="s">
        <v>1839</v>
      </c>
      <c r="F40" s="218" t="s">
        <v>1840</v>
      </c>
      <c r="G40" s="218" t="s">
        <v>1841</v>
      </c>
    </row>
    <row r="41" spans="1:7" x14ac:dyDescent="0.15">
      <c r="A41" s="218" t="s">
        <v>1942</v>
      </c>
      <c r="B41" s="218" t="s">
        <v>1943</v>
      </c>
      <c r="C41" s="218" t="s">
        <v>1842</v>
      </c>
      <c r="D41" s="218" t="s">
        <v>1944</v>
      </c>
      <c r="E41" s="218" t="s">
        <v>1935</v>
      </c>
      <c r="F41" s="218" t="s">
        <v>1840</v>
      </c>
      <c r="G41" s="218" t="s">
        <v>1841</v>
      </c>
    </row>
    <row r="42" spans="1:7" x14ac:dyDescent="0.15">
      <c r="A42" s="218" t="s">
        <v>1945</v>
      </c>
      <c r="B42" s="218" t="s">
        <v>1946</v>
      </c>
      <c r="C42" s="218" t="s">
        <v>1842</v>
      </c>
      <c r="D42" s="218" t="s">
        <v>1947</v>
      </c>
      <c r="E42" s="218" t="s">
        <v>1839</v>
      </c>
      <c r="F42" s="218" t="s">
        <v>1840</v>
      </c>
      <c r="G42" s="218" t="s">
        <v>1841</v>
      </c>
    </row>
    <row r="43" spans="1:7" x14ac:dyDescent="0.15">
      <c r="A43" s="218" t="s">
        <v>1948</v>
      </c>
      <c r="B43" s="218" t="s">
        <v>1949</v>
      </c>
      <c r="C43" s="218" t="s">
        <v>1842</v>
      </c>
      <c r="D43" s="218" t="s">
        <v>1950</v>
      </c>
      <c r="E43" s="218" t="s">
        <v>1839</v>
      </c>
      <c r="F43" s="218" t="s">
        <v>1840</v>
      </c>
      <c r="G43" s="218" t="s">
        <v>1841</v>
      </c>
    </row>
    <row r="44" spans="1:7" x14ac:dyDescent="0.15">
      <c r="A44" s="218" t="s">
        <v>1951</v>
      </c>
      <c r="B44" s="218" t="s">
        <v>1952</v>
      </c>
      <c r="C44" s="218" t="s">
        <v>1842</v>
      </c>
      <c r="D44" s="218" t="s">
        <v>1953</v>
      </c>
      <c r="E44" s="218" t="s">
        <v>1839</v>
      </c>
      <c r="F44" s="218" t="s">
        <v>1840</v>
      </c>
      <c r="G44" s="218" t="s">
        <v>1841</v>
      </c>
    </row>
    <row r="45" spans="1:7" x14ac:dyDescent="0.15">
      <c r="A45" s="218" t="s">
        <v>1954</v>
      </c>
      <c r="B45" s="218" t="s">
        <v>1955</v>
      </c>
      <c r="C45" s="218" t="s">
        <v>1842</v>
      </c>
      <c r="D45" s="218" t="s">
        <v>1956</v>
      </c>
      <c r="E45" s="218" t="s">
        <v>1839</v>
      </c>
      <c r="F45" s="218" t="s">
        <v>1840</v>
      </c>
      <c r="G45" s="218" t="s">
        <v>1841</v>
      </c>
    </row>
    <row r="46" spans="1:7" x14ac:dyDescent="0.15">
      <c r="A46" s="218" t="s">
        <v>1957</v>
      </c>
      <c r="B46" s="218" t="s">
        <v>1958</v>
      </c>
      <c r="C46" s="218" t="s">
        <v>1842</v>
      </c>
      <c r="D46" s="218" t="s">
        <v>1959</v>
      </c>
      <c r="E46" s="218" t="s">
        <v>1935</v>
      </c>
      <c r="F46" s="218" t="s">
        <v>1840</v>
      </c>
      <c r="G46" s="218" t="s">
        <v>1841</v>
      </c>
    </row>
    <row r="47" spans="1:7" x14ac:dyDescent="0.15">
      <c r="A47" s="218" t="s">
        <v>1960</v>
      </c>
      <c r="B47" s="218" t="s">
        <v>1961</v>
      </c>
      <c r="C47" s="218" t="s">
        <v>1842</v>
      </c>
      <c r="D47" s="218" t="s">
        <v>1962</v>
      </c>
      <c r="E47" s="218" t="s">
        <v>1839</v>
      </c>
      <c r="F47" s="218" t="s">
        <v>1840</v>
      </c>
      <c r="G47" s="218" t="s">
        <v>1841</v>
      </c>
    </row>
    <row r="48" spans="1:7" x14ac:dyDescent="0.15">
      <c r="A48" s="218" t="s">
        <v>1963</v>
      </c>
      <c r="B48" s="218" t="s">
        <v>1964</v>
      </c>
      <c r="C48" s="218" t="s">
        <v>1842</v>
      </c>
      <c r="D48" s="218" t="s">
        <v>1965</v>
      </c>
      <c r="E48" s="218" t="s">
        <v>1839</v>
      </c>
      <c r="F48" s="218" t="s">
        <v>1840</v>
      </c>
      <c r="G48" s="218" t="s">
        <v>1841</v>
      </c>
    </row>
    <row r="49" spans="1:7" x14ac:dyDescent="0.15">
      <c r="A49" s="218" t="s">
        <v>1966</v>
      </c>
      <c r="B49" s="218" t="s">
        <v>1967</v>
      </c>
      <c r="C49" s="218" t="s">
        <v>1842</v>
      </c>
      <c r="D49" s="218" t="s">
        <v>1968</v>
      </c>
      <c r="E49" s="218" t="s">
        <v>1839</v>
      </c>
      <c r="F49" s="218" t="s">
        <v>1840</v>
      </c>
      <c r="G49" s="218" t="s">
        <v>1841</v>
      </c>
    </row>
    <row r="50" spans="1:7" x14ac:dyDescent="0.15">
      <c r="A50" s="218" t="s">
        <v>1969</v>
      </c>
      <c r="B50" s="218" t="s">
        <v>1970</v>
      </c>
      <c r="C50" s="218" t="s">
        <v>1842</v>
      </c>
      <c r="D50" s="218" t="s">
        <v>1971</v>
      </c>
      <c r="E50" s="218" t="s">
        <v>1839</v>
      </c>
      <c r="F50" s="218" t="s">
        <v>1840</v>
      </c>
      <c r="G50" s="218" t="s">
        <v>1841</v>
      </c>
    </row>
    <row r="51" spans="1:7" x14ac:dyDescent="0.15">
      <c r="A51" s="218" t="s">
        <v>521</v>
      </c>
      <c r="B51" s="218" t="s">
        <v>520</v>
      </c>
      <c r="C51" s="218" t="s">
        <v>1842</v>
      </c>
      <c r="D51" s="218" t="s">
        <v>1972</v>
      </c>
      <c r="E51" s="218" t="s">
        <v>1839</v>
      </c>
      <c r="F51" s="218" t="s">
        <v>1840</v>
      </c>
      <c r="G51" s="218" t="s">
        <v>1841</v>
      </c>
    </row>
    <row r="52" spans="1:7" x14ac:dyDescent="0.15">
      <c r="A52" s="218" t="s">
        <v>1973</v>
      </c>
      <c r="B52" s="218" t="s">
        <v>1974</v>
      </c>
      <c r="C52" s="218" t="s">
        <v>1842</v>
      </c>
      <c r="D52" s="218" t="s">
        <v>1975</v>
      </c>
      <c r="E52" s="218" t="s">
        <v>1839</v>
      </c>
      <c r="F52" s="218" t="s">
        <v>1840</v>
      </c>
      <c r="G52" s="218" t="s">
        <v>1841</v>
      </c>
    </row>
    <row r="53" spans="1:7" x14ac:dyDescent="0.15">
      <c r="A53" s="218" t="s">
        <v>1976</v>
      </c>
      <c r="B53" s="218" t="s">
        <v>1977</v>
      </c>
      <c r="C53" s="218" t="s">
        <v>1842</v>
      </c>
      <c r="D53" s="218" t="s">
        <v>1978</v>
      </c>
      <c r="E53" s="218" t="s">
        <v>1839</v>
      </c>
      <c r="F53" s="218" t="s">
        <v>1840</v>
      </c>
      <c r="G53" s="218" t="s">
        <v>1841</v>
      </c>
    </row>
    <row r="54" spans="1:7" x14ac:dyDescent="0.15">
      <c r="A54" s="218" t="s">
        <v>1979</v>
      </c>
      <c r="B54" s="218" t="s">
        <v>1980</v>
      </c>
      <c r="C54" s="218" t="s">
        <v>1842</v>
      </c>
      <c r="D54" s="218" t="s">
        <v>1981</v>
      </c>
      <c r="E54" s="218" t="s">
        <v>1839</v>
      </c>
      <c r="F54" s="218" t="s">
        <v>1840</v>
      </c>
      <c r="G54" s="218" t="s">
        <v>1841</v>
      </c>
    </row>
    <row r="55" spans="1:7" x14ac:dyDescent="0.15">
      <c r="A55" s="218" t="s">
        <v>3547</v>
      </c>
      <c r="B55" s="218" t="s">
        <v>3548</v>
      </c>
      <c r="C55" s="218" t="s">
        <v>1982</v>
      </c>
      <c r="D55" s="218" t="s">
        <v>3549</v>
      </c>
      <c r="E55" s="218" t="s">
        <v>1839</v>
      </c>
      <c r="F55" s="218" t="s">
        <v>1840</v>
      </c>
      <c r="G55" s="218" t="s">
        <v>1841</v>
      </c>
    </row>
    <row r="56" spans="1:7" x14ac:dyDescent="0.15">
      <c r="A56" s="218" t="s">
        <v>9143</v>
      </c>
      <c r="B56" s="218" t="s">
        <v>9144</v>
      </c>
      <c r="C56" s="218" t="s">
        <v>1982</v>
      </c>
      <c r="D56" s="218" t="s">
        <v>9145</v>
      </c>
      <c r="E56" s="218" t="s">
        <v>1839</v>
      </c>
      <c r="F56" s="218" t="s">
        <v>1840</v>
      </c>
      <c r="G56" s="218" t="s">
        <v>1841</v>
      </c>
    </row>
    <row r="57" spans="1:7" x14ac:dyDescent="0.15">
      <c r="A57" s="218" t="s">
        <v>1983</v>
      </c>
      <c r="B57" s="218" t="s">
        <v>1984</v>
      </c>
      <c r="C57" s="218" t="s">
        <v>1982</v>
      </c>
      <c r="D57" s="218" t="s">
        <v>1985</v>
      </c>
      <c r="E57" s="218" t="s">
        <v>1935</v>
      </c>
      <c r="F57" s="218" t="s">
        <v>1840</v>
      </c>
      <c r="G57" s="218" t="s">
        <v>1841</v>
      </c>
    </row>
    <row r="58" spans="1:7" x14ac:dyDescent="0.15">
      <c r="A58" s="218" t="s">
        <v>1986</v>
      </c>
      <c r="B58" s="218" t="s">
        <v>1987</v>
      </c>
      <c r="C58" s="218" t="s">
        <v>1982</v>
      </c>
      <c r="D58" s="218" t="s">
        <v>1988</v>
      </c>
      <c r="E58" s="218" t="s">
        <v>1839</v>
      </c>
      <c r="F58" s="218" t="s">
        <v>1840</v>
      </c>
      <c r="G58" s="218" t="s">
        <v>1841</v>
      </c>
    </row>
    <row r="59" spans="1:7" x14ac:dyDescent="0.15">
      <c r="A59" s="218" t="s">
        <v>1989</v>
      </c>
      <c r="B59" s="218" t="s">
        <v>1990</v>
      </c>
      <c r="C59" s="218" t="s">
        <v>1982</v>
      </c>
      <c r="D59" s="218" t="s">
        <v>1991</v>
      </c>
      <c r="E59" s="218" t="s">
        <v>1839</v>
      </c>
      <c r="F59" s="218" t="s">
        <v>1840</v>
      </c>
      <c r="G59" s="218" t="s">
        <v>1841</v>
      </c>
    </row>
    <row r="60" spans="1:7" x14ac:dyDescent="0.15">
      <c r="A60" s="218" t="s">
        <v>1992</v>
      </c>
      <c r="B60" s="218" t="s">
        <v>1993</v>
      </c>
      <c r="C60" s="218" t="s">
        <v>1982</v>
      </c>
      <c r="D60" s="218" t="s">
        <v>1994</v>
      </c>
      <c r="E60" s="218" t="s">
        <v>1839</v>
      </c>
      <c r="F60" s="218" t="s">
        <v>1840</v>
      </c>
      <c r="G60" s="218" t="s">
        <v>1841</v>
      </c>
    </row>
    <row r="61" spans="1:7" x14ac:dyDescent="0.15">
      <c r="A61" s="218" t="s">
        <v>1995</v>
      </c>
      <c r="B61" s="218" t="s">
        <v>601</v>
      </c>
      <c r="C61" s="218" t="s">
        <v>1982</v>
      </c>
      <c r="D61" s="218" t="s">
        <v>1996</v>
      </c>
      <c r="E61" s="218" t="s">
        <v>1839</v>
      </c>
      <c r="F61" s="218" t="s">
        <v>1840</v>
      </c>
      <c r="G61" s="218" t="s">
        <v>1841</v>
      </c>
    </row>
    <row r="62" spans="1:7" x14ac:dyDescent="0.15">
      <c r="A62" s="218" t="s">
        <v>1997</v>
      </c>
      <c r="B62" s="218" t="s">
        <v>1998</v>
      </c>
      <c r="C62" s="218" t="s">
        <v>1982</v>
      </c>
      <c r="D62" s="218" t="s">
        <v>1999</v>
      </c>
      <c r="E62" s="218" t="s">
        <v>1839</v>
      </c>
      <c r="F62" s="218" t="s">
        <v>1840</v>
      </c>
      <c r="G62" s="218" t="s">
        <v>1841</v>
      </c>
    </row>
    <row r="63" spans="1:7" x14ac:dyDescent="0.15">
      <c r="A63" s="218" t="s">
        <v>2000</v>
      </c>
      <c r="B63" s="218" t="s">
        <v>2001</v>
      </c>
      <c r="C63" s="218" t="s">
        <v>1982</v>
      </c>
      <c r="D63" s="218" t="s">
        <v>2002</v>
      </c>
      <c r="E63" s="218" t="s">
        <v>1839</v>
      </c>
      <c r="F63" s="218" t="s">
        <v>1840</v>
      </c>
      <c r="G63" s="218" t="s">
        <v>1841</v>
      </c>
    </row>
    <row r="64" spans="1:7" x14ac:dyDescent="0.15">
      <c r="A64" s="218" t="s">
        <v>2003</v>
      </c>
      <c r="B64" s="218" t="s">
        <v>2004</v>
      </c>
      <c r="C64" s="218" t="s">
        <v>1982</v>
      </c>
      <c r="D64" s="218" t="s">
        <v>2005</v>
      </c>
      <c r="E64" s="218" t="s">
        <v>1839</v>
      </c>
      <c r="F64" s="218" t="s">
        <v>1840</v>
      </c>
      <c r="G64" s="218" t="s">
        <v>1841</v>
      </c>
    </row>
    <row r="65" spans="1:7" x14ac:dyDescent="0.15">
      <c r="A65" s="218" t="s">
        <v>2006</v>
      </c>
      <c r="B65" s="218" t="s">
        <v>2007</v>
      </c>
      <c r="C65" s="218" t="s">
        <v>1982</v>
      </c>
      <c r="D65" s="218" t="s">
        <v>2008</v>
      </c>
      <c r="E65" s="218" t="s">
        <v>1839</v>
      </c>
      <c r="F65" s="218" t="s">
        <v>1840</v>
      </c>
      <c r="G65" s="218" t="s">
        <v>1841</v>
      </c>
    </row>
    <row r="66" spans="1:7" x14ac:dyDescent="0.15">
      <c r="A66" s="218" t="s">
        <v>2009</v>
      </c>
      <c r="B66" s="218" t="s">
        <v>2010</v>
      </c>
      <c r="C66" s="218" t="s">
        <v>1982</v>
      </c>
      <c r="D66" s="218" t="s">
        <v>2011</v>
      </c>
      <c r="E66" s="218" t="s">
        <v>1839</v>
      </c>
      <c r="F66" s="218" t="s">
        <v>1840</v>
      </c>
      <c r="G66" s="218" t="s">
        <v>1841</v>
      </c>
    </row>
    <row r="67" spans="1:7" x14ac:dyDescent="0.15">
      <c r="A67" s="218" t="s">
        <v>2012</v>
      </c>
      <c r="B67" s="218" t="s">
        <v>2013</v>
      </c>
      <c r="C67" s="218" t="s">
        <v>1982</v>
      </c>
      <c r="D67" s="218" t="s">
        <v>2014</v>
      </c>
      <c r="E67" s="218" t="s">
        <v>1839</v>
      </c>
      <c r="F67" s="218" t="s">
        <v>1840</v>
      </c>
      <c r="G67" s="218" t="s">
        <v>1841</v>
      </c>
    </row>
    <row r="68" spans="1:7" x14ac:dyDescent="0.15">
      <c r="A68" s="218" t="s">
        <v>2015</v>
      </c>
      <c r="B68" s="218" t="s">
        <v>2016</v>
      </c>
      <c r="C68" s="218" t="s">
        <v>1982</v>
      </c>
      <c r="D68" s="218" t="s">
        <v>2017</v>
      </c>
      <c r="E68" s="218" t="s">
        <v>1839</v>
      </c>
      <c r="F68" s="218" t="s">
        <v>1840</v>
      </c>
      <c r="G68" s="218" t="s">
        <v>1841</v>
      </c>
    </row>
    <row r="69" spans="1:7" x14ac:dyDescent="0.15">
      <c r="A69" s="218" t="s">
        <v>2018</v>
      </c>
      <c r="B69" s="218" t="s">
        <v>2019</v>
      </c>
      <c r="C69" s="218" t="s">
        <v>1982</v>
      </c>
      <c r="D69" s="218" t="s">
        <v>2020</v>
      </c>
      <c r="E69" s="218" t="s">
        <v>1839</v>
      </c>
      <c r="F69" s="218" t="s">
        <v>1840</v>
      </c>
      <c r="G69" s="218" t="s">
        <v>1841</v>
      </c>
    </row>
    <row r="70" spans="1:7" x14ac:dyDescent="0.15">
      <c r="A70" s="218" t="s">
        <v>2021</v>
      </c>
      <c r="B70" s="218" t="s">
        <v>2022</v>
      </c>
      <c r="C70" s="218" t="s">
        <v>1982</v>
      </c>
      <c r="D70" s="218" t="s">
        <v>2023</v>
      </c>
      <c r="E70" s="218" t="s">
        <v>1935</v>
      </c>
      <c r="F70" s="218" t="s">
        <v>1840</v>
      </c>
      <c r="G70" s="218" t="s">
        <v>1841</v>
      </c>
    </row>
    <row r="71" spans="1:7" x14ac:dyDescent="0.15">
      <c r="A71" s="218" t="s">
        <v>2024</v>
      </c>
      <c r="B71" s="218" t="s">
        <v>2025</v>
      </c>
      <c r="C71" s="218" t="s">
        <v>1982</v>
      </c>
      <c r="D71" s="218" t="s">
        <v>2026</v>
      </c>
      <c r="E71" s="218" t="s">
        <v>1839</v>
      </c>
      <c r="F71" s="218" t="s">
        <v>1840</v>
      </c>
      <c r="G71" s="218" t="s">
        <v>1841</v>
      </c>
    </row>
    <row r="72" spans="1:7" x14ac:dyDescent="0.15">
      <c r="A72" s="218" t="s">
        <v>2027</v>
      </c>
      <c r="B72" s="218" t="s">
        <v>2028</v>
      </c>
      <c r="C72" s="218" t="s">
        <v>1982</v>
      </c>
      <c r="D72" s="218" t="s">
        <v>2029</v>
      </c>
      <c r="E72" s="218" t="s">
        <v>1839</v>
      </c>
      <c r="F72" s="218" t="s">
        <v>1840</v>
      </c>
      <c r="G72" s="218" t="s">
        <v>1841</v>
      </c>
    </row>
    <row r="73" spans="1:7" x14ac:dyDescent="0.15">
      <c r="A73" s="218" t="s">
        <v>2030</v>
      </c>
      <c r="B73" s="218" t="s">
        <v>2031</v>
      </c>
      <c r="C73" s="218" t="s">
        <v>1982</v>
      </c>
      <c r="D73" s="218" t="s">
        <v>2032</v>
      </c>
      <c r="E73" s="218" t="s">
        <v>1839</v>
      </c>
      <c r="F73" s="218" t="s">
        <v>1840</v>
      </c>
      <c r="G73" s="218" t="s">
        <v>1841</v>
      </c>
    </row>
    <row r="74" spans="1:7" x14ac:dyDescent="0.15">
      <c r="A74" s="218" t="s">
        <v>3636</v>
      </c>
      <c r="B74" s="218" t="s">
        <v>3637</v>
      </c>
      <c r="C74" s="218" t="s">
        <v>1982</v>
      </c>
      <c r="D74" s="218" t="s">
        <v>3638</v>
      </c>
      <c r="E74" s="218" t="s">
        <v>1839</v>
      </c>
      <c r="F74" s="218" t="s">
        <v>1840</v>
      </c>
      <c r="G74" s="218" t="s">
        <v>1841</v>
      </c>
    </row>
    <row r="75" spans="1:7" x14ac:dyDescent="0.15">
      <c r="A75" s="218" t="s">
        <v>2033</v>
      </c>
      <c r="B75" s="218" t="s">
        <v>2034</v>
      </c>
      <c r="C75" s="218" t="s">
        <v>1982</v>
      </c>
      <c r="D75" s="218" t="s">
        <v>2035</v>
      </c>
      <c r="E75" s="218" t="s">
        <v>1839</v>
      </c>
      <c r="F75" s="218" t="s">
        <v>1840</v>
      </c>
      <c r="G75" s="218" t="s">
        <v>1841</v>
      </c>
    </row>
    <row r="76" spans="1:7" x14ac:dyDescent="0.15">
      <c r="A76" s="218" t="s">
        <v>2036</v>
      </c>
      <c r="B76" s="218" t="s">
        <v>2037</v>
      </c>
      <c r="C76" s="218" t="s">
        <v>1982</v>
      </c>
      <c r="D76" s="218" t="s">
        <v>2038</v>
      </c>
      <c r="E76" s="218" t="s">
        <v>1839</v>
      </c>
      <c r="F76" s="218" t="s">
        <v>1840</v>
      </c>
      <c r="G76" s="218" t="s">
        <v>1841</v>
      </c>
    </row>
    <row r="77" spans="1:7" x14ac:dyDescent="0.15">
      <c r="A77" s="218" t="s">
        <v>3648</v>
      </c>
      <c r="B77" s="218" t="s">
        <v>3649</v>
      </c>
      <c r="C77" s="218" t="s">
        <v>1982</v>
      </c>
      <c r="D77" s="218" t="s">
        <v>3650</v>
      </c>
      <c r="E77" s="218" t="s">
        <v>1839</v>
      </c>
      <c r="F77" s="218" t="s">
        <v>1840</v>
      </c>
      <c r="G77" s="218" t="s">
        <v>1841</v>
      </c>
    </row>
    <row r="78" spans="1:7" x14ac:dyDescent="0.15">
      <c r="A78" s="218" t="s">
        <v>2039</v>
      </c>
      <c r="B78" s="218" t="s">
        <v>2040</v>
      </c>
      <c r="C78" s="218" t="s">
        <v>1982</v>
      </c>
      <c r="D78" s="218" t="s">
        <v>2041</v>
      </c>
      <c r="E78" s="218" t="s">
        <v>1839</v>
      </c>
      <c r="F78" s="218" t="s">
        <v>1840</v>
      </c>
      <c r="G78" s="218" t="s">
        <v>1841</v>
      </c>
    </row>
    <row r="79" spans="1:7" x14ac:dyDescent="0.15">
      <c r="A79" s="218" t="s">
        <v>2042</v>
      </c>
      <c r="B79" s="218" t="s">
        <v>2043</v>
      </c>
      <c r="C79" s="218" t="s">
        <v>1982</v>
      </c>
      <c r="D79" s="218" t="s">
        <v>2041</v>
      </c>
      <c r="E79" s="218" t="s">
        <v>1839</v>
      </c>
      <c r="F79" s="218" t="s">
        <v>1840</v>
      </c>
      <c r="G79" s="218" t="s">
        <v>1841</v>
      </c>
    </row>
    <row r="80" spans="1:7" x14ac:dyDescent="0.15">
      <c r="A80" s="218" t="s">
        <v>2044</v>
      </c>
      <c r="B80" s="218" t="s">
        <v>2045</v>
      </c>
      <c r="C80" s="218" t="s">
        <v>1982</v>
      </c>
      <c r="D80" s="218" t="s">
        <v>2046</v>
      </c>
      <c r="E80" s="218" t="s">
        <v>1839</v>
      </c>
      <c r="F80" s="218" t="s">
        <v>1840</v>
      </c>
      <c r="G80" s="218" t="s">
        <v>1841</v>
      </c>
    </row>
    <row r="81" spans="1:7" x14ac:dyDescent="0.15">
      <c r="A81" s="218" t="s">
        <v>539</v>
      </c>
      <c r="B81" s="218" t="s">
        <v>538</v>
      </c>
      <c r="C81" s="218" t="s">
        <v>1982</v>
      </c>
      <c r="D81" s="218" t="s">
        <v>2047</v>
      </c>
      <c r="E81" s="218" t="s">
        <v>1839</v>
      </c>
      <c r="F81" s="218" t="s">
        <v>1840</v>
      </c>
      <c r="G81" s="218" t="s">
        <v>1841</v>
      </c>
    </row>
    <row r="82" spans="1:7" x14ac:dyDescent="0.15">
      <c r="A82" s="218" t="s">
        <v>587</v>
      </c>
      <c r="B82" s="218" t="s">
        <v>586</v>
      </c>
      <c r="C82" s="218" t="s">
        <v>1982</v>
      </c>
      <c r="D82" s="218" t="s">
        <v>2048</v>
      </c>
      <c r="E82" s="218" t="s">
        <v>1839</v>
      </c>
      <c r="F82" s="218" t="s">
        <v>1840</v>
      </c>
      <c r="G82" s="218" t="s">
        <v>1841</v>
      </c>
    </row>
    <row r="83" spans="1:7" x14ac:dyDescent="0.15">
      <c r="A83" s="218" t="s">
        <v>3671</v>
      </c>
      <c r="B83" s="218" t="s">
        <v>3672</v>
      </c>
      <c r="C83" s="218" t="s">
        <v>1982</v>
      </c>
      <c r="D83" s="218" t="s">
        <v>3673</v>
      </c>
      <c r="E83" s="218" t="s">
        <v>1839</v>
      </c>
      <c r="F83" s="218" t="s">
        <v>1840</v>
      </c>
      <c r="G83" s="218" t="s">
        <v>1841</v>
      </c>
    </row>
    <row r="84" spans="1:7" x14ac:dyDescent="0.15">
      <c r="A84" s="218" t="s">
        <v>9309</v>
      </c>
      <c r="B84" s="218" t="s">
        <v>9310</v>
      </c>
      <c r="C84" s="218" t="s">
        <v>1982</v>
      </c>
      <c r="D84" s="218" t="s">
        <v>3679</v>
      </c>
      <c r="E84" s="218" t="s">
        <v>1839</v>
      </c>
      <c r="F84" s="218" t="s">
        <v>1840</v>
      </c>
      <c r="G84" s="218" t="s">
        <v>1841</v>
      </c>
    </row>
    <row r="85" spans="1:7" x14ac:dyDescent="0.15">
      <c r="A85" s="218" t="s">
        <v>2049</v>
      </c>
      <c r="B85" s="218" t="s">
        <v>2050</v>
      </c>
      <c r="C85" s="218" t="s">
        <v>1982</v>
      </c>
      <c r="D85" s="218" t="s">
        <v>1533</v>
      </c>
      <c r="E85" s="218" t="s">
        <v>1839</v>
      </c>
      <c r="F85" s="218" t="s">
        <v>1840</v>
      </c>
      <c r="G85" s="218" t="s">
        <v>1841</v>
      </c>
    </row>
    <row r="86" spans="1:7" x14ac:dyDescent="0.15">
      <c r="A86" s="218" t="s">
        <v>9146</v>
      </c>
      <c r="B86" s="218" t="s">
        <v>9147</v>
      </c>
      <c r="C86" s="218" t="s">
        <v>1982</v>
      </c>
      <c r="D86" s="218" t="s">
        <v>9148</v>
      </c>
      <c r="E86" s="218" t="s">
        <v>1839</v>
      </c>
      <c r="F86" s="218" t="s">
        <v>1840</v>
      </c>
      <c r="G86" s="218" t="s">
        <v>1841</v>
      </c>
    </row>
    <row r="87" spans="1:7" x14ac:dyDescent="0.15">
      <c r="A87" s="218" t="s">
        <v>2051</v>
      </c>
      <c r="B87" s="218" t="s">
        <v>2052</v>
      </c>
      <c r="C87" s="218" t="s">
        <v>1982</v>
      </c>
      <c r="D87" s="218" t="s">
        <v>2053</v>
      </c>
      <c r="E87" s="218" t="s">
        <v>1839</v>
      </c>
      <c r="F87" s="218" t="s">
        <v>1840</v>
      </c>
      <c r="G87" s="218" t="s">
        <v>1841</v>
      </c>
    </row>
    <row r="88" spans="1:7" x14ac:dyDescent="0.15">
      <c r="A88" s="218" t="s">
        <v>2054</v>
      </c>
      <c r="B88" s="218" t="s">
        <v>2055</v>
      </c>
      <c r="C88" s="218" t="s">
        <v>1982</v>
      </c>
      <c r="D88" s="218" t="s">
        <v>2056</v>
      </c>
      <c r="E88" s="218" t="s">
        <v>1839</v>
      </c>
      <c r="F88" s="218" t="s">
        <v>1840</v>
      </c>
      <c r="G88" s="218" t="s">
        <v>1841</v>
      </c>
    </row>
    <row r="89" spans="1:7" x14ac:dyDescent="0.15">
      <c r="A89" s="218" t="s">
        <v>2057</v>
      </c>
      <c r="B89" s="218" t="s">
        <v>2058</v>
      </c>
      <c r="C89" s="218" t="s">
        <v>1982</v>
      </c>
      <c r="D89" s="218" t="s">
        <v>2059</v>
      </c>
      <c r="E89" s="218" t="s">
        <v>1839</v>
      </c>
      <c r="F89" s="218" t="s">
        <v>1840</v>
      </c>
      <c r="G89" s="218" t="s">
        <v>1841</v>
      </c>
    </row>
    <row r="90" spans="1:7" x14ac:dyDescent="0.15">
      <c r="A90" s="218" t="s">
        <v>2060</v>
      </c>
      <c r="B90" s="218" t="s">
        <v>2061</v>
      </c>
      <c r="C90" s="218" t="s">
        <v>1982</v>
      </c>
      <c r="D90" s="218" t="s">
        <v>2062</v>
      </c>
      <c r="E90" s="218" t="s">
        <v>1839</v>
      </c>
      <c r="F90" s="218" t="s">
        <v>1840</v>
      </c>
      <c r="G90" s="218" t="s">
        <v>1841</v>
      </c>
    </row>
    <row r="91" spans="1:7" x14ac:dyDescent="0.15">
      <c r="A91" s="218" t="s">
        <v>3724</v>
      </c>
      <c r="B91" s="218" t="s">
        <v>3725</v>
      </c>
      <c r="C91" s="218" t="s">
        <v>1982</v>
      </c>
      <c r="D91" s="218" t="s">
        <v>3726</v>
      </c>
      <c r="E91" s="218" t="s">
        <v>1839</v>
      </c>
      <c r="F91" s="218" t="s">
        <v>1840</v>
      </c>
      <c r="G91" s="218" t="s">
        <v>1841</v>
      </c>
    </row>
    <row r="92" spans="1:7" x14ac:dyDescent="0.15">
      <c r="A92" s="218" t="s">
        <v>2063</v>
      </c>
      <c r="B92" s="218" t="s">
        <v>2064</v>
      </c>
      <c r="C92" s="218" t="s">
        <v>1982</v>
      </c>
      <c r="D92" s="218" t="s">
        <v>2065</v>
      </c>
      <c r="E92" s="218" t="s">
        <v>1839</v>
      </c>
      <c r="F92" s="218" t="s">
        <v>1840</v>
      </c>
      <c r="G92" s="218" t="s">
        <v>1841</v>
      </c>
    </row>
    <row r="93" spans="1:7" x14ac:dyDescent="0.15">
      <c r="A93" s="218" t="s">
        <v>2066</v>
      </c>
      <c r="B93" s="218" t="s">
        <v>511</v>
      </c>
      <c r="C93" s="218" t="s">
        <v>1982</v>
      </c>
      <c r="D93" s="218" t="s">
        <v>2067</v>
      </c>
      <c r="E93" s="218" t="s">
        <v>1839</v>
      </c>
      <c r="F93" s="218" t="s">
        <v>1840</v>
      </c>
      <c r="G93" s="218" t="s">
        <v>1841</v>
      </c>
    </row>
    <row r="94" spans="1:7" x14ac:dyDescent="0.15">
      <c r="A94" s="218" t="s">
        <v>9149</v>
      </c>
      <c r="B94" s="218" t="s">
        <v>9150</v>
      </c>
      <c r="C94" s="218" t="s">
        <v>1982</v>
      </c>
      <c r="D94" s="218" t="s">
        <v>9151</v>
      </c>
      <c r="E94" s="218" t="s">
        <v>1839</v>
      </c>
      <c r="F94" s="218" t="s">
        <v>1840</v>
      </c>
      <c r="G94" s="218" t="s">
        <v>1841</v>
      </c>
    </row>
    <row r="95" spans="1:7" x14ac:dyDescent="0.15">
      <c r="A95" s="218" t="s">
        <v>2068</v>
      </c>
      <c r="B95" s="218" t="s">
        <v>2069</v>
      </c>
      <c r="C95" s="218" t="s">
        <v>1982</v>
      </c>
      <c r="D95" s="218" t="s">
        <v>2070</v>
      </c>
      <c r="E95" s="218" t="s">
        <v>1839</v>
      </c>
      <c r="F95" s="218" t="s">
        <v>1840</v>
      </c>
      <c r="G95" s="218" t="s">
        <v>1841</v>
      </c>
    </row>
    <row r="96" spans="1:7" x14ac:dyDescent="0.15">
      <c r="A96" s="218" t="s">
        <v>2071</v>
      </c>
      <c r="B96" s="218" t="s">
        <v>2072</v>
      </c>
      <c r="C96" s="218" t="s">
        <v>1982</v>
      </c>
      <c r="D96" s="218" t="s">
        <v>2073</v>
      </c>
      <c r="E96" s="218" t="s">
        <v>1839</v>
      </c>
      <c r="F96" s="218" t="s">
        <v>1840</v>
      </c>
      <c r="G96" s="218" t="s">
        <v>1841</v>
      </c>
    </row>
    <row r="97" spans="1:7" x14ac:dyDescent="0.15">
      <c r="A97" s="218" t="s">
        <v>2074</v>
      </c>
      <c r="B97" s="218" t="s">
        <v>2075</v>
      </c>
      <c r="C97" s="218" t="s">
        <v>1982</v>
      </c>
      <c r="D97" s="218" t="s">
        <v>2076</v>
      </c>
      <c r="E97" s="218" t="s">
        <v>1839</v>
      </c>
      <c r="F97" s="218" t="s">
        <v>1840</v>
      </c>
      <c r="G97" s="218" t="s">
        <v>1841</v>
      </c>
    </row>
    <row r="98" spans="1:7" x14ac:dyDescent="0.15">
      <c r="A98" s="218" t="s">
        <v>2077</v>
      </c>
      <c r="B98" s="218" t="s">
        <v>524</v>
      </c>
      <c r="C98" s="218" t="s">
        <v>1982</v>
      </c>
      <c r="D98" s="218" t="s">
        <v>2078</v>
      </c>
      <c r="E98" s="218" t="s">
        <v>1839</v>
      </c>
      <c r="F98" s="218" t="s">
        <v>1840</v>
      </c>
      <c r="G98" s="218" t="s">
        <v>1841</v>
      </c>
    </row>
    <row r="99" spans="1:7" x14ac:dyDescent="0.15">
      <c r="A99" s="218" t="s">
        <v>2079</v>
      </c>
      <c r="B99" s="218" t="s">
        <v>2080</v>
      </c>
      <c r="C99" s="218" t="s">
        <v>1982</v>
      </c>
      <c r="D99" s="218" t="s">
        <v>2081</v>
      </c>
      <c r="E99" s="218" t="s">
        <v>1839</v>
      </c>
      <c r="F99" s="218" t="s">
        <v>1840</v>
      </c>
      <c r="G99" s="218" t="s">
        <v>1841</v>
      </c>
    </row>
    <row r="100" spans="1:7" x14ac:dyDescent="0.15">
      <c r="A100" s="218" t="s">
        <v>2082</v>
      </c>
      <c r="B100" s="218" t="s">
        <v>2083</v>
      </c>
      <c r="C100" s="218" t="s">
        <v>1982</v>
      </c>
      <c r="D100" s="218" t="s">
        <v>2084</v>
      </c>
      <c r="E100" s="218" t="s">
        <v>1839</v>
      </c>
      <c r="F100" s="218" t="s">
        <v>1840</v>
      </c>
      <c r="G100" s="218" t="s">
        <v>1841</v>
      </c>
    </row>
    <row r="101" spans="1:7" x14ac:dyDescent="0.15">
      <c r="A101" s="218" t="s">
        <v>2085</v>
      </c>
      <c r="B101" s="218" t="s">
        <v>2086</v>
      </c>
      <c r="C101" s="218" t="s">
        <v>1982</v>
      </c>
      <c r="D101" s="218" t="s">
        <v>2087</v>
      </c>
      <c r="E101" s="218" t="s">
        <v>1839</v>
      </c>
      <c r="F101" s="218" t="s">
        <v>1840</v>
      </c>
      <c r="G101" s="218" t="s">
        <v>1841</v>
      </c>
    </row>
    <row r="102" spans="1:7" x14ac:dyDescent="0.15">
      <c r="A102" s="218" t="s">
        <v>2088</v>
      </c>
      <c r="B102" s="218" t="s">
        <v>2089</v>
      </c>
      <c r="C102" s="218" t="s">
        <v>1982</v>
      </c>
      <c r="D102" s="218" t="s">
        <v>2090</v>
      </c>
      <c r="E102" s="218" t="s">
        <v>1839</v>
      </c>
      <c r="F102" s="218" t="s">
        <v>1840</v>
      </c>
      <c r="G102" s="218" t="s">
        <v>1841</v>
      </c>
    </row>
    <row r="103" spans="1:7" x14ac:dyDescent="0.15">
      <c r="A103" s="218" t="s">
        <v>2091</v>
      </c>
      <c r="B103" s="218" t="s">
        <v>2092</v>
      </c>
      <c r="C103" s="218" t="s">
        <v>1982</v>
      </c>
      <c r="D103" s="218" t="s">
        <v>2093</v>
      </c>
      <c r="E103" s="218" t="s">
        <v>1839</v>
      </c>
      <c r="F103" s="218" t="s">
        <v>1840</v>
      </c>
      <c r="G103" s="218" t="s">
        <v>1841</v>
      </c>
    </row>
    <row r="104" spans="1:7" x14ac:dyDescent="0.15">
      <c r="A104" s="218" t="s">
        <v>2094</v>
      </c>
      <c r="B104" s="218" t="s">
        <v>2095</v>
      </c>
      <c r="C104" s="218" t="s">
        <v>1982</v>
      </c>
      <c r="D104" s="218" t="s">
        <v>2096</v>
      </c>
      <c r="E104" s="218" t="s">
        <v>1839</v>
      </c>
      <c r="F104" s="218" t="s">
        <v>1840</v>
      </c>
      <c r="G104" s="218" t="s">
        <v>1841</v>
      </c>
    </row>
    <row r="105" spans="1:7" x14ac:dyDescent="0.15">
      <c r="A105" s="218" t="s">
        <v>2097</v>
      </c>
      <c r="B105" s="218" t="s">
        <v>2098</v>
      </c>
      <c r="C105" s="218" t="s">
        <v>1982</v>
      </c>
      <c r="D105" s="218" t="s">
        <v>2099</v>
      </c>
      <c r="E105" s="218" t="s">
        <v>1839</v>
      </c>
      <c r="F105" s="218" t="s">
        <v>1840</v>
      </c>
      <c r="G105" s="218" t="s">
        <v>1841</v>
      </c>
    </row>
    <row r="106" spans="1:7" x14ac:dyDescent="0.15">
      <c r="A106" s="218" t="s">
        <v>9152</v>
      </c>
      <c r="B106" s="218" t="s">
        <v>588</v>
      </c>
      <c r="C106" s="218" t="s">
        <v>1982</v>
      </c>
      <c r="D106" s="218" t="s">
        <v>1849</v>
      </c>
      <c r="E106" s="218" t="s">
        <v>1839</v>
      </c>
      <c r="F106" s="218" t="s">
        <v>1840</v>
      </c>
      <c r="G106" s="218" t="s">
        <v>1841</v>
      </c>
    </row>
    <row r="107" spans="1:7" x14ac:dyDescent="0.15">
      <c r="A107" s="218" t="s">
        <v>2100</v>
      </c>
      <c r="B107" s="218" t="s">
        <v>591</v>
      </c>
      <c r="C107" s="218" t="s">
        <v>1982</v>
      </c>
      <c r="D107" s="218" t="s">
        <v>2101</v>
      </c>
      <c r="E107" s="218" t="s">
        <v>1839</v>
      </c>
      <c r="F107" s="218" t="s">
        <v>1840</v>
      </c>
      <c r="G107" s="218" t="s">
        <v>1841</v>
      </c>
    </row>
    <row r="108" spans="1:7" x14ac:dyDescent="0.15">
      <c r="A108" s="218" t="s">
        <v>2102</v>
      </c>
      <c r="B108" s="218" t="s">
        <v>2103</v>
      </c>
      <c r="C108" s="218" t="s">
        <v>1982</v>
      </c>
      <c r="D108" s="218" t="s">
        <v>2104</v>
      </c>
      <c r="E108" s="218" t="s">
        <v>1839</v>
      </c>
      <c r="F108" s="218" t="s">
        <v>1840</v>
      </c>
      <c r="G108" s="218" t="s">
        <v>1841</v>
      </c>
    </row>
    <row r="109" spans="1:7" x14ac:dyDescent="0.15">
      <c r="A109" s="218" t="s">
        <v>2105</v>
      </c>
      <c r="B109" s="218" t="s">
        <v>2106</v>
      </c>
      <c r="C109" s="218" t="s">
        <v>1982</v>
      </c>
      <c r="D109" s="218" t="s">
        <v>2107</v>
      </c>
      <c r="E109" s="218" t="s">
        <v>1839</v>
      </c>
      <c r="F109" s="218" t="s">
        <v>1840</v>
      </c>
      <c r="G109" s="218" t="s">
        <v>1841</v>
      </c>
    </row>
    <row r="110" spans="1:7" x14ac:dyDescent="0.15">
      <c r="A110" s="218" t="s">
        <v>2108</v>
      </c>
      <c r="B110" s="218" t="s">
        <v>2109</v>
      </c>
      <c r="C110" s="218" t="s">
        <v>1982</v>
      </c>
      <c r="D110" s="218" t="s">
        <v>2110</v>
      </c>
      <c r="E110" s="218" t="s">
        <v>1839</v>
      </c>
      <c r="F110" s="218" t="s">
        <v>1840</v>
      </c>
      <c r="G110" s="218" t="s">
        <v>1841</v>
      </c>
    </row>
    <row r="111" spans="1:7" x14ac:dyDescent="0.15">
      <c r="A111" s="218" t="s">
        <v>2111</v>
      </c>
      <c r="B111" s="218" t="s">
        <v>2112</v>
      </c>
      <c r="C111" s="218" t="s">
        <v>1982</v>
      </c>
      <c r="D111" s="218" t="s">
        <v>2113</v>
      </c>
      <c r="E111" s="218" t="s">
        <v>1839</v>
      </c>
      <c r="F111" s="218" t="s">
        <v>1840</v>
      </c>
      <c r="G111" s="218" t="s">
        <v>1841</v>
      </c>
    </row>
    <row r="112" spans="1:7" x14ac:dyDescent="0.15">
      <c r="A112" s="218" t="s">
        <v>3808</v>
      </c>
      <c r="B112" s="218" t="s">
        <v>3809</v>
      </c>
      <c r="C112" s="218" t="s">
        <v>1982</v>
      </c>
      <c r="D112" s="218" t="s">
        <v>3810</v>
      </c>
      <c r="E112" s="218" t="s">
        <v>1839</v>
      </c>
      <c r="F112" s="218" t="s">
        <v>1840</v>
      </c>
      <c r="G112" s="218" t="s">
        <v>1841</v>
      </c>
    </row>
    <row r="113" spans="1:7" x14ac:dyDescent="0.15">
      <c r="A113" s="218" t="s">
        <v>2114</v>
      </c>
      <c r="B113" s="218" t="s">
        <v>2115</v>
      </c>
      <c r="C113" s="218" t="s">
        <v>1982</v>
      </c>
      <c r="D113" s="218" t="s">
        <v>2116</v>
      </c>
      <c r="E113" s="218" t="s">
        <v>1839</v>
      </c>
      <c r="F113" s="218" t="s">
        <v>1840</v>
      </c>
      <c r="G113" s="218" t="s">
        <v>1841</v>
      </c>
    </row>
    <row r="114" spans="1:7" x14ac:dyDescent="0.15">
      <c r="A114" s="218" t="s">
        <v>2117</v>
      </c>
      <c r="B114" s="218" t="s">
        <v>2118</v>
      </c>
      <c r="C114" s="218" t="s">
        <v>1982</v>
      </c>
      <c r="D114" s="218" t="s">
        <v>2119</v>
      </c>
      <c r="E114" s="218" t="s">
        <v>1839</v>
      </c>
      <c r="F114" s="218" t="s">
        <v>1840</v>
      </c>
      <c r="G114" s="218" t="s">
        <v>1841</v>
      </c>
    </row>
    <row r="115" spans="1:7" x14ac:dyDescent="0.15">
      <c r="A115" s="218" t="s">
        <v>2120</v>
      </c>
      <c r="B115" s="218" t="s">
        <v>2121</v>
      </c>
      <c r="C115" s="218" t="s">
        <v>1982</v>
      </c>
      <c r="D115" s="218" t="s">
        <v>2122</v>
      </c>
      <c r="E115" s="218" t="s">
        <v>1839</v>
      </c>
      <c r="F115" s="218" t="s">
        <v>1840</v>
      </c>
      <c r="G115" s="218" t="s">
        <v>1841</v>
      </c>
    </row>
    <row r="116" spans="1:7" x14ac:dyDescent="0.15">
      <c r="A116" s="218" t="s">
        <v>2123</v>
      </c>
      <c r="B116" s="218" t="s">
        <v>2124</v>
      </c>
      <c r="C116" s="218" t="s">
        <v>1982</v>
      </c>
      <c r="D116" s="218" t="s">
        <v>2125</v>
      </c>
      <c r="E116" s="218" t="s">
        <v>1839</v>
      </c>
      <c r="F116" s="218" t="s">
        <v>1840</v>
      </c>
      <c r="G116" s="218" t="s">
        <v>1841</v>
      </c>
    </row>
    <row r="117" spans="1:7" x14ac:dyDescent="0.15">
      <c r="A117" s="218" t="s">
        <v>2126</v>
      </c>
      <c r="B117" s="218" t="s">
        <v>2127</v>
      </c>
      <c r="C117" s="218" t="s">
        <v>1982</v>
      </c>
      <c r="D117" s="218" t="s">
        <v>2128</v>
      </c>
      <c r="E117" s="218" t="s">
        <v>1839</v>
      </c>
      <c r="F117" s="218" t="s">
        <v>1840</v>
      </c>
      <c r="G117" s="218" t="s">
        <v>1841</v>
      </c>
    </row>
    <row r="118" spans="1:7" x14ac:dyDescent="0.15">
      <c r="A118" s="218" t="s">
        <v>9153</v>
      </c>
      <c r="B118" s="218" t="s">
        <v>9154</v>
      </c>
      <c r="C118" s="218" t="s">
        <v>1982</v>
      </c>
      <c r="D118" s="218" t="s">
        <v>9155</v>
      </c>
      <c r="E118" s="218" t="s">
        <v>1839</v>
      </c>
      <c r="F118" s="218" t="s">
        <v>1840</v>
      </c>
      <c r="G118" s="218" t="s">
        <v>1841</v>
      </c>
    </row>
    <row r="119" spans="1:7" x14ac:dyDescent="0.15">
      <c r="A119" s="218" t="s">
        <v>2129</v>
      </c>
      <c r="B119" s="218" t="s">
        <v>2130</v>
      </c>
      <c r="C119" s="218" t="s">
        <v>1982</v>
      </c>
      <c r="D119" s="218" t="s">
        <v>2131</v>
      </c>
      <c r="E119" s="218" t="s">
        <v>1839</v>
      </c>
      <c r="F119" s="218" t="s">
        <v>1840</v>
      </c>
      <c r="G119" s="218" t="s">
        <v>1841</v>
      </c>
    </row>
    <row r="120" spans="1:7" x14ac:dyDescent="0.15">
      <c r="A120" s="218" t="s">
        <v>2132</v>
      </c>
      <c r="B120" s="218" t="s">
        <v>2133</v>
      </c>
      <c r="C120" s="218" t="s">
        <v>1982</v>
      </c>
      <c r="D120" s="218" t="s">
        <v>2134</v>
      </c>
      <c r="E120" s="218" t="s">
        <v>1839</v>
      </c>
      <c r="F120" s="218" t="s">
        <v>1840</v>
      </c>
      <c r="G120" s="218" t="s">
        <v>1841</v>
      </c>
    </row>
    <row r="121" spans="1:7" x14ac:dyDescent="0.15">
      <c r="A121" s="218" t="s">
        <v>2135</v>
      </c>
      <c r="B121" s="218" t="s">
        <v>597</v>
      </c>
      <c r="C121" s="218" t="s">
        <v>1982</v>
      </c>
      <c r="D121" s="218" t="s">
        <v>2136</v>
      </c>
      <c r="E121" s="218" t="s">
        <v>1839</v>
      </c>
      <c r="F121" s="218" t="s">
        <v>1840</v>
      </c>
      <c r="G121" s="218" t="s">
        <v>1841</v>
      </c>
    </row>
    <row r="122" spans="1:7" x14ac:dyDescent="0.15">
      <c r="A122" s="218" t="s">
        <v>2137</v>
      </c>
      <c r="B122" s="218" t="s">
        <v>2138</v>
      </c>
      <c r="C122" s="218" t="s">
        <v>1982</v>
      </c>
      <c r="D122" s="218" t="s">
        <v>2139</v>
      </c>
      <c r="E122" s="218" t="s">
        <v>1839</v>
      </c>
      <c r="F122" s="218" t="s">
        <v>1840</v>
      </c>
      <c r="G122" s="218" t="s">
        <v>1841</v>
      </c>
    </row>
    <row r="123" spans="1:7" x14ac:dyDescent="0.15">
      <c r="A123" s="218" t="s">
        <v>2140</v>
      </c>
      <c r="B123" s="218" t="s">
        <v>2141</v>
      </c>
      <c r="C123" s="218" t="s">
        <v>1982</v>
      </c>
      <c r="D123" s="218" t="s">
        <v>2142</v>
      </c>
      <c r="E123" s="218" t="s">
        <v>1839</v>
      </c>
      <c r="F123" s="218" t="s">
        <v>1840</v>
      </c>
      <c r="G123" s="218" t="s">
        <v>1841</v>
      </c>
    </row>
    <row r="124" spans="1:7" x14ac:dyDescent="0.15">
      <c r="A124" s="218" t="s">
        <v>2143</v>
      </c>
      <c r="B124" s="218" t="s">
        <v>2144</v>
      </c>
      <c r="C124" s="218" t="s">
        <v>1982</v>
      </c>
      <c r="D124" s="218" t="s">
        <v>2145</v>
      </c>
      <c r="E124" s="218" t="s">
        <v>1839</v>
      </c>
      <c r="F124" s="218" t="s">
        <v>1840</v>
      </c>
      <c r="G124" s="218" t="s">
        <v>1841</v>
      </c>
    </row>
    <row r="125" spans="1:7" x14ac:dyDescent="0.15">
      <c r="A125" s="218" t="s">
        <v>2146</v>
      </c>
      <c r="B125" s="218" t="s">
        <v>2147</v>
      </c>
      <c r="C125" s="218" t="s">
        <v>1982</v>
      </c>
      <c r="D125" s="218" t="s">
        <v>2148</v>
      </c>
      <c r="E125" s="218" t="s">
        <v>1839</v>
      </c>
      <c r="F125" s="218" t="s">
        <v>1840</v>
      </c>
      <c r="G125" s="218" t="s">
        <v>1841</v>
      </c>
    </row>
    <row r="126" spans="1:7" x14ac:dyDescent="0.15">
      <c r="A126" s="218" t="s">
        <v>2149</v>
      </c>
      <c r="B126" s="218" t="s">
        <v>2150</v>
      </c>
      <c r="C126" s="218" t="s">
        <v>1982</v>
      </c>
      <c r="D126" s="218" t="s">
        <v>2151</v>
      </c>
      <c r="E126" s="218" t="s">
        <v>1839</v>
      </c>
      <c r="F126" s="218" t="s">
        <v>1840</v>
      </c>
      <c r="G126" s="218" t="s">
        <v>1841</v>
      </c>
    </row>
    <row r="127" spans="1:7" x14ac:dyDescent="0.15">
      <c r="A127" s="218" t="s">
        <v>2152</v>
      </c>
      <c r="B127" s="218" t="s">
        <v>2153</v>
      </c>
      <c r="C127" s="218" t="s">
        <v>1982</v>
      </c>
      <c r="D127" s="218" t="s">
        <v>2154</v>
      </c>
      <c r="E127" s="218" t="s">
        <v>1839</v>
      </c>
      <c r="F127" s="218" t="s">
        <v>1840</v>
      </c>
      <c r="G127" s="218" t="s">
        <v>1841</v>
      </c>
    </row>
    <row r="128" spans="1:7" x14ac:dyDescent="0.15">
      <c r="A128" s="218" t="s">
        <v>2155</v>
      </c>
      <c r="B128" s="218" t="s">
        <v>2156</v>
      </c>
      <c r="C128" s="218" t="s">
        <v>1982</v>
      </c>
      <c r="D128" s="218" t="s">
        <v>2157</v>
      </c>
      <c r="E128" s="218" t="s">
        <v>1839</v>
      </c>
      <c r="F128" s="218" t="s">
        <v>1840</v>
      </c>
      <c r="G128" s="218" t="s">
        <v>1841</v>
      </c>
    </row>
    <row r="129" spans="1:7" x14ac:dyDescent="0.15">
      <c r="A129" s="218" t="s">
        <v>3884</v>
      </c>
      <c r="B129" s="218" t="s">
        <v>3885</v>
      </c>
      <c r="C129" s="218" t="s">
        <v>1982</v>
      </c>
      <c r="D129" s="218" t="s">
        <v>3886</v>
      </c>
      <c r="E129" s="218" t="s">
        <v>1839</v>
      </c>
      <c r="F129" s="218" t="s">
        <v>1840</v>
      </c>
      <c r="G129" s="218" t="s">
        <v>1841</v>
      </c>
    </row>
    <row r="130" spans="1:7" x14ac:dyDescent="0.15">
      <c r="A130" s="218" t="s">
        <v>2158</v>
      </c>
      <c r="B130" s="218" t="s">
        <v>2159</v>
      </c>
      <c r="C130" s="218" t="s">
        <v>1982</v>
      </c>
      <c r="D130" s="218" t="s">
        <v>2160</v>
      </c>
      <c r="E130" s="218" t="s">
        <v>1839</v>
      </c>
      <c r="F130" s="218" t="s">
        <v>1840</v>
      </c>
      <c r="G130" s="218" t="s">
        <v>1841</v>
      </c>
    </row>
    <row r="131" spans="1:7" x14ac:dyDescent="0.15">
      <c r="A131" s="218" t="s">
        <v>3893</v>
      </c>
      <c r="B131" s="218" t="s">
        <v>3894</v>
      </c>
      <c r="C131" s="218" t="s">
        <v>1982</v>
      </c>
      <c r="D131" s="218" t="s">
        <v>3895</v>
      </c>
      <c r="E131" s="218" t="s">
        <v>1839</v>
      </c>
      <c r="F131" s="218" t="s">
        <v>1840</v>
      </c>
      <c r="G131" s="218" t="s">
        <v>1841</v>
      </c>
    </row>
    <row r="132" spans="1:7" x14ac:dyDescent="0.15">
      <c r="A132" s="218" t="s">
        <v>3896</v>
      </c>
      <c r="B132" s="218" t="s">
        <v>3897</v>
      </c>
      <c r="C132" s="218" t="s">
        <v>1982</v>
      </c>
      <c r="D132" s="218" t="s">
        <v>3898</v>
      </c>
      <c r="E132" s="218" t="s">
        <v>1839</v>
      </c>
      <c r="F132" s="218" t="s">
        <v>1840</v>
      </c>
      <c r="G132" s="218" t="s">
        <v>1841</v>
      </c>
    </row>
    <row r="133" spans="1:7" x14ac:dyDescent="0.15">
      <c r="A133" s="218" t="s">
        <v>2161</v>
      </c>
      <c r="B133" s="218" t="s">
        <v>2162</v>
      </c>
      <c r="C133" s="218" t="s">
        <v>1982</v>
      </c>
      <c r="D133" s="218" t="s">
        <v>2163</v>
      </c>
      <c r="E133" s="218" t="s">
        <v>1839</v>
      </c>
      <c r="F133" s="218" t="s">
        <v>1840</v>
      </c>
      <c r="G133" s="218" t="s">
        <v>1841</v>
      </c>
    </row>
    <row r="134" spans="1:7" x14ac:dyDescent="0.15">
      <c r="A134" s="218" t="s">
        <v>2164</v>
      </c>
      <c r="B134" s="218" t="s">
        <v>2165</v>
      </c>
      <c r="C134" s="218" t="s">
        <v>1982</v>
      </c>
      <c r="D134" s="218" t="s">
        <v>2166</v>
      </c>
      <c r="E134" s="218" t="s">
        <v>1839</v>
      </c>
      <c r="F134" s="218" t="s">
        <v>1840</v>
      </c>
      <c r="G134" s="218" t="s">
        <v>1841</v>
      </c>
    </row>
    <row r="135" spans="1:7" x14ac:dyDescent="0.15">
      <c r="A135" s="218" t="s">
        <v>2167</v>
      </c>
      <c r="B135" s="218" t="s">
        <v>2168</v>
      </c>
      <c r="C135" s="218" t="s">
        <v>1982</v>
      </c>
      <c r="D135" s="218" t="s">
        <v>2169</v>
      </c>
      <c r="E135" s="218" t="s">
        <v>1839</v>
      </c>
      <c r="F135" s="218" t="s">
        <v>1840</v>
      </c>
      <c r="G135" s="218" t="s">
        <v>1841</v>
      </c>
    </row>
    <row r="136" spans="1:7" x14ac:dyDescent="0.15">
      <c r="A136" s="218" t="s">
        <v>2170</v>
      </c>
      <c r="B136" s="218" t="s">
        <v>2171</v>
      </c>
      <c r="C136" s="218" t="s">
        <v>1982</v>
      </c>
      <c r="D136" s="218" t="s">
        <v>2172</v>
      </c>
      <c r="E136" s="218" t="s">
        <v>1839</v>
      </c>
      <c r="F136" s="218" t="s">
        <v>1840</v>
      </c>
      <c r="G136" s="218" t="s">
        <v>1841</v>
      </c>
    </row>
    <row r="137" spans="1:7" x14ac:dyDescent="0.15">
      <c r="A137" s="218" t="s">
        <v>2173</v>
      </c>
      <c r="B137" s="218" t="s">
        <v>2174</v>
      </c>
      <c r="C137" s="218" t="s">
        <v>1982</v>
      </c>
      <c r="D137" s="218" t="s">
        <v>2175</v>
      </c>
      <c r="E137" s="218" t="s">
        <v>1839</v>
      </c>
      <c r="F137" s="218" t="s">
        <v>1840</v>
      </c>
      <c r="G137" s="218" t="s">
        <v>1841</v>
      </c>
    </row>
    <row r="138" spans="1:7" x14ac:dyDescent="0.15">
      <c r="A138" s="218" t="s">
        <v>2176</v>
      </c>
      <c r="B138" s="218" t="s">
        <v>2177</v>
      </c>
      <c r="C138" s="218" t="s">
        <v>1982</v>
      </c>
      <c r="D138" s="218" t="s">
        <v>2178</v>
      </c>
      <c r="E138" s="218" t="s">
        <v>1839</v>
      </c>
      <c r="F138" s="218" t="s">
        <v>1840</v>
      </c>
      <c r="G138" s="218" t="s">
        <v>1841</v>
      </c>
    </row>
    <row r="139" spans="1:7" x14ac:dyDescent="0.15">
      <c r="A139" s="218" t="s">
        <v>2179</v>
      </c>
      <c r="B139" s="218" t="s">
        <v>2180</v>
      </c>
      <c r="C139" s="218" t="s">
        <v>1982</v>
      </c>
      <c r="D139" s="218" t="s">
        <v>2181</v>
      </c>
      <c r="E139" s="218" t="s">
        <v>1839</v>
      </c>
      <c r="F139" s="218" t="s">
        <v>1840</v>
      </c>
      <c r="G139" s="218" t="s">
        <v>1841</v>
      </c>
    </row>
    <row r="140" spans="1:7" x14ac:dyDescent="0.15">
      <c r="A140" s="218" t="s">
        <v>2182</v>
      </c>
      <c r="B140" s="218" t="s">
        <v>2183</v>
      </c>
      <c r="C140" s="218" t="s">
        <v>1982</v>
      </c>
      <c r="D140" s="218" t="s">
        <v>2184</v>
      </c>
      <c r="E140" s="218" t="s">
        <v>1839</v>
      </c>
      <c r="F140" s="218" t="s">
        <v>1840</v>
      </c>
      <c r="G140" s="218" t="s">
        <v>1841</v>
      </c>
    </row>
    <row r="141" spans="1:7" x14ac:dyDescent="0.15">
      <c r="A141" s="218" t="s">
        <v>2185</v>
      </c>
      <c r="B141" s="218" t="s">
        <v>2186</v>
      </c>
      <c r="C141" s="218" t="s">
        <v>1982</v>
      </c>
      <c r="D141" s="218" t="s">
        <v>2187</v>
      </c>
      <c r="E141" s="218" t="s">
        <v>1839</v>
      </c>
      <c r="F141" s="218" t="s">
        <v>1840</v>
      </c>
      <c r="G141" s="218" t="s">
        <v>1841</v>
      </c>
    </row>
    <row r="142" spans="1:7" x14ac:dyDescent="0.15">
      <c r="A142" s="218" t="s">
        <v>2188</v>
      </c>
      <c r="B142" s="218" t="s">
        <v>2189</v>
      </c>
      <c r="C142" s="218" t="s">
        <v>1982</v>
      </c>
      <c r="D142" s="218" t="s">
        <v>2190</v>
      </c>
      <c r="E142" s="218" t="s">
        <v>1839</v>
      </c>
      <c r="F142" s="218" t="s">
        <v>1840</v>
      </c>
      <c r="G142" s="218" t="s">
        <v>1841</v>
      </c>
    </row>
    <row r="143" spans="1:7" x14ac:dyDescent="0.15">
      <c r="A143" s="218" t="s">
        <v>2191</v>
      </c>
      <c r="B143" s="218" t="s">
        <v>2192</v>
      </c>
      <c r="C143" s="218" t="s">
        <v>1982</v>
      </c>
      <c r="D143" s="218" t="s">
        <v>2193</v>
      </c>
      <c r="E143" s="218" t="s">
        <v>1839</v>
      </c>
      <c r="F143" s="218" t="s">
        <v>1840</v>
      </c>
      <c r="G143" s="218" t="s">
        <v>1841</v>
      </c>
    </row>
    <row r="144" spans="1:7" x14ac:dyDescent="0.15">
      <c r="A144" s="218" t="s">
        <v>2194</v>
      </c>
      <c r="B144" s="218" t="s">
        <v>2195</v>
      </c>
      <c r="C144" s="218" t="s">
        <v>1982</v>
      </c>
      <c r="D144" s="218" t="s">
        <v>2196</v>
      </c>
      <c r="E144" s="218" t="s">
        <v>1839</v>
      </c>
      <c r="F144" s="218" t="s">
        <v>1840</v>
      </c>
      <c r="G144" s="218" t="s">
        <v>1841</v>
      </c>
    </row>
    <row r="145" spans="1:7" x14ac:dyDescent="0.15">
      <c r="A145" s="218" t="s">
        <v>2197</v>
      </c>
      <c r="B145" s="218" t="s">
        <v>2198</v>
      </c>
      <c r="C145" s="218" t="s">
        <v>1982</v>
      </c>
      <c r="D145" s="218" t="s">
        <v>2199</v>
      </c>
      <c r="E145" s="218" t="s">
        <v>1839</v>
      </c>
      <c r="F145" s="218" t="s">
        <v>1840</v>
      </c>
      <c r="G145" s="218" t="s">
        <v>1841</v>
      </c>
    </row>
    <row r="146" spans="1:7" x14ac:dyDescent="0.15">
      <c r="A146" s="218" t="s">
        <v>3943</v>
      </c>
      <c r="B146" s="218" t="s">
        <v>3944</v>
      </c>
      <c r="C146" s="218" t="s">
        <v>1982</v>
      </c>
      <c r="D146" s="218" t="s">
        <v>3945</v>
      </c>
      <c r="E146" s="218" t="s">
        <v>1839</v>
      </c>
      <c r="F146" s="218" t="s">
        <v>1840</v>
      </c>
      <c r="G146" s="218" t="s">
        <v>1841</v>
      </c>
    </row>
    <row r="147" spans="1:7" x14ac:dyDescent="0.15">
      <c r="A147" s="218" t="s">
        <v>2200</v>
      </c>
      <c r="B147" s="218" t="s">
        <v>2201</v>
      </c>
      <c r="C147" s="218" t="s">
        <v>1982</v>
      </c>
      <c r="D147" s="218" t="s">
        <v>2202</v>
      </c>
      <c r="E147" s="218" t="s">
        <v>1839</v>
      </c>
      <c r="F147" s="218" t="s">
        <v>1840</v>
      </c>
      <c r="G147" s="218" t="s">
        <v>1841</v>
      </c>
    </row>
    <row r="148" spans="1:7" x14ac:dyDescent="0.15">
      <c r="A148" s="218" t="s">
        <v>2203</v>
      </c>
      <c r="B148" s="218" t="s">
        <v>2204</v>
      </c>
      <c r="C148" s="218" t="s">
        <v>1982</v>
      </c>
      <c r="D148" s="218" t="s">
        <v>2205</v>
      </c>
      <c r="E148" s="218" t="s">
        <v>1839</v>
      </c>
      <c r="F148" s="218" t="s">
        <v>1840</v>
      </c>
      <c r="G148" s="218" t="s">
        <v>1841</v>
      </c>
    </row>
    <row r="149" spans="1:7" x14ac:dyDescent="0.15">
      <c r="A149" s="218" t="s">
        <v>2206</v>
      </c>
      <c r="B149" s="218" t="s">
        <v>2207</v>
      </c>
      <c r="C149" s="218" t="s">
        <v>1982</v>
      </c>
      <c r="D149" s="218" t="s">
        <v>2208</v>
      </c>
      <c r="E149" s="218" t="s">
        <v>1839</v>
      </c>
      <c r="F149" s="218" t="s">
        <v>1840</v>
      </c>
      <c r="G149" s="218" t="s">
        <v>1841</v>
      </c>
    </row>
    <row r="150" spans="1:7" x14ac:dyDescent="0.15">
      <c r="A150" s="218" t="s">
        <v>2209</v>
      </c>
      <c r="B150" s="218" t="s">
        <v>2210</v>
      </c>
      <c r="C150" s="218" t="s">
        <v>1982</v>
      </c>
      <c r="D150" s="218" t="s">
        <v>2211</v>
      </c>
      <c r="E150" s="218" t="s">
        <v>1839</v>
      </c>
      <c r="F150" s="218" t="s">
        <v>1840</v>
      </c>
      <c r="G150" s="218" t="s">
        <v>1841</v>
      </c>
    </row>
    <row r="151" spans="1:7" x14ac:dyDescent="0.15">
      <c r="A151" s="218" t="s">
        <v>2212</v>
      </c>
      <c r="B151" s="218" t="s">
        <v>2213</v>
      </c>
      <c r="C151" s="218" t="s">
        <v>1982</v>
      </c>
      <c r="D151" s="218" t="s">
        <v>2214</v>
      </c>
      <c r="E151" s="218" t="s">
        <v>1839</v>
      </c>
      <c r="F151" s="218" t="s">
        <v>1840</v>
      </c>
      <c r="G151" s="218" t="s">
        <v>1841</v>
      </c>
    </row>
    <row r="152" spans="1:7" x14ac:dyDescent="0.15">
      <c r="A152" s="218" t="s">
        <v>2510</v>
      </c>
      <c r="B152" s="218" t="s">
        <v>9156</v>
      </c>
      <c r="C152" s="218" t="s">
        <v>1982</v>
      </c>
      <c r="D152" s="218" t="s">
        <v>9157</v>
      </c>
      <c r="E152" s="218" t="s">
        <v>1839</v>
      </c>
      <c r="F152" s="218" t="s">
        <v>1840</v>
      </c>
      <c r="G152" s="218" t="s">
        <v>1841</v>
      </c>
    </row>
    <row r="153" spans="1:7" x14ac:dyDescent="0.15">
      <c r="A153" s="218" t="s">
        <v>2215</v>
      </c>
      <c r="B153" s="218" t="s">
        <v>2216</v>
      </c>
      <c r="C153" s="218" t="s">
        <v>1982</v>
      </c>
      <c r="D153" s="218" t="s">
        <v>2217</v>
      </c>
      <c r="E153" s="218" t="s">
        <v>1839</v>
      </c>
      <c r="F153" s="218" t="s">
        <v>1840</v>
      </c>
      <c r="G153" s="218" t="s">
        <v>1841</v>
      </c>
    </row>
    <row r="154" spans="1:7" x14ac:dyDescent="0.15">
      <c r="A154" s="218" t="s">
        <v>4020</v>
      </c>
      <c r="B154" s="218" t="s">
        <v>4021</v>
      </c>
      <c r="C154" s="218" t="s">
        <v>1982</v>
      </c>
      <c r="D154" s="218" t="s">
        <v>4022</v>
      </c>
      <c r="E154" s="218" t="s">
        <v>1839</v>
      </c>
      <c r="F154" s="218" t="s">
        <v>1840</v>
      </c>
      <c r="G154" s="218" t="s">
        <v>1841</v>
      </c>
    </row>
    <row r="155" spans="1:7" x14ac:dyDescent="0.15">
      <c r="A155" s="218" t="s">
        <v>2219</v>
      </c>
      <c r="B155" s="218" t="s">
        <v>2220</v>
      </c>
      <c r="C155" s="218" t="s">
        <v>1982</v>
      </c>
      <c r="D155" s="218" t="s">
        <v>2221</v>
      </c>
      <c r="E155" s="218" t="s">
        <v>1839</v>
      </c>
      <c r="F155" s="218" t="s">
        <v>1840</v>
      </c>
      <c r="G155" s="218" t="s">
        <v>1841</v>
      </c>
    </row>
    <row r="156" spans="1:7" x14ac:dyDescent="0.15">
      <c r="A156" s="218" t="s">
        <v>2222</v>
      </c>
      <c r="B156" s="218" t="s">
        <v>2223</v>
      </c>
      <c r="C156" s="218" t="s">
        <v>1982</v>
      </c>
      <c r="D156" s="218" t="s">
        <v>2224</v>
      </c>
      <c r="E156" s="218" t="s">
        <v>1839</v>
      </c>
      <c r="F156" s="218" t="s">
        <v>1840</v>
      </c>
      <c r="G156" s="218" t="s">
        <v>1841</v>
      </c>
    </row>
    <row r="157" spans="1:7" x14ac:dyDescent="0.15">
      <c r="A157" s="218" t="s">
        <v>2225</v>
      </c>
      <c r="B157" s="218" t="s">
        <v>2226</v>
      </c>
      <c r="C157" s="218" t="s">
        <v>1982</v>
      </c>
      <c r="D157" s="218" t="s">
        <v>2227</v>
      </c>
      <c r="E157" s="218" t="s">
        <v>1839</v>
      </c>
      <c r="F157" s="218" t="s">
        <v>1840</v>
      </c>
      <c r="G157" s="218" t="s">
        <v>1841</v>
      </c>
    </row>
    <row r="158" spans="1:7" x14ac:dyDescent="0.15">
      <c r="A158" s="218" t="s">
        <v>2228</v>
      </c>
      <c r="B158" s="218" t="s">
        <v>2229</v>
      </c>
      <c r="C158" s="218" t="s">
        <v>1982</v>
      </c>
      <c r="D158" s="218" t="s">
        <v>2230</v>
      </c>
      <c r="E158" s="218" t="s">
        <v>1839</v>
      </c>
      <c r="F158" s="218" t="s">
        <v>1840</v>
      </c>
      <c r="G158" s="218" t="s">
        <v>1841</v>
      </c>
    </row>
    <row r="159" spans="1:7" x14ac:dyDescent="0.15">
      <c r="A159" s="218" t="s">
        <v>2231</v>
      </c>
      <c r="B159" s="218" t="s">
        <v>2232</v>
      </c>
      <c r="C159" s="218" t="s">
        <v>1982</v>
      </c>
      <c r="D159" s="218" t="s">
        <v>2233</v>
      </c>
      <c r="E159" s="218" t="s">
        <v>1839</v>
      </c>
      <c r="F159" s="218" t="s">
        <v>1840</v>
      </c>
      <c r="G159" s="218" t="s">
        <v>1841</v>
      </c>
    </row>
    <row r="160" spans="1:7" x14ac:dyDescent="0.15">
      <c r="A160" s="218" t="s">
        <v>2234</v>
      </c>
      <c r="B160" s="218" t="s">
        <v>2235</v>
      </c>
      <c r="C160" s="218" t="s">
        <v>1982</v>
      </c>
      <c r="D160" s="218" t="s">
        <v>2236</v>
      </c>
      <c r="E160" s="218" t="s">
        <v>1839</v>
      </c>
      <c r="F160" s="218" t="s">
        <v>1840</v>
      </c>
      <c r="G160" s="218" t="s">
        <v>1841</v>
      </c>
    </row>
    <row r="161" spans="1:7" x14ac:dyDescent="0.15">
      <c r="A161" s="218" t="s">
        <v>2237</v>
      </c>
      <c r="B161" s="218" t="s">
        <v>2238</v>
      </c>
      <c r="C161" s="218" t="s">
        <v>1982</v>
      </c>
      <c r="D161" s="218" t="s">
        <v>2239</v>
      </c>
      <c r="E161" s="218" t="s">
        <v>1839</v>
      </c>
      <c r="F161" s="218" t="s">
        <v>1840</v>
      </c>
      <c r="G161" s="218" t="s">
        <v>1841</v>
      </c>
    </row>
    <row r="162" spans="1:7" x14ac:dyDescent="0.15">
      <c r="A162" s="218" t="s">
        <v>2240</v>
      </c>
      <c r="B162" s="218" t="s">
        <v>2241</v>
      </c>
      <c r="C162" s="218" t="s">
        <v>1982</v>
      </c>
      <c r="D162" s="218" t="s">
        <v>2242</v>
      </c>
      <c r="E162" s="218" t="s">
        <v>1839</v>
      </c>
      <c r="F162" s="218" t="s">
        <v>1840</v>
      </c>
      <c r="G162" s="218" t="s">
        <v>1841</v>
      </c>
    </row>
    <row r="163" spans="1:7" x14ac:dyDescent="0.15">
      <c r="A163" s="218" t="s">
        <v>2243</v>
      </c>
      <c r="B163" s="218" t="s">
        <v>2244</v>
      </c>
      <c r="C163" s="218" t="s">
        <v>1982</v>
      </c>
      <c r="D163" s="218" t="s">
        <v>2245</v>
      </c>
      <c r="E163" s="218" t="s">
        <v>1839</v>
      </c>
      <c r="F163" s="218" t="s">
        <v>1840</v>
      </c>
      <c r="G163" s="218" t="s">
        <v>1841</v>
      </c>
    </row>
    <row r="164" spans="1:7" x14ac:dyDescent="0.15">
      <c r="A164" s="218" t="s">
        <v>2246</v>
      </c>
      <c r="B164" s="218" t="s">
        <v>2247</v>
      </c>
      <c r="C164" s="218" t="s">
        <v>1982</v>
      </c>
      <c r="D164" s="218" t="s">
        <v>2248</v>
      </c>
      <c r="E164" s="218" t="s">
        <v>1839</v>
      </c>
      <c r="F164" s="218" t="s">
        <v>1840</v>
      </c>
      <c r="G164" s="218" t="s">
        <v>1841</v>
      </c>
    </row>
    <row r="165" spans="1:7" x14ac:dyDescent="0.15">
      <c r="A165" s="218" t="s">
        <v>2249</v>
      </c>
      <c r="B165" s="218" t="s">
        <v>2250</v>
      </c>
      <c r="C165" s="218" t="s">
        <v>1982</v>
      </c>
      <c r="D165" s="218" t="s">
        <v>2251</v>
      </c>
      <c r="E165" s="218" t="s">
        <v>1839</v>
      </c>
      <c r="F165" s="218" t="s">
        <v>1840</v>
      </c>
      <c r="G165" s="218" t="s">
        <v>1841</v>
      </c>
    </row>
    <row r="166" spans="1:7" x14ac:dyDescent="0.15">
      <c r="A166" s="218" t="s">
        <v>2252</v>
      </c>
      <c r="B166" s="218" t="s">
        <v>2253</v>
      </c>
      <c r="C166" s="218" t="s">
        <v>1982</v>
      </c>
      <c r="D166" s="218" t="s">
        <v>2254</v>
      </c>
      <c r="E166" s="218" t="s">
        <v>1839</v>
      </c>
      <c r="F166" s="218" t="s">
        <v>1840</v>
      </c>
      <c r="G166" s="218" t="s">
        <v>1841</v>
      </c>
    </row>
    <row r="167" spans="1:7" x14ac:dyDescent="0.15">
      <c r="A167" s="218" t="s">
        <v>2255</v>
      </c>
      <c r="B167" s="218" t="s">
        <v>2256</v>
      </c>
      <c r="C167" s="218" t="s">
        <v>1982</v>
      </c>
      <c r="D167" s="218" t="s">
        <v>2257</v>
      </c>
      <c r="E167" s="218" t="s">
        <v>1839</v>
      </c>
      <c r="F167" s="218" t="s">
        <v>1840</v>
      </c>
      <c r="G167" s="218" t="s">
        <v>1841</v>
      </c>
    </row>
    <row r="168" spans="1:7" x14ac:dyDescent="0.15">
      <c r="A168" s="218" t="s">
        <v>2258</v>
      </c>
      <c r="B168" s="218" t="s">
        <v>2259</v>
      </c>
      <c r="C168" s="218" t="s">
        <v>1982</v>
      </c>
      <c r="D168" s="218" t="s">
        <v>2260</v>
      </c>
      <c r="E168" s="218" t="s">
        <v>1839</v>
      </c>
      <c r="F168" s="218" t="s">
        <v>1840</v>
      </c>
      <c r="G168" s="218" t="s">
        <v>1841</v>
      </c>
    </row>
    <row r="169" spans="1:7" x14ac:dyDescent="0.15">
      <c r="A169" s="218" t="s">
        <v>2261</v>
      </c>
      <c r="B169" s="218" t="s">
        <v>2262</v>
      </c>
      <c r="C169" s="218" t="s">
        <v>1982</v>
      </c>
      <c r="D169" s="218" t="s">
        <v>2263</v>
      </c>
      <c r="E169" s="218" t="s">
        <v>1839</v>
      </c>
      <c r="F169" s="218" t="s">
        <v>1840</v>
      </c>
      <c r="G169" s="218" t="s">
        <v>1841</v>
      </c>
    </row>
    <row r="170" spans="1:7" x14ac:dyDescent="0.15">
      <c r="A170" s="218" t="s">
        <v>2264</v>
      </c>
      <c r="B170" s="218" t="s">
        <v>2265</v>
      </c>
      <c r="C170" s="218" t="s">
        <v>1982</v>
      </c>
      <c r="D170" s="218" t="s">
        <v>2266</v>
      </c>
      <c r="E170" s="218" t="s">
        <v>1839</v>
      </c>
      <c r="F170" s="218" t="s">
        <v>1840</v>
      </c>
      <c r="G170" s="218" t="s">
        <v>1841</v>
      </c>
    </row>
    <row r="171" spans="1:7" x14ac:dyDescent="0.15">
      <c r="A171" s="218" t="s">
        <v>2267</v>
      </c>
      <c r="B171" s="218" t="s">
        <v>2268</v>
      </c>
      <c r="C171" s="218" t="s">
        <v>1982</v>
      </c>
      <c r="D171" s="218" t="s">
        <v>2269</v>
      </c>
      <c r="E171" s="218" t="s">
        <v>1839</v>
      </c>
      <c r="F171" s="218" t="s">
        <v>1840</v>
      </c>
      <c r="G171" s="218" t="s">
        <v>1841</v>
      </c>
    </row>
    <row r="172" spans="1:7" x14ac:dyDescent="0.15">
      <c r="A172" s="218" t="s">
        <v>2270</v>
      </c>
      <c r="B172" s="218" t="s">
        <v>2271</v>
      </c>
      <c r="C172" s="218" t="s">
        <v>1982</v>
      </c>
      <c r="D172" s="218" t="s">
        <v>2272</v>
      </c>
      <c r="E172" s="218" t="s">
        <v>1839</v>
      </c>
      <c r="F172" s="218" t="s">
        <v>1840</v>
      </c>
      <c r="G172" s="218" t="s">
        <v>1841</v>
      </c>
    </row>
    <row r="173" spans="1:7" x14ac:dyDescent="0.15">
      <c r="A173" s="218" t="s">
        <v>2273</v>
      </c>
      <c r="B173" s="218" t="s">
        <v>2274</v>
      </c>
      <c r="C173" s="218" t="s">
        <v>1982</v>
      </c>
      <c r="D173" s="218" t="s">
        <v>2275</v>
      </c>
      <c r="E173" s="218" t="s">
        <v>1839</v>
      </c>
      <c r="F173" s="218" t="s">
        <v>1840</v>
      </c>
      <c r="G173" s="218" t="s">
        <v>1841</v>
      </c>
    </row>
    <row r="174" spans="1:7" x14ac:dyDescent="0.15">
      <c r="A174" s="218" t="s">
        <v>6790</v>
      </c>
      <c r="B174" s="218" t="s">
        <v>9158</v>
      </c>
      <c r="C174" s="218" t="s">
        <v>1982</v>
      </c>
      <c r="D174" s="218" t="s">
        <v>9159</v>
      </c>
      <c r="E174" s="218" t="s">
        <v>1839</v>
      </c>
      <c r="F174" s="218" t="s">
        <v>1840</v>
      </c>
      <c r="G174" s="218" t="s">
        <v>1841</v>
      </c>
    </row>
    <row r="175" spans="1:7" x14ac:dyDescent="0.15">
      <c r="A175" s="218" t="s">
        <v>2276</v>
      </c>
      <c r="B175" s="218" t="s">
        <v>2277</v>
      </c>
      <c r="C175" s="218" t="s">
        <v>1982</v>
      </c>
      <c r="D175" s="218" t="s">
        <v>2278</v>
      </c>
      <c r="E175" s="218" t="s">
        <v>1839</v>
      </c>
      <c r="F175" s="218" t="s">
        <v>1840</v>
      </c>
      <c r="G175" s="218" t="s">
        <v>1841</v>
      </c>
    </row>
    <row r="176" spans="1:7" x14ac:dyDescent="0.15">
      <c r="A176" s="218" t="s">
        <v>2279</v>
      </c>
      <c r="B176" s="218" t="s">
        <v>2280</v>
      </c>
      <c r="C176" s="218" t="s">
        <v>1982</v>
      </c>
      <c r="D176" s="218" t="s">
        <v>2281</v>
      </c>
      <c r="E176" s="218" t="s">
        <v>1839</v>
      </c>
      <c r="F176" s="218" t="s">
        <v>1840</v>
      </c>
      <c r="G176" s="218" t="s">
        <v>1841</v>
      </c>
    </row>
    <row r="177" spans="1:7" x14ac:dyDescent="0.15">
      <c r="A177" s="218" t="s">
        <v>2282</v>
      </c>
      <c r="B177" s="218" t="s">
        <v>2283</v>
      </c>
      <c r="C177" s="218" t="s">
        <v>1982</v>
      </c>
      <c r="D177" s="218" t="s">
        <v>2284</v>
      </c>
      <c r="E177" s="218" t="s">
        <v>1839</v>
      </c>
      <c r="F177" s="218" t="s">
        <v>1840</v>
      </c>
      <c r="G177" s="218" t="s">
        <v>1841</v>
      </c>
    </row>
    <row r="178" spans="1:7" x14ac:dyDescent="0.15">
      <c r="A178" s="218" t="s">
        <v>2285</v>
      </c>
      <c r="B178" s="218" t="s">
        <v>2286</v>
      </c>
      <c r="C178" s="218" t="s">
        <v>1982</v>
      </c>
      <c r="D178" s="218" t="s">
        <v>2287</v>
      </c>
      <c r="E178" s="218" t="s">
        <v>1839</v>
      </c>
      <c r="F178" s="218" t="s">
        <v>1840</v>
      </c>
      <c r="G178" s="218" t="s">
        <v>1841</v>
      </c>
    </row>
    <row r="179" spans="1:7" x14ac:dyDescent="0.15">
      <c r="A179" s="218" t="s">
        <v>4173</v>
      </c>
      <c r="B179" s="218" t="s">
        <v>4174</v>
      </c>
      <c r="C179" s="218" t="s">
        <v>1982</v>
      </c>
      <c r="D179" s="218" t="s">
        <v>4175</v>
      </c>
      <c r="E179" s="218" t="s">
        <v>1839</v>
      </c>
      <c r="F179" s="218" t="s">
        <v>1840</v>
      </c>
      <c r="G179" s="218" t="s">
        <v>1841</v>
      </c>
    </row>
    <row r="180" spans="1:7" x14ac:dyDescent="0.15">
      <c r="A180" s="218" t="s">
        <v>2288</v>
      </c>
      <c r="B180" s="218" t="s">
        <v>2289</v>
      </c>
      <c r="C180" s="218" t="s">
        <v>1982</v>
      </c>
      <c r="D180" s="218" t="s">
        <v>2290</v>
      </c>
      <c r="E180" s="218" t="s">
        <v>1839</v>
      </c>
      <c r="F180" s="218" t="s">
        <v>1840</v>
      </c>
      <c r="G180" s="218" t="s">
        <v>1841</v>
      </c>
    </row>
    <row r="181" spans="1:7" x14ac:dyDescent="0.15">
      <c r="A181" s="218" t="s">
        <v>2291</v>
      </c>
      <c r="B181" s="218" t="s">
        <v>2292</v>
      </c>
      <c r="C181" s="218" t="s">
        <v>1982</v>
      </c>
      <c r="D181" s="218" t="s">
        <v>2293</v>
      </c>
      <c r="E181" s="218" t="s">
        <v>1839</v>
      </c>
      <c r="F181" s="218" t="s">
        <v>1840</v>
      </c>
      <c r="G181" s="218" t="s">
        <v>1841</v>
      </c>
    </row>
    <row r="182" spans="1:7" x14ac:dyDescent="0.15">
      <c r="A182" s="218" t="s">
        <v>2294</v>
      </c>
      <c r="B182" s="218" t="s">
        <v>577</v>
      </c>
      <c r="C182" s="218" t="s">
        <v>1982</v>
      </c>
      <c r="D182" s="218" t="s">
        <v>2295</v>
      </c>
      <c r="E182" s="218" t="s">
        <v>1839</v>
      </c>
      <c r="F182" s="218" t="s">
        <v>1840</v>
      </c>
      <c r="G182" s="218" t="s">
        <v>1841</v>
      </c>
    </row>
    <row r="183" spans="1:7" x14ac:dyDescent="0.15">
      <c r="A183" s="218" t="s">
        <v>2296</v>
      </c>
      <c r="B183" s="218" t="s">
        <v>2297</v>
      </c>
      <c r="C183" s="218" t="s">
        <v>1982</v>
      </c>
      <c r="D183" s="218" t="s">
        <v>2298</v>
      </c>
      <c r="E183" s="218" t="s">
        <v>1839</v>
      </c>
      <c r="F183" s="218" t="s">
        <v>1840</v>
      </c>
      <c r="G183" s="218" t="s">
        <v>1841</v>
      </c>
    </row>
    <row r="184" spans="1:7" x14ac:dyDescent="0.15">
      <c r="A184" s="218" t="s">
        <v>2299</v>
      </c>
      <c r="B184" s="218" t="s">
        <v>2300</v>
      </c>
      <c r="C184" s="218" t="s">
        <v>1982</v>
      </c>
      <c r="D184" s="218" t="s">
        <v>2301</v>
      </c>
      <c r="E184" s="218" t="s">
        <v>1839</v>
      </c>
      <c r="F184" s="218" t="s">
        <v>1840</v>
      </c>
      <c r="G184" s="218" t="s">
        <v>1841</v>
      </c>
    </row>
    <row r="185" spans="1:7" x14ac:dyDescent="0.15">
      <c r="A185" s="218" t="s">
        <v>2302</v>
      </c>
      <c r="B185" s="218" t="s">
        <v>2303</v>
      </c>
      <c r="C185" s="218" t="s">
        <v>1982</v>
      </c>
      <c r="D185" s="218" t="s">
        <v>2304</v>
      </c>
      <c r="E185" s="218" t="s">
        <v>1839</v>
      </c>
      <c r="F185" s="218" t="s">
        <v>1840</v>
      </c>
      <c r="G185" s="218" t="s">
        <v>1841</v>
      </c>
    </row>
    <row r="186" spans="1:7" x14ac:dyDescent="0.15">
      <c r="A186" s="218" t="s">
        <v>9160</v>
      </c>
      <c r="B186" s="218" t="s">
        <v>9161</v>
      </c>
      <c r="C186" s="218" t="s">
        <v>1982</v>
      </c>
      <c r="D186" s="218" t="s">
        <v>9162</v>
      </c>
      <c r="E186" s="218" t="s">
        <v>1839</v>
      </c>
      <c r="F186" s="218" t="s">
        <v>1840</v>
      </c>
      <c r="G186" s="218" t="s">
        <v>1841</v>
      </c>
    </row>
    <row r="187" spans="1:7" x14ac:dyDescent="0.15">
      <c r="A187" s="218" t="s">
        <v>2305</v>
      </c>
      <c r="B187" s="218" t="s">
        <v>2306</v>
      </c>
      <c r="C187" s="218" t="s">
        <v>1982</v>
      </c>
      <c r="D187" s="218" t="s">
        <v>2307</v>
      </c>
      <c r="E187" s="218" t="s">
        <v>1839</v>
      </c>
      <c r="F187" s="218" t="s">
        <v>1840</v>
      </c>
      <c r="G187" s="218" t="s">
        <v>1841</v>
      </c>
    </row>
    <row r="188" spans="1:7" x14ac:dyDescent="0.15">
      <c r="A188" s="218" t="s">
        <v>9664</v>
      </c>
      <c r="B188" s="218" t="s">
        <v>9665</v>
      </c>
      <c r="C188" s="218" t="s">
        <v>1982</v>
      </c>
      <c r="D188" s="218" t="s">
        <v>9666</v>
      </c>
      <c r="E188" s="218" t="s">
        <v>1839</v>
      </c>
      <c r="F188" s="218" t="s">
        <v>1840</v>
      </c>
      <c r="G188" s="218" t="s">
        <v>1841</v>
      </c>
    </row>
    <row r="189" spans="1:7" x14ac:dyDescent="0.15">
      <c r="A189" s="218" t="s">
        <v>2308</v>
      </c>
      <c r="B189" s="218" t="s">
        <v>2309</v>
      </c>
      <c r="C189" s="218" t="s">
        <v>1982</v>
      </c>
      <c r="D189" s="218" t="s">
        <v>2310</v>
      </c>
      <c r="E189" s="218" t="s">
        <v>1839</v>
      </c>
      <c r="F189" s="218" t="s">
        <v>1840</v>
      </c>
      <c r="G189" s="218" t="s">
        <v>1841</v>
      </c>
    </row>
    <row r="190" spans="1:7" x14ac:dyDescent="0.15">
      <c r="A190" s="218" t="s">
        <v>2311</v>
      </c>
      <c r="B190" s="218" t="s">
        <v>2312</v>
      </c>
      <c r="C190" s="218" t="s">
        <v>1982</v>
      </c>
      <c r="D190" s="218" t="s">
        <v>2313</v>
      </c>
      <c r="E190" s="218" t="s">
        <v>1839</v>
      </c>
      <c r="F190" s="218" t="s">
        <v>1840</v>
      </c>
      <c r="G190" s="218" t="s">
        <v>1841</v>
      </c>
    </row>
    <row r="191" spans="1:7" x14ac:dyDescent="0.15">
      <c r="A191" s="218" t="s">
        <v>2314</v>
      </c>
      <c r="B191" s="218" t="s">
        <v>2315</v>
      </c>
      <c r="C191" s="218" t="s">
        <v>1982</v>
      </c>
      <c r="D191" s="218" t="s">
        <v>2316</v>
      </c>
      <c r="E191" s="218" t="s">
        <v>1839</v>
      </c>
      <c r="F191" s="218" t="s">
        <v>1840</v>
      </c>
      <c r="G191" s="218" t="s">
        <v>1841</v>
      </c>
    </row>
    <row r="192" spans="1:7" x14ac:dyDescent="0.15">
      <c r="A192" s="218" t="s">
        <v>2317</v>
      </c>
      <c r="B192" s="218" t="s">
        <v>2318</v>
      </c>
      <c r="C192" s="218" t="s">
        <v>1982</v>
      </c>
      <c r="D192" s="218" t="s">
        <v>2319</v>
      </c>
      <c r="E192" s="218" t="s">
        <v>1839</v>
      </c>
      <c r="F192" s="218" t="s">
        <v>1840</v>
      </c>
      <c r="G192" s="218" t="s">
        <v>1841</v>
      </c>
    </row>
    <row r="193" spans="1:7" x14ac:dyDescent="0.15">
      <c r="A193" s="218" t="s">
        <v>2320</v>
      </c>
      <c r="B193" s="218" t="s">
        <v>2321</v>
      </c>
      <c r="C193" s="218" t="s">
        <v>1982</v>
      </c>
      <c r="D193" s="218" t="s">
        <v>2322</v>
      </c>
      <c r="E193" s="218" t="s">
        <v>1839</v>
      </c>
      <c r="F193" s="218" t="s">
        <v>1840</v>
      </c>
      <c r="G193" s="218" t="s">
        <v>1841</v>
      </c>
    </row>
    <row r="194" spans="1:7" x14ac:dyDescent="0.15">
      <c r="A194" s="218" t="s">
        <v>2323</v>
      </c>
      <c r="B194" s="218" t="s">
        <v>556</v>
      </c>
      <c r="C194" s="218" t="s">
        <v>1982</v>
      </c>
      <c r="D194" s="218" t="s">
        <v>2324</v>
      </c>
      <c r="E194" s="218" t="s">
        <v>1839</v>
      </c>
      <c r="F194" s="218" t="s">
        <v>1840</v>
      </c>
      <c r="G194" s="218" t="s">
        <v>1841</v>
      </c>
    </row>
    <row r="195" spans="1:7" x14ac:dyDescent="0.15">
      <c r="A195" s="218" t="s">
        <v>4227</v>
      </c>
      <c r="B195" s="218" t="s">
        <v>4228</v>
      </c>
      <c r="C195" s="218" t="s">
        <v>1982</v>
      </c>
      <c r="D195" s="218" t="s">
        <v>4229</v>
      </c>
      <c r="E195" s="218" t="s">
        <v>1839</v>
      </c>
      <c r="F195" s="218" t="s">
        <v>1840</v>
      </c>
      <c r="G195" s="218" t="s">
        <v>1841</v>
      </c>
    </row>
    <row r="196" spans="1:7" x14ac:dyDescent="0.15">
      <c r="A196" s="218" t="s">
        <v>2325</v>
      </c>
      <c r="B196" s="218" t="s">
        <v>2326</v>
      </c>
      <c r="C196" s="218" t="s">
        <v>1982</v>
      </c>
      <c r="D196" s="218" t="s">
        <v>2327</v>
      </c>
      <c r="E196" s="218" t="s">
        <v>1839</v>
      </c>
      <c r="F196" s="218" t="s">
        <v>1840</v>
      </c>
      <c r="G196" s="218" t="s">
        <v>1841</v>
      </c>
    </row>
    <row r="197" spans="1:7" x14ac:dyDescent="0.15">
      <c r="A197" s="218" t="s">
        <v>2328</v>
      </c>
      <c r="B197" s="218" t="s">
        <v>2329</v>
      </c>
      <c r="C197" s="218" t="s">
        <v>1982</v>
      </c>
      <c r="D197" s="218" t="s">
        <v>2330</v>
      </c>
      <c r="E197" s="218" t="s">
        <v>1839</v>
      </c>
      <c r="F197" s="218" t="s">
        <v>1840</v>
      </c>
      <c r="G197" s="218" t="s">
        <v>1841</v>
      </c>
    </row>
    <row r="198" spans="1:7" x14ac:dyDescent="0.15">
      <c r="A198" s="218" t="s">
        <v>2331</v>
      </c>
      <c r="B198" s="218" t="s">
        <v>2332</v>
      </c>
      <c r="C198" s="218" t="s">
        <v>1982</v>
      </c>
      <c r="D198" s="218" t="s">
        <v>2333</v>
      </c>
      <c r="E198" s="218" t="s">
        <v>1839</v>
      </c>
      <c r="F198" s="218" t="s">
        <v>1840</v>
      </c>
      <c r="G198" s="218" t="s">
        <v>1841</v>
      </c>
    </row>
    <row r="199" spans="1:7" x14ac:dyDescent="0.15">
      <c r="A199" s="218" t="s">
        <v>2334</v>
      </c>
      <c r="B199" s="218" t="s">
        <v>2335</v>
      </c>
      <c r="C199" s="218" t="s">
        <v>1982</v>
      </c>
      <c r="D199" s="218" t="s">
        <v>2336</v>
      </c>
      <c r="E199" s="218" t="s">
        <v>1839</v>
      </c>
      <c r="F199" s="218" t="s">
        <v>1840</v>
      </c>
      <c r="G199" s="218" t="s">
        <v>1841</v>
      </c>
    </row>
    <row r="200" spans="1:7" x14ac:dyDescent="0.15">
      <c r="A200" s="218" t="s">
        <v>2337</v>
      </c>
      <c r="B200" s="218" t="s">
        <v>2338</v>
      </c>
      <c r="C200" s="218" t="s">
        <v>1982</v>
      </c>
      <c r="D200" s="218" t="s">
        <v>2339</v>
      </c>
      <c r="E200" s="218" t="s">
        <v>1839</v>
      </c>
      <c r="F200" s="218" t="s">
        <v>1840</v>
      </c>
      <c r="G200" s="218" t="s">
        <v>1841</v>
      </c>
    </row>
    <row r="201" spans="1:7" x14ac:dyDescent="0.15">
      <c r="A201" s="218" t="s">
        <v>2340</v>
      </c>
      <c r="B201" s="218" t="s">
        <v>2341</v>
      </c>
      <c r="C201" s="218" t="s">
        <v>1982</v>
      </c>
      <c r="D201" s="218" t="s">
        <v>2342</v>
      </c>
      <c r="E201" s="218" t="s">
        <v>1839</v>
      </c>
      <c r="F201" s="218" t="s">
        <v>1840</v>
      </c>
      <c r="G201" s="218" t="s">
        <v>1841</v>
      </c>
    </row>
    <row r="202" spans="1:7" x14ac:dyDescent="0.15">
      <c r="A202" s="218" t="s">
        <v>2343</v>
      </c>
      <c r="B202" s="218" t="s">
        <v>2344</v>
      </c>
      <c r="C202" s="218" t="s">
        <v>1982</v>
      </c>
      <c r="D202" s="218" t="s">
        <v>2345</v>
      </c>
      <c r="E202" s="218" t="s">
        <v>1839</v>
      </c>
      <c r="F202" s="218" t="s">
        <v>1840</v>
      </c>
      <c r="G202" s="218" t="s">
        <v>1841</v>
      </c>
    </row>
    <row r="203" spans="1:7" x14ac:dyDescent="0.15">
      <c r="A203" s="218" t="s">
        <v>2346</v>
      </c>
      <c r="B203" s="218" t="s">
        <v>2347</v>
      </c>
      <c r="C203" s="218" t="s">
        <v>1982</v>
      </c>
      <c r="D203" s="218" t="s">
        <v>2348</v>
      </c>
      <c r="E203" s="218" t="s">
        <v>1839</v>
      </c>
      <c r="F203" s="218" t="s">
        <v>1840</v>
      </c>
      <c r="G203" s="218" t="s">
        <v>1841</v>
      </c>
    </row>
    <row r="204" spans="1:7" x14ac:dyDescent="0.15">
      <c r="A204" s="218" t="s">
        <v>2349</v>
      </c>
      <c r="B204" s="218" t="s">
        <v>2350</v>
      </c>
      <c r="C204" s="218" t="s">
        <v>1982</v>
      </c>
      <c r="D204" s="218" t="s">
        <v>2351</v>
      </c>
      <c r="E204" s="218" t="s">
        <v>1839</v>
      </c>
      <c r="F204" s="218" t="s">
        <v>1840</v>
      </c>
      <c r="G204" s="218" t="s">
        <v>1841</v>
      </c>
    </row>
    <row r="205" spans="1:7" x14ac:dyDescent="0.15">
      <c r="A205" s="218" t="s">
        <v>532</v>
      </c>
      <c r="B205" s="218" t="s">
        <v>531</v>
      </c>
      <c r="C205" s="218" t="s">
        <v>1982</v>
      </c>
      <c r="D205" s="218" t="s">
        <v>2352</v>
      </c>
      <c r="E205" s="218" t="s">
        <v>1839</v>
      </c>
      <c r="F205" s="218" t="s">
        <v>1840</v>
      </c>
      <c r="G205" s="218" t="s">
        <v>1841</v>
      </c>
    </row>
    <row r="206" spans="1:7" x14ac:dyDescent="0.15">
      <c r="A206" s="218" t="s">
        <v>2353</v>
      </c>
      <c r="B206" s="218" t="s">
        <v>2354</v>
      </c>
      <c r="C206" s="218" t="s">
        <v>1982</v>
      </c>
      <c r="D206" s="218" t="s">
        <v>2355</v>
      </c>
      <c r="E206" s="218" t="s">
        <v>1839</v>
      </c>
      <c r="F206" s="218" t="s">
        <v>1840</v>
      </c>
      <c r="G206" s="218" t="s">
        <v>1841</v>
      </c>
    </row>
    <row r="207" spans="1:7" x14ac:dyDescent="0.15">
      <c r="A207" s="218" t="s">
        <v>2356</v>
      </c>
      <c r="B207" s="218" t="s">
        <v>2357</v>
      </c>
      <c r="C207" s="218" t="s">
        <v>1982</v>
      </c>
      <c r="D207" s="218" t="s">
        <v>2358</v>
      </c>
      <c r="E207" s="218" t="s">
        <v>1839</v>
      </c>
      <c r="F207" s="218" t="s">
        <v>1840</v>
      </c>
      <c r="G207" s="218" t="s">
        <v>1841</v>
      </c>
    </row>
    <row r="208" spans="1:7" x14ac:dyDescent="0.15">
      <c r="A208" s="218" t="s">
        <v>2359</v>
      </c>
      <c r="B208" s="218" t="s">
        <v>2360</v>
      </c>
      <c r="C208" s="218" t="s">
        <v>1982</v>
      </c>
      <c r="D208" s="218" t="s">
        <v>2361</v>
      </c>
      <c r="E208" s="218" t="s">
        <v>1839</v>
      </c>
      <c r="F208" s="218" t="s">
        <v>1840</v>
      </c>
      <c r="G208" s="218" t="s">
        <v>1841</v>
      </c>
    </row>
    <row r="209" spans="1:7" x14ac:dyDescent="0.15">
      <c r="A209" s="218" t="s">
        <v>2362</v>
      </c>
      <c r="B209" s="218" t="s">
        <v>2363</v>
      </c>
      <c r="C209" s="218" t="s">
        <v>1982</v>
      </c>
      <c r="D209" s="218" t="s">
        <v>2364</v>
      </c>
      <c r="E209" s="218" t="s">
        <v>1839</v>
      </c>
      <c r="F209" s="218" t="s">
        <v>1840</v>
      </c>
      <c r="G209" s="218" t="s">
        <v>1841</v>
      </c>
    </row>
    <row r="210" spans="1:7" x14ac:dyDescent="0.15">
      <c r="A210" s="218" t="s">
        <v>2365</v>
      </c>
      <c r="B210" s="218" t="s">
        <v>2366</v>
      </c>
      <c r="C210" s="218" t="s">
        <v>1982</v>
      </c>
      <c r="D210" s="218" t="s">
        <v>2367</v>
      </c>
      <c r="E210" s="218" t="s">
        <v>1839</v>
      </c>
      <c r="F210" s="218" t="s">
        <v>1840</v>
      </c>
      <c r="G210" s="218" t="s">
        <v>1841</v>
      </c>
    </row>
    <row r="211" spans="1:7" x14ac:dyDescent="0.15">
      <c r="A211" s="218" t="s">
        <v>4293</v>
      </c>
      <c r="B211" s="218" t="s">
        <v>4294</v>
      </c>
      <c r="C211" s="218" t="s">
        <v>1982</v>
      </c>
      <c r="D211" s="218" t="s">
        <v>4295</v>
      </c>
      <c r="E211" s="218" t="s">
        <v>1935</v>
      </c>
      <c r="F211" s="218" t="s">
        <v>1840</v>
      </c>
      <c r="G211" s="218" t="s">
        <v>1841</v>
      </c>
    </row>
    <row r="212" spans="1:7" x14ac:dyDescent="0.15">
      <c r="A212" s="218" t="s">
        <v>2368</v>
      </c>
      <c r="B212" s="218" t="s">
        <v>2369</v>
      </c>
      <c r="C212" s="218" t="s">
        <v>1982</v>
      </c>
      <c r="D212" s="218" t="s">
        <v>2370</v>
      </c>
      <c r="E212" s="218" t="s">
        <v>1839</v>
      </c>
      <c r="F212" s="218" t="s">
        <v>1840</v>
      </c>
      <c r="G212" s="218" t="s">
        <v>1841</v>
      </c>
    </row>
    <row r="213" spans="1:7" x14ac:dyDescent="0.15">
      <c r="A213" s="218" t="s">
        <v>2371</v>
      </c>
      <c r="B213" s="218" t="s">
        <v>2372</v>
      </c>
      <c r="C213" s="218" t="s">
        <v>1982</v>
      </c>
      <c r="D213" s="218" t="s">
        <v>2370</v>
      </c>
      <c r="E213" s="218" t="s">
        <v>1839</v>
      </c>
      <c r="F213" s="218" t="s">
        <v>1840</v>
      </c>
      <c r="G213" s="218" t="s">
        <v>1841</v>
      </c>
    </row>
    <row r="214" spans="1:7" x14ac:dyDescent="0.15">
      <c r="A214" s="218" t="s">
        <v>2373</v>
      </c>
      <c r="B214" s="218" t="s">
        <v>2374</v>
      </c>
      <c r="C214" s="218" t="s">
        <v>1982</v>
      </c>
      <c r="D214" s="218" t="s">
        <v>2375</v>
      </c>
      <c r="E214" s="218" t="s">
        <v>1839</v>
      </c>
      <c r="F214" s="218" t="s">
        <v>1840</v>
      </c>
      <c r="G214" s="218" t="s">
        <v>1841</v>
      </c>
    </row>
    <row r="215" spans="1:7" x14ac:dyDescent="0.15">
      <c r="A215" s="218" t="s">
        <v>2376</v>
      </c>
      <c r="B215" s="218" t="s">
        <v>2377</v>
      </c>
      <c r="C215" s="218" t="s">
        <v>1982</v>
      </c>
      <c r="D215" s="218" t="s">
        <v>2378</v>
      </c>
      <c r="E215" s="218" t="s">
        <v>1839</v>
      </c>
      <c r="F215" s="218" t="s">
        <v>1840</v>
      </c>
      <c r="G215" s="218" t="s">
        <v>1841</v>
      </c>
    </row>
    <row r="216" spans="1:7" x14ac:dyDescent="0.15">
      <c r="A216" s="218" t="s">
        <v>2379</v>
      </c>
      <c r="B216" s="218" t="s">
        <v>2380</v>
      </c>
      <c r="C216" s="218" t="s">
        <v>1982</v>
      </c>
      <c r="D216" s="218" t="s">
        <v>2381</v>
      </c>
      <c r="E216" s="218" t="s">
        <v>1839</v>
      </c>
      <c r="F216" s="218" t="s">
        <v>1840</v>
      </c>
      <c r="G216" s="218" t="s">
        <v>1841</v>
      </c>
    </row>
    <row r="217" spans="1:7" x14ac:dyDescent="0.15">
      <c r="A217" s="218" t="s">
        <v>2382</v>
      </c>
      <c r="B217" s="218" t="s">
        <v>2383</v>
      </c>
      <c r="C217" s="218" t="s">
        <v>1982</v>
      </c>
      <c r="D217" s="218" t="s">
        <v>2384</v>
      </c>
      <c r="E217" s="218" t="s">
        <v>1935</v>
      </c>
      <c r="F217" s="218" t="s">
        <v>1840</v>
      </c>
      <c r="G217" s="218" t="s">
        <v>1841</v>
      </c>
    </row>
    <row r="218" spans="1:7" x14ac:dyDescent="0.15">
      <c r="A218" s="218" t="s">
        <v>2385</v>
      </c>
      <c r="B218" s="218" t="s">
        <v>2386</v>
      </c>
      <c r="C218" s="218" t="s">
        <v>1982</v>
      </c>
      <c r="D218" s="218" t="s">
        <v>2387</v>
      </c>
      <c r="E218" s="218" t="s">
        <v>1839</v>
      </c>
      <c r="F218" s="218" t="s">
        <v>1840</v>
      </c>
      <c r="G218" s="218" t="s">
        <v>1841</v>
      </c>
    </row>
    <row r="219" spans="1:7" x14ac:dyDescent="0.15">
      <c r="A219" s="218" t="s">
        <v>2388</v>
      </c>
      <c r="B219" s="218" t="s">
        <v>2389</v>
      </c>
      <c r="C219" s="218" t="s">
        <v>1982</v>
      </c>
      <c r="D219" s="218" t="s">
        <v>2390</v>
      </c>
      <c r="E219" s="218" t="s">
        <v>1839</v>
      </c>
      <c r="F219" s="218" t="s">
        <v>1840</v>
      </c>
      <c r="G219" s="218" t="s">
        <v>1841</v>
      </c>
    </row>
    <row r="220" spans="1:7" x14ac:dyDescent="0.15">
      <c r="A220" s="218" t="s">
        <v>4378</v>
      </c>
      <c r="B220" s="218" t="s">
        <v>4379</v>
      </c>
      <c r="C220" s="218" t="s">
        <v>1982</v>
      </c>
      <c r="D220" s="218" t="s">
        <v>4380</v>
      </c>
      <c r="E220" s="218" t="s">
        <v>1839</v>
      </c>
      <c r="F220" s="218" t="s">
        <v>1840</v>
      </c>
      <c r="G220" s="218" t="s">
        <v>1841</v>
      </c>
    </row>
    <row r="221" spans="1:7" x14ac:dyDescent="0.15">
      <c r="A221" s="218" t="s">
        <v>2391</v>
      </c>
      <c r="B221" s="218" t="s">
        <v>2392</v>
      </c>
      <c r="C221" s="218" t="s">
        <v>1982</v>
      </c>
      <c r="D221" s="218" t="s">
        <v>2393</v>
      </c>
      <c r="E221" s="218" t="s">
        <v>1839</v>
      </c>
      <c r="F221" s="218" t="s">
        <v>1840</v>
      </c>
      <c r="G221" s="218" t="s">
        <v>1841</v>
      </c>
    </row>
    <row r="222" spans="1:7" x14ac:dyDescent="0.15">
      <c r="A222" s="218" t="s">
        <v>2394</v>
      </c>
      <c r="B222" s="218" t="s">
        <v>2395</v>
      </c>
      <c r="C222" s="218" t="s">
        <v>1982</v>
      </c>
      <c r="D222" s="218" t="s">
        <v>2396</v>
      </c>
      <c r="E222" s="218" t="s">
        <v>1839</v>
      </c>
      <c r="F222" s="218" t="s">
        <v>1840</v>
      </c>
      <c r="G222" s="218" t="s">
        <v>1841</v>
      </c>
    </row>
    <row r="223" spans="1:7" x14ac:dyDescent="0.15">
      <c r="A223" s="218" t="s">
        <v>9779</v>
      </c>
      <c r="B223" s="218" t="s">
        <v>4384</v>
      </c>
      <c r="C223" s="218" t="s">
        <v>1982</v>
      </c>
      <c r="D223" s="218" t="s">
        <v>4385</v>
      </c>
      <c r="E223" s="218" t="s">
        <v>1839</v>
      </c>
      <c r="F223" s="218" t="s">
        <v>1840</v>
      </c>
      <c r="G223" s="218" t="s">
        <v>1841</v>
      </c>
    </row>
    <row r="224" spans="1:7" x14ac:dyDescent="0.15">
      <c r="A224" s="218" t="s">
        <v>2397</v>
      </c>
      <c r="B224" s="218" t="s">
        <v>2398</v>
      </c>
      <c r="C224" s="218" t="s">
        <v>1982</v>
      </c>
      <c r="D224" s="218" t="s">
        <v>2399</v>
      </c>
      <c r="E224" s="218" t="s">
        <v>1839</v>
      </c>
      <c r="F224" s="218" t="s">
        <v>1840</v>
      </c>
      <c r="G224" s="218" t="s">
        <v>1841</v>
      </c>
    </row>
    <row r="225" spans="1:7" x14ac:dyDescent="0.15">
      <c r="A225" s="218" t="s">
        <v>2400</v>
      </c>
      <c r="B225" s="218" t="s">
        <v>2401</v>
      </c>
      <c r="C225" s="218" t="s">
        <v>1982</v>
      </c>
      <c r="D225" s="218" t="s">
        <v>2402</v>
      </c>
      <c r="E225" s="218" t="s">
        <v>1839</v>
      </c>
      <c r="F225" s="218" t="s">
        <v>1840</v>
      </c>
      <c r="G225" s="218" t="s">
        <v>1841</v>
      </c>
    </row>
    <row r="226" spans="1:7" x14ac:dyDescent="0.15">
      <c r="A226" s="218" t="s">
        <v>2403</v>
      </c>
      <c r="B226" s="218" t="s">
        <v>2404</v>
      </c>
      <c r="C226" s="218" t="s">
        <v>1982</v>
      </c>
      <c r="D226" s="218" t="s">
        <v>2405</v>
      </c>
      <c r="E226" s="218" t="s">
        <v>1839</v>
      </c>
      <c r="F226" s="218" t="s">
        <v>1840</v>
      </c>
      <c r="G226" s="218" t="s">
        <v>1841</v>
      </c>
    </row>
    <row r="227" spans="1:7" x14ac:dyDescent="0.15">
      <c r="A227" s="218" t="s">
        <v>2406</v>
      </c>
      <c r="B227" s="218" t="s">
        <v>2407</v>
      </c>
      <c r="C227" s="218" t="s">
        <v>1982</v>
      </c>
      <c r="D227" s="218" t="s">
        <v>2408</v>
      </c>
      <c r="E227" s="218" t="s">
        <v>1839</v>
      </c>
      <c r="F227" s="218" t="s">
        <v>1840</v>
      </c>
      <c r="G227" s="218" t="s">
        <v>1841</v>
      </c>
    </row>
    <row r="228" spans="1:7" x14ac:dyDescent="0.15">
      <c r="A228" s="218" t="s">
        <v>2409</v>
      </c>
      <c r="B228" s="218" t="s">
        <v>2410</v>
      </c>
      <c r="C228" s="218" t="s">
        <v>1982</v>
      </c>
      <c r="D228" s="218" t="s">
        <v>2411</v>
      </c>
      <c r="E228" s="218" t="s">
        <v>1839</v>
      </c>
      <c r="F228" s="218" t="s">
        <v>1840</v>
      </c>
      <c r="G228" s="218" t="s">
        <v>1841</v>
      </c>
    </row>
    <row r="229" spans="1:7" x14ac:dyDescent="0.15">
      <c r="A229" s="218" t="s">
        <v>2412</v>
      </c>
      <c r="B229" s="218" t="s">
        <v>2413</v>
      </c>
      <c r="C229" s="218" t="s">
        <v>1982</v>
      </c>
      <c r="D229" s="218" t="s">
        <v>2414</v>
      </c>
      <c r="E229" s="218" t="s">
        <v>1839</v>
      </c>
      <c r="F229" s="218" t="s">
        <v>1840</v>
      </c>
      <c r="G229" s="218" t="s">
        <v>1841</v>
      </c>
    </row>
    <row r="230" spans="1:7" x14ac:dyDescent="0.15">
      <c r="A230" s="218" t="s">
        <v>2415</v>
      </c>
      <c r="B230" s="218" t="s">
        <v>2416</v>
      </c>
      <c r="C230" s="218" t="s">
        <v>1982</v>
      </c>
      <c r="D230" s="218" t="s">
        <v>2417</v>
      </c>
      <c r="E230" s="218" t="s">
        <v>1839</v>
      </c>
      <c r="F230" s="218" t="s">
        <v>1840</v>
      </c>
      <c r="G230" s="218" t="s">
        <v>1841</v>
      </c>
    </row>
    <row r="231" spans="1:7" x14ac:dyDescent="0.15">
      <c r="A231" s="218" t="s">
        <v>2418</v>
      </c>
      <c r="B231" s="218" t="s">
        <v>2419</v>
      </c>
      <c r="C231" s="218" t="s">
        <v>1982</v>
      </c>
      <c r="D231" s="218" t="s">
        <v>2420</v>
      </c>
      <c r="E231" s="218" t="s">
        <v>1839</v>
      </c>
      <c r="F231" s="218" t="s">
        <v>1840</v>
      </c>
      <c r="G231" s="218" t="s">
        <v>1841</v>
      </c>
    </row>
    <row r="232" spans="1:7" x14ac:dyDescent="0.15">
      <c r="A232" s="218" t="s">
        <v>2421</v>
      </c>
      <c r="B232" s="218" t="s">
        <v>2422</v>
      </c>
      <c r="C232" s="218" t="s">
        <v>1982</v>
      </c>
      <c r="D232" s="218" t="s">
        <v>2423</v>
      </c>
      <c r="E232" s="218" t="s">
        <v>1839</v>
      </c>
      <c r="F232" s="218" t="s">
        <v>1840</v>
      </c>
      <c r="G232" s="218" t="s">
        <v>1841</v>
      </c>
    </row>
    <row r="233" spans="1:7" x14ac:dyDescent="0.15">
      <c r="A233" s="218" t="s">
        <v>2424</v>
      </c>
      <c r="B233" s="218" t="s">
        <v>2425</v>
      </c>
      <c r="C233" s="218" t="s">
        <v>1982</v>
      </c>
      <c r="D233" s="218" t="s">
        <v>2426</v>
      </c>
      <c r="E233" s="218" t="s">
        <v>1839</v>
      </c>
      <c r="F233" s="218" t="s">
        <v>1840</v>
      </c>
      <c r="G233" s="218" t="s">
        <v>1841</v>
      </c>
    </row>
    <row r="234" spans="1:7" x14ac:dyDescent="0.15">
      <c r="A234" s="218" t="s">
        <v>2427</v>
      </c>
      <c r="B234" s="218" t="s">
        <v>2428</v>
      </c>
      <c r="C234" s="218" t="s">
        <v>1982</v>
      </c>
      <c r="D234" s="218" t="s">
        <v>2429</v>
      </c>
      <c r="E234" s="218" t="s">
        <v>1839</v>
      </c>
      <c r="F234" s="218" t="s">
        <v>1840</v>
      </c>
      <c r="G234" s="218" t="s">
        <v>1841</v>
      </c>
    </row>
    <row r="235" spans="1:7" x14ac:dyDescent="0.15">
      <c r="A235" s="218" t="s">
        <v>4427</v>
      </c>
      <c r="B235" s="218" t="s">
        <v>4428</v>
      </c>
      <c r="C235" s="218" t="s">
        <v>1982</v>
      </c>
      <c r="D235" s="218" t="s">
        <v>4429</v>
      </c>
      <c r="E235" s="218" t="s">
        <v>1839</v>
      </c>
      <c r="F235" s="218" t="s">
        <v>1840</v>
      </c>
      <c r="G235" s="218" t="s">
        <v>1841</v>
      </c>
    </row>
    <row r="236" spans="1:7" x14ac:dyDescent="0.15">
      <c r="A236" s="218" t="s">
        <v>590</v>
      </c>
      <c r="B236" s="218" t="s">
        <v>589</v>
      </c>
      <c r="C236" s="218" t="s">
        <v>1982</v>
      </c>
      <c r="D236" s="218" t="s">
        <v>2430</v>
      </c>
      <c r="E236" s="218" t="s">
        <v>1839</v>
      </c>
      <c r="F236" s="218" t="s">
        <v>1840</v>
      </c>
      <c r="G236" s="218" t="s">
        <v>1841</v>
      </c>
    </row>
    <row r="237" spans="1:7" x14ac:dyDescent="0.15">
      <c r="A237" s="218" t="s">
        <v>2431</v>
      </c>
      <c r="B237" s="218" t="s">
        <v>2432</v>
      </c>
      <c r="C237" s="218" t="s">
        <v>1982</v>
      </c>
      <c r="D237" s="218" t="s">
        <v>2433</v>
      </c>
      <c r="E237" s="218" t="s">
        <v>1839</v>
      </c>
      <c r="F237" s="218" t="s">
        <v>1840</v>
      </c>
      <c r="G237" s="218" t="s">
        <v>1841</v>
      </c>
    </row>
    <row r="238" spans="1:7" x14ac:dyDescent="0.15">
      <c r="A238" s="218" t="s">
        <v>2434</v>
      </c>
      <c r="B238" s="218" t="s">
        <v>2435</v>
      </c>
      <c r="C238" s="218" t="s">
        <v>1982</v>
      </c>
      <c r="D238" s="218" t="s">
        <v>2436</v>
      </c>
      <c r="E238" s="218" t="s">
        <v>1839</v>
      </c>
      <c r="F238" s="218" t="s">
        <v>1840</v>
      </c>
      <c r="G238" s="218" t="s">
        <v>1841</v>
      </c>
    </row>
    <row r="239" spans="1:7" x14ac:dyDescent="0.15">
      <c r="A239" s="218" t="s">
        <v>2437</v>
      </c>
      <c r="B239" s="218" t="s">
        <v>2438</v>
      </c>
      <c r="C239" s="218" t="s">
        <v>1982</v>
      </c>
      <c r="D239" s="218" t="s">
        <v>2439</v>
      </c>
      <c r="E239" s="218" t="s">
        <v>1839</v>
      </c>
      <c r="F239" s="218" t="s">
        <v>1840</v>
      </c>
      <c r="G239" s="218" t="s">
        <v>1841</v>
      </c>
    </row>
    <row r="240" spans="1:7" x14ac:dyDescent="0.15">
      <c r="A240" s="218" t="s">
        <v>2440</v>
      </c>
      <c r="B240" s="218" t="s">
        <v>2441</v>
      </c>
      <c r="C240" s="218" t="s">
        <v>1982</v>
      </c>
      <c r="D240" s="218" t="s">
        <v>2442</v>
      </c>
      <c r="E240" s="218" t="s">
        <v>1839</v>
      </c>
      <c r="F240" s="218" t="s">
        <v>1840</v>
      </c>
      <c r="G240" s="218" t="s">
        <v>1841</v>
      </c>
    </row>
    <row r="241" spans="1:7" x14ac:dyDescent="0.15">
      <c r="A241" s="218" t="s">
        <v>2443</v>
      </c>
      <c r="B241" s="218" t="s">
        <v>2444</v>
      </c>
      <c r="C241" s="218" t="s">
        <v>1982</v>
      </c>
      <c r="D241" s="218" t="s">
        <v>2445</v>
      </c>
      <c r="E241" s="218" t="s">
        <v>1839</v>
      </c>
      <c r="F241" s="218" t="s">
        <v>1840</v>
      </c>
      <c r="G241" s="218" t="s">
        <v>1841</v>
      </c>
    </row>
    <row r="242" spans="1:7" x14ac:dyDescent="0.15">
      <c r="A242" s="218" t="s">
        <v>2446</v>
      </c>
      <c r="B242" s="218" t="s">
        <v>2447</v>
      </c>
      <c r="C242" s="218" t="s">
        <v>1982</v>
      </c>
      <c r="D242" s="218" t="s">
        <v>2448</v>
      </c>
      <c r="E242" s="218" t="s">
        <v>1839</v>
      </c>
      <c r="F242" s="218" t="s">
        <v>1840</v>
      </c>
      <c r="G242" s="218" t="s">
        <v>1841</v>
      </c>
    </row>
    <row r="243" spans="1:7" x14ac:dyDescent="0.15">
      <c r="A243" s="218" t="s">
        <v>2449</v>
      </c>
      <c r="B243" s="218" t="s">
        <v>2450</v>
      </c>
      <c r="C243" s="218" t="s">
        <v>1982</v>
      </c>
      <c r="D243" s="218" t="s">
        <v>2451</v>
      </c>
      <c r="E243" s="218" t="s">
        <v>1839</v>
      </c>
      <c r="F243" s="218" t="s">
        <v>1840</v>
      </c>
      <c r="G243" s="218" t="s">
        <v>1841</v>
      </c>
    </row>
    <row r="244" spans="1:7" x14ac:dyDescent="0.15">
      <c r="A244" s="218" t="s">
        <v>2452</v>
      </c>
      <c r="B244" s="218" t="s">
        <v>2453</v>
      </c>
      <c r="C244" s="218" t="s">
        <v>1982</v>
      </c>
      <c r="D244" s="218" t="s">
        <v>2454</v>
      </c>
      <c r="E244" s="218" t="s">
        <v>1839</v>
      </c>
      <c r="F244" s="218" t="s">
        <v>1840</v>
      </c>
      <c r="G244" s="218" t="s">
        <v>1841</v>
      </c>
    </row>
    <row r="245" spans="1:7" x14ac:dyDescent="0.15">
      <c r="A245" s="218" t="s">
        <v>2455</v>
      </c>
      <c r="B245" s="218" t="s">
        <v>2456</v>
      </c>
      <c r="C245" s="218" t="s">
        <v>1982</v>
      </c>
      <c r="D245" s="218" t="s">
        <v>2457</v>
      </c>
      <c r="E245" s="218" t="s">
        <v>1839</v>
      </c>
      <c r="F245" s="218" t="s">
        <v>1840</v>
      </c>
      <c r="G245" s="218" t="s">
        <v>1841</v>
      </c>
    </row>
    <row r="246" spans="1:7" x14ac:dyDescent="0.15">
      <c r="A246" s="218" t="s">
        <v>2458</v>
      </c>
      <c r="B246" s="218" t="s">
        <v>2459</v>
      </c>
      <c r="C246" s="218" t="s">
        <v>1982</v>
      </c>
      <c r="D246" s="218" t="s">
        <v>2460</v>
      </c>
      <c r="E246" s="218" t="s">
        <v>1839</v>
      </c>
      <c r="F246" s="218" t="s">
        <v>1840</v>
      </c>
      <c r="G246" s="218" t="s">
        <v>1841</v>
      </c>
    </row>
    <row r="247" spans="1:7" x14ac:dyDescent="0.15">
      <c r="A247" s="218" t="s">
        <v>2461</v>
      </c>
      <c r="B247" s="218" t="s">
        <v>2462</v>
      </c>
      <c r="C247" s="218" t="s">
        <v>1982</v>
      </c>
      <c r="D247" s="218" t="s">
        <v>2463</v>
      </c>
      <c r="E247" s="218" t="s">
        <v>1839</v>
      </c>
      <c r="F247" s="218" t="s">
        <v>1840</v>
      </c>
      <c r="G247" s="218" t="s">
        <v>1841</v>
      </c>
    </row>
    <row r="248" spans="1:7" x14ac:dyDescent="0.15">
      <c r="A248" s="218" t="s">
        <v>4490</v>
      </c>
      <c r="B248" s="218" t="s">
        <v>4491</v>
      </c>
      <c r="C248" s="218" t="s">
        <v>1982</v>
      </c>
      <c r="D248" s="218" t="s">
        <v>4492</v>
      </c>
      <c r="E248" s="218" t="s">
        <v>1839</v>
      </c>
      <c r="F248" s="218" t="s">
        <v>1840</v>
      </c>
      <c r="G248" s="218" t="s">
        <v>1841</v>
      </c>
    </row>
    <row r="249" spans="1:7" x14ac:dyDescent="0.15">
      <c r="A249" s="218" t="s">
        <v>2464</v>
      </c>
      <c r="B249" s="218" t="s">
        <v>2465</v>
      </c>
      <c r="C249" s="218" t="s">
        <v>1982</v>
      </c>
      <c r="D249" s="218" t="s">
        <v>2466</v>
      </c>
      <c r="E249" s="218" t="s">
        <v>1839</v>
      </c>
      <c r="F249" s="218" t="s">
        <v>1840</v>
      </c>
      <c r="G249" s="218" t="s">
        <v>1841</v>
      </c>
    </row>
    <row r="250" spans="1:7" x14ac:dyDescent="0.15">
      <c r="A250" s="218" t="s">
        <v>2467</v>
      </c>
      <c r="B250" s="218" t="s">
        <v>2468</v>
      </c>
      <c r="C250" s="218" t="s">
        <v>1982</v>
      </c>
      <c r="D250" s="218" t="s">
        <v>2469</v>
      </c>
      <c r="E250" s="218" t="s">
        <v>1839</v>
      </c>
      <c r="F250" s="218" t="s">
        <v>1840</v>
      </c>
      <c r="G250" s="218" t="s">
        <v>1841</v>
      </c>
    </row>
    <row r="251" spans="1:7" x14ac:dyDescent="0.15">
      <c r="A251" s="218" t="s">
        <v>2470</v>
      </c>
      <c r="B251" s="218" t="s">
        <v>2471</v>
      </c>
      <c r="C251" s="218" t="s">
        <v>1982</v>
      </c>
      <c r="D251" s="218" t="s">
        <v>2472</v>
      </c>
      <c r="E251" s="218" t="s">
        <v>1839</v>
      </c>
      <c r="F251" s="218" t="s">
        <v>1840</v>
      </c>
      <c r="G251" s="218" t="s">
        <v>1841</v>
      </c>
    </row>
    <row r="252" spans="1:7" x14ac:dyDescent="0.15">
      <c r="A252" s="218" t="s">
        <v>2473</v>
      </c>
      <c r="B252" s="218" t="s">
        <v>2474</v>
      </c>
      <c r="C252" s="218" t="s">
        <v>1982</v>
      </c>
      <c r="D252" s="218" t="s">
        <v>2475</v>
      </c>
      <c r="E252" s="218" t="s">
        <v>1839</v>
      </c>
      <c r="F252" s="218" t="s">
        <v>1840</v>
      </c>
      <c r="G252" s="218" t="s">
        <v>1841</v>
      </c>
    </row>
    <row r="253" spans="1:7" x14ac:dyDescent="0.15">
      <c r="A253" s="218" t="s">
        <v>2476</v>
      </c>
      <c r="B253" s="218" t="s">
        <v>2477</v>
      </c>
      <c r="C253" s="218" t="s">
        <v>1982</v>
      </c>
      <c r="D253" s="218" t="s">
        <v>2478</v>
      </c>
      <c r="E253" s="218" t="s">
        <v>1839</v>
      </c>
      <c r="F253" s="218" t="s">
        <v>1840</v>
      </c>
      <c r="G253" s="218" t="s">
        <v>1841</v>
      </c>
    </row>
    <row r="254" spans="1:7" x14ac:dyDescent="0.15">
      <c r="A254" s="218" t="s">
        <v>2479</v>
      </c>
      <c r="B254" s="218" t="s">
        <v>2480</v>
      </c>
      <c r="C254" s="218" t="s">
        <v>1982</v>
      </c>
      <c r="D254" s="218" t="s">
        <v>2481</v>
      </c>
      <c r="E254" s="218" t="s">
        <v>1839</v>
      </c>
      <c r="F254" s="218" t="s">
        <v>1840</v>
      </c>
      <c r="G254" s="218" t="s">
        <v>1841</v>
      </c>
    </row>
    <row r="255" spans="1:7" x14ac:dyDescent="0.15">
      <c r="A255" s="218" t="s">
        <v>2482</v>
      </c>
      <c r="B255" s="218" t="s">
        <v>2483</v>
      </c>
      <c r="C255" s="218" t="s">
        <v>1982</v>
      </c>
      <c r="D255" s="218" t="s">
        <v>2484</v>
      </c>
      <c r="E255" s="218" t="s">
        <v>1839</v>
      </c>
      <c r="F255" s="218" t="s">
        <v>1840</v>
      </c>
      <c r="G255" s="218" t="s">
        <v>1841</v>
      </c>
    </row>
    <row r="256" spans="1:7" x14ac:dyDescent="0.15">
      <c r="A256" s="218" t="s">
        <v>2485</v>
      </c>
      <c r="B256" s="218" t="s">
        <v>2486</v>
      </c>
      <c r="C256" s="218" t="s">
        <v>1982</v>
      </c>
      <c r="D256" s="218" t="s">
        <v>2487</v>
      </c>
      <c r="E256" s="218" t="s">
        <v>1839</v>
      </c>
      <c r="F256" s="218" t="s">
        <v>1840</v>
      </c>
      <c r="G256" s="218" t="s">
        <v>1841</v>
      </c>
    </row>
    <row r="257" spans="1:7" x14ac:dyDescent="0.15">
      <c r="A257" s="218" t="s">
        <v>2488</v>
      </c>
      <c r="B257" s="218" t="s">
        <v>2489</v>
      </c>
      <c r="C257" s="218" t="s">
        <v>1982</v>
      </c>
      <c r="D257" s="218" t="s">
        <v>2490</v>
      </c>
      <c r="E257" s="218" t="s">
        <v>1839</v>
      </c>
      <c r="F257" s="218" t="s">
        <v>1840</v>
      </c>
      <c r="G257" s="218" t="s">
        <v>1841</v>
      </c>
    </row>
    <row r="258" spans="1:7" x14ac:dyDescent="0.15">
      <c r="A258" s="218" t="s">
        <v>2491</v>
      </c>
      <c r="B258" s="218" t="s">
        <v>2492</v>
      </c>
      <c r="C258" s="218" t="s">
        <v>1982</v>
      </c>
      <c r="D258" s="218" t="s">
        <v>2493</v>
      </c>
      <c r="E258" s="218" t="s">
        <v>1839</v>
      </c>
      <c r="F258" s="218" t="s">
        <v>1840</v>
      </c>
      <c r="G258" s="218" t="s">
        <v>1841</v>
      </c>
    </row>
    <row r="259" spans="1:7" x14ac:dyDescent="0.15">
      <c r="A259" s="218" t="s">
        <v>4534</v>
      </c>
      <c r="B259" s="218" t="s">
        <v>4535</v>
      </c>
      <c r="C259" s="218" t="s">
        <v>1982</v>
      </c>
      <c r="D259" s="218" t="s">
        <v>4536</v>
      </c>
      <c r="E259" s="218" t="s">
        <v>1839</v>
      </c>
      <c r="F259" s="218" t="s">
        <v>1840</v>
      </c>
      <c r="G259" s="218" t="s">
        <v>1841</v>
      </c>
    </row>
    <row r="260" spans="1:7" x14ac:dyDescent="0.15">
      <c r="A260" s="218" t="s">
        <v>4537</v>
      </c>
      <c r="B260" s="218" t="s">
        <v>4538</v>
      </c>
      <c r="C260" s="218" t="s">
        <v>1982</v>
      </c>
      <c r="D260" s="218" t="s">
        <v>4539</v>
      </c>
      <c r="E260" s="218" t="s">
        <v>1839</v>
      </c>
      <c r="F260" s="218" t="s">
        <v>1840</v>
      </c>
      <c r="G260" s="218" t="s">
        <v>1841</v>
      </c>
    </row>
    <row r="261" spans="1:7" x14ac:dyDescent="0.15">
      <c r="A261" s="218" t="s">
        <v>2494</v>
      </c>
      <c r="B261" s="218" t="s">
        <v>2495</v>
      </c>
      <c r="C261" s="218" t="s">
        <v>1982</v>
      </c>
      <c r="D261" s="218" t="s">
        <v>2496</v>
      </c>
      <c r="E261" s="218" t="s">
        <v>1839</v>
      </c>
      <c r="F261" s="218" t="s">
        <v>1840</v>
      </c>
      <c r="G261" s="218" t="s">
        <v>1841</v>
      </c>
    </row>
    <row r="262" spans="1:7" x14ac:dyDescent="0.15">
      <c r="A262" s="218" t="s">
        <v>546</v>
      </c>
      <c r="B262" s="218" t="s">
        <v>545</v>
      </c>
      <c r="C262" s="218" t="s">
        <v>1982</v>
      </c>
      <c r="D262" s="218" t="s">
        <v>2497</v>
      </c>
      <c r="E262" s="218" t="s">
        <v>1839</v>
      </c>
      <c r="F262" s="218" t="s">
        <v>1840</v>
      </c>
      <c r="G262" s="218" t="s">
        <v>1841</v>
      </c>
    </row>
    <row r="263" spans="1:7" x14ac:dyDescent="0.15">
      <c r="A263" s="218" t="s">
        <v>2498</v>
      </c>
      <c r="B263" s="218" t="s">
        <v>2499</v>
      </c>
      <c r="C263" s="218" t="s">
        <v>1982</v>
      </c>
      <c r="D263" s="218" t="s">
        <v>2500</v>
      </c>
      <c r="E263" s="218" t="s">
        <v>1839</v>
      </c>
      <c r="F263" s="218" t="s">
        <v>1840</v>
      </c>
      <c r="G263" s="218" t="s">
        <v>1841</v>
      </c>
    </row>
    <row r="264" spans="1:7" x14ac:dyDescent="0.15">
      <c r="A264" s="218" t="s">
        <v>2501</v>
      </c>
      <c r="B264" s="218" t="s">
        <v>2502</v>
      </c>
      <c r="C264" s="218" t="s">
        <v>1982</v>
      </c>
      <c r="D264" s="218" t="s">
        <v>2503</v>
      </c>
      <c r="E264" s="218" t="s">
        <v>1839</v>
      </c>
      <c r="F264" s="218" t="s">
        <v>1840</v>
      </c>
      <c r="G264" s="218" t="s">
        <v>1841</v>
      </c>
    </row>
    <row r="265" spans="1:7" x14ac:dyDescent="0.15">
      <c r="A265" s="218" t="s">
        <v>2504</v>
      </c>
      <c r="B265" s="218" t="s">
        <v>2505</v>
      </c>
      <c r="C265" s="218" t="s">
        <v>1982</v>
      </c>
      <c r="D265" s="218" t="s">
        <v>2506</v>
      </c>
      <c r="E265" s="218" t="s">
        <v>1839</v>
      </c>
      <c r="F265" s="218" t="s">
        <v>1840</v>
      </c>
      <c r="G265" s="218" t="s">
        <v>1841</v>
      </c>
    </row>
    <row r="266" spans="1:7" x14ac:dyDescent="0.15">
      <c r="A266" s="218" t="s">
        <v>2507</v>
      </c>
      <c r="B266" s="218" t="s">
        <v>2508</v>
      </c>
      <c r="C266" s="218" t="s">
        <v>1982</v>
      </c>
      <c r="D266" s="218" t="s">
        <v>2509</v>
      </c>
      <c r="E266" s="218" t="s">
        <v>1839</v>
      </c>
      <c r="F266" s="218" t="s">
        <v>1840</v>
      </c>
      <c r="G266" s="218" t="s">
        <v>1841</v>
      </c>
    </row>
    <row r="267" spans="1:7" x14ac:dyDescent="0.15">
      <c r="A267" s="218" t="s">
        <v>2511</v>
      </c>
      <c r="B267" s="218" t="s">
        <v>2512</v>
      </c>
      <c r="C267" s="218" t="s">
        <v>1982</v>
      </c>
      <c r="D267" s="218" t="s">
        <v>2513</v>
      </c>
      <c r="E267" s="218" t="s">
        <v>1839</v>
      </c>
      <c r="F267" s="218" t="s">
        <v>1840</v>
      </c>
      <c r="G267" s="218" t="s">
        <v>1841</v>
      </c>
    </row>
    <row r="268" spans="1:7" x14ac:dyDescent="0.15">
      <c r="A268" s="218" t="s">
        <v>2514</v>
      </c>
      <c r="B268" s="218" t="s">
        <v>2515</v>
      </c>
      <c r="C268" s="218" t="s">
        <v>1982</v>
      </c>
      <c r="D268" s="218" t="s">
        <v>2516</v>
      </c>
      <c r="E268" s="218" t="s">
        <v>1839</v>
      </c>
      <c r="F268" s="218" t="s">
        <v>1840</v>
      </c>
      <c r="G268" s="218" t="s">
        <v>1841</v>
      </c>
    </row>
    <row r="269" spans="1:7" x14ac:dyDescent="0.15">
      <c r="A269" s="218" t="s">
        <v>2517</v>
      </c>
      <c r="B269" s="218" t="s">
        <v>2518</v>
      </c>
      <c r="C269" s="218" t="s">
        <v>1982</v>
      </c>
      <c r="D269" s="218" t="s">
        <v>2519</v>
      </c>
      <c r="E269" s="218" t="s">
        <v>1839</v>
      </c>
      <c r="F269" s="218" t="s">
        <v>1840</v>
      </c>
      <c r="G269" s="218" t="s">
        <v>1841</v>
      </c>
    </row>
    <row r="270" spans="1:7" x14ac:dyDescent="0.15">
      <c r="A270" s="218" t="s">
        <v>2520</v>
      </c>
      <c r="B270" s="218" t="s">
        <v>2521</v>
      </c>
      <c r="C270" s="218" t="s">
        <v>1982</v>
      </c>
      <c r="D270" s="218" t="s">
        <v>2522</v>
      </c>
      <c r="E270" s="218" t="s">
        <v>1839</v>
      </c>
      <c r="F270" s="218" t="s">
        <v>1840</v>
      </c>
      <c r="G270" s="218" t="s">
        <v>1841</v>
      </c>
    </row>
    <row r="271" spans="1:7" x14ac:dyDescent="0.15">
      <c r="A271" s="218" t="s">
        <v>2523</v>
      </c>
      <c r="B271" s="218" t="s">
        <v>2524</v>
      </c>
      <c r="C271" s="218" t="s">
        <v>1982</v>
      </c>
      <c r="D271" s="218" t="s">
        <v>2525</v>
      </c>
      <c r="E271" s="218" t="s">
        <v>1839</v>
      </c>
      <c r="F271" s="218" t="s">
        <v>1840</v>
      </c>
      <c r="G271" s="218" t="s">
        <v>1841</v>
      </c>
    </row>
    <row r="272" spans="1:7" x14ac:dyDescent="0.15">
      <c r="A272" s="218" t="s">
        <v>4639</v>
      </c>
      <c r="B272" s="218" t="s">
        <v>4640</v>
      </c>
      <c r="C272" s="218" t="s">
        <v>1982</v>
      </c>
      <c r="D272" s="218" t="s">
        <v>4641</v>
      </c>
      <c r="E272" s="218" t="s">
        <v>1839</v>
      </c>
      <c r="F272" s="218" t="s">
        <v>1840</v>
      </c>
      <c r="G272" s="218" t="s">
        <v>1841</v>
      </c>
    </row>
    <row r="273" spans="1:7" x14ac:dyDescent="0.15">
      <c r="A273" s="218" t="s">
        <v>2526</v>
      </c>
      <c r="B273" s="218" t="s">
        <v>2527</v>
      </c>
      <c r="C273" s="218" t="s">
        <v>1982</v>
      </c>
      <c r="D273" s="218" t="s">
        <v>2528</v>
      </c>
      <c r="E273" s="218" t="s">
        <v>1839</v>
      </c>
      <c r="F273" s="218" t="s">
        <v>1840</v>
      </c>
      <c r="G273" s="218" t="s">
        <v>1841</v>
      </c>
    </row>
    <row r="274" spans="1:7" x14ac:dyDescent="0.15">
      <c r="A274" s="218" t="s">
        <v>2529</v>
      </c>
      <c r="B274" s="218" t="s">
        <v>2530</v>
      </c>
      <c r="C274" s="218" t="s">
        <v>1982</v>
      </c>
      <c r="D274" s="218" t="s">
        <v>2531</v>
      </c>
      <c r="E274" s="218" t="s">
        <v>1839</v>
      </c>
      <c r="F274" s="218" t="s">
        <v>1840</v>
      </c>
      <c r="G274" s="218" t="s">
        <v>1841</v>
      </c>
    </row>
    <row r="275" spans="1:7" x14ac:dyDescent="0.15">
      <c r="A275" s="218" t="s">
        <v>2532</v>
      </c>
      <c r="B275" s="218" t="s">
        <v>2533</v>
      </c>
      <c r="C275" s="218" t="s">
        <v>1982</v>
      </c>
      <c r="D275" s="218" t="s">
        <v>2534</v>
      </c>
      <c r="E275" s="218" t="s">
        <v>1839</v>
      </c>
      <c r="F275" s="218" t="s">
        <v>1840</v>
      </c>
      <c r="G275" s="218" t="s">
        <v>1841</v>
      </c>
    </row>
    <row r="276" spans="1:7" x14ac:dyDescent="0.15">
      <c r="A276" s="218" t="s">
        <v>2535</v>
      </c>
      <c r="B276" s="218" t="s">
        <v>2536</v>
      </c>
      <c r="C276" s="218" t="s">
        <v>1982</v>
      </c>
      <c r="D276" s="218" t="s">
        <v>2537</v>
      </c>
      <c r="E276" s="218" t="s">
        <v>1839</v>
      </c>
      <c r="F276" s="218" t="s">
        <v>1840</v>
      </c>
      <c r="G276" s="218" t="s">
        <v>1841</v>
      </c>
    </row>
    <row r="277" spans="1:7" x14ac:dyDescent="0.15">
      <c r="A277" s="218" t="s">
        <v>2538</v>
      </c>
      <c r="B277" s="218" t="s">
        <v>2539</v>
      </c>
      <c r="C277" s="218" t="s">
        <v>1982</v>
      </c>
      <c r="D277" s="218" t="s">
        <v>2540</v>
      </c>
      <c r="E277" s="218" t="s">
        <v>1839</v>
      </c>
      <c r="F277" s="218" t="s">
        <v>1840</v>
      </c>
      <c r="G277" s="218" t="s">
        <v>1841</v>
      </c>
    </row>
    <row r="278" spans="1:7" x14ac:dyDescent="0.15">
      <c r="A278" s="218" t="s">
        <v>2541</v>
      </c>
      <c r="B278" s="218" t="s">
        <v>2542</v>
      </c>
      <c r="C278" s="218" t="s">
        <v>1982</v>
      </c>
      <c r="D278" s="218" t="s">
        <v>2543</v>
      </c>
      <c r="E278" s="218" t="s">
        <v>1839</v>
      </c>
      <c r="F278" s="218" t="s">
        <v>1840</v>
      </c>
      <c r="G278" s="218" t="s">
        <v>1841</v>
      </c>
    </row>
    <row r="279" spans="1:7" x14ac:dyDescent="0.15">
      <c r="A279" s="218" t="s">
        <v>2544</v>
      </c>
      <c r="B279" s="218" t="s">
        <v>2545</v>
      </c>
      <c r="C279" s="218" t="s">
        <v>1982</v>
      </c>
      <c r="D279" s="218" t="s">
        <v>2546</v>
      </c>
      <c r="E279" s="218" t="s">
        <v>1839</v>
      </c>
      <c r="F279" s="218" t="s">
        <v>1840</v>
      </c>
      <c r="G279" s="218" t="s">
        <v>1841</v>
      </c>
    </row>
    <row r="280" spans="1:7" x14ac:dyDescent="0.15">
      <c r="A280" s="218" t="s">
        <v>2547</v>
      </c>
      <c r="B280" s="218" t="s">
        <v>2548</v>
      </c>
      <c r="C280" s="218" t="s">
        <v>1982</v>
      </c>
      <c r="D280" s="218" t="s">
        <v>2549</v>
      </c>
      <c r="E280" s="218" t="s">
        <v>1839</v>
      </c>
      <c r="F280" s="218" t="s">
        <v>1840</v>
      </c>
      <c r="G280" s="218" t="s">
        <v>1841</v>
      </c>
    </row>
    <row r="281" spans="1:7" x14ac:dyDescent="0.15">
      <c r="A281" s="218" t="s">
        <v>2550</v>
      </c>
      <c r="B281" s="218" t="s">
        <v>2551</v>
      </c>
      <c r="C281" s="218" t="s">
        <v>1982</v>
      </c>
      <c r="D281" s="218" t="s">
        <v>2552</v>
      </c>
      <c r="E281" s="218" t="s">
        <v>1839</v>
      </c>
      <c r="F281" s="218" t="s">
        <v>1840</v>
      </c>
      <c r="G281" s="218" t="s">
        <v>1841</v>
      </c>
    </row>
    <row r="282" spans="1:7" x14ac:dyDescent="0.15">
      <c r="A282" s="218" t="s">
        <v>2553</v>
      </c>
      <c r="B282" s="218" t="s">
        <v>2554</v>
      </c>
      <c r="C282" s="218" t="s">
        <v>1982</v>
      </c>
      <c r="D282" s="218" t="s">
        <v>2555</v>
      </c>
      <c r="E282" s="218" t="s">
        <v>1839</v>
      </c>
      <c r="F282" s="218" t="s">
        <v>1840</v>
      </c>
      <c r="G282" s="218" t="s">
        <v>1841</v>
      </c>
    </row>
    <row r="283" spans="1:7" x14ac:dyDescent="0.15">
      <c r="A283" s="218" t="s">
        <v>2556</v>
      </c>
      <c r="B283" s="218" t="s">
        <v>2557</v>
      </c>
      <c r="C283" s="218" t="s">
        <v>1982</v>
      </c>
      <c r="D283" s="218" t="s">
        <v>2558</v>
      </c>
      <c r="E283" s="218" t="s">
        <v>1839</v>
      </c>
      <c r="F283" s="218" t="s">
        <v>1840</v>
      </c>
      <c r="G283" s="218" t="s">
        <v>1841</v>
      </c>
    </row>
    <row r="284" spans="1:7" x14ac:dyDescent="0.15">
      <c r="A284" s="218" t="s">
        <v>2559</v>
      </c>
      <c r="B284" s="218" t="s">
        <v>2560</v>
      </c>
      <c r="C284" s="218" t="s">
        <v>1982</v>
      </c>
      <c r="D284" s="218" t="s">
        <v>2561</v>
      </c>
      <c r="E284" s="218" t="s">
        <v>1839</v>
      </c>
      <c r="F284" s="218" t="s">
        <v>1840</v>
      </c>
      <c r="G284" s="218" t="s">
        <v>1841</v>
      </c>
    </row>
    <row r="285" spans="1:7" x14ac:dyDescent="0.15">
      <c r="A285" s="218" t="s">
        <v>550</v>
      </c>
      <c r="B285" s="218" t="s">
        <v>549</v>
      </c>
      <c r="C285" s="218" t="s">
        <v>1982</v>
      </c>
      <c r="D285" s="218" t="s">
        <v>2562</v>
      </c>
      <c r="E285" s="218" t="s">
        <v>1839</v>
      </c>
      <c r="F285" s="218" t="s">
        <v>1840</v>
      </c>
      <c r="G285" s="218" t="s">
        <v>1841</v>
      </c>
    </row>
    <row r="286" spans="1:7" x14ac:dyDescent="0.15">
      <c r="A286" s="218" t="s">
        <v>2563</v>
      </c>
      <c r="B286" s="218" t="s">
        <v>2564</v>
      </c>
      <c r="C286" s="218" t="s">
        <v>1982</v>
      </c>
      <c r="D286" s="218" t="s">
        <v>2565</v>
      </c>
      <c r="E286" s="218" t="s">
        <v>1839</v>
      </c>
      <c r="F286" s="218" t="s">
        <v>1840</v>
      </c>
      <c r="G286" s="218" t="s">
        <v>1841</v>
      </c>
    </row>
    <row r="287" spans="1:7" x14ac:dyDescent="0.15">
      <c r="A287" s="218" t="s">
        <v>2566</v>
      </c>
      <c r="B287" s="218" t="s">
        <v>2567</v>
      </c>
      <c r="C287" s="218" t="s">
        <v>1982</v>
      </c>
      <c r="D287" s="218" t="s">
        <v>2568</v>
      </c>
      <c r="E287" s="218" t="s">
        <v>1839</v>
      </c>
      <c r="F287" s="218" t="s">
        <v>1840</v>
      </c>
      <c r="G287" s="218" t="s">
        <v>1841</v>
      </c>
    </row>
    <row r="288" spans="1:7" x14ac:dyDescent="0.15">
      <c r="A288" s="218" t="s">
        <v>2569</v>
      </c>
      <c r="B288" s="218" t="s">
        <v>2570</v>
      </c>
      <c r="C288" s="218" t="s">
        <v>1982</v>
      </c>
      <c r="D288" s="218" t="s">
        <v>2571</v>
      </c>
      <c r="E288" s="218" t="s">
        <v>1839</v>
      </c>
      <c r="F288" s="218" t="s">
        <v>1840</v>
      </c>
      <c r="G288" s="218" t="s">
        <v>1841</v>
      </c>
    </row>
    <row r="289" spans="1:7" x14ac:dyDescent="0.15">
      <c r="A289" s="218" t="s">
        <v>2572</v>
      </c>
      <c r="B289" s="218" t="s">
        <v>2573</v>
      </c>
      <c r="C289" s="218" t="s">
        <v>1982</v>
      </c>
      <c r="D289" s="218" t="s">
        <v>2574</v>
      </c>
      <c r="E289" s="218" t="s">
        <v>1839</v>
      </c>
      <c r="F289" s="218" t="s">
        <v>1840</v>
      </c>
      <c r="G289" s="218" t="s">
        <v>1841</v>
      </c>
    </row>
    <row r="290" spans="1:7" x14ac:dyDescent="0.15">
      <c r="A290" s="218" t="s">
        <v>4710</v>
      </c>
      <c r="B290" s="218" t="s">
        <v>4711</v>
      </c>
      <c r="C290" s="218" t="s">
        <v>1982</v>
      </c>
      <c r="D290" s="218" t="s">
        <v>4712</v>
      </c>
      <c r="E290" s="218" t="s">
        <v>1839</v>
      </c>
      <c r="F290" s="218" t="s">
        <v>1840</v>
      </c>
      <c r="G290" s="218" t="s">
        <v>1841</v>
      </c>
    </row>
    <row r="291" spans="1:7" x14ac:dyDescent="0.15">
      <c r="A291" s="218" t="s">
        <v>2575</v>
      </c>
      <c r="B291" s="218" t="s">
        <v>2576</v>
      </c>
      <c r="C291" s="218" t="s">
        <v>1982</v>
      </c>
      <c r="D291" s="218" t="s">
        <v>2577</v>
      </c>
      <c r="E291" s="218" t="s">
        <v>1839</v>
      </c>
      <c r="F291" s="218" t="s">
        <v>1840</v>
      </c>
      <c r="G291" s="218" t="s">
        <v>1841</v>
      </c>
    </row>
    <row r="292" spans="1:7" x14ac:dyDescent="0.15">
      <c r="A292" s="218" t="s">
        <v>2578</v>
      </c>
      <c r="B292" s="218" t="s">
        <v>2579</v>
      </c>
      <c r="C292" s="218" t="s">
        <v>1982</v>
      </c>
      <c r="D292" s="218" t="s">
        <v>2580</v>
      </c>
      <c r="E292" s="218" t="s">
        <v>1839</v>
      </c>
      <c r="F292" s="218" t="s">
        <v>1840</v>
      </c>
      <c r="G292" s="218" t="s">
        <v>1841</v>
      </c>
    </row>
    <row r="293" spans="1:7" x14ac:dyDescent="0.15">
      <c r="A293" s="218" t="s">
        <v>526</v>
      </c>
      <c r="B293" s="218" t="s">
        <v>525</v>
      </c>
      <c r="C293" s="218" t="s">
        <v>1982</v>
      </c>
      <c r="D293" s="218" t="s">
        <v>2581</v>
      </c>
      <c r="E293" s="218" t="s">
        <v>1839</v>
      </c>
      <c r="F293" s="218" t="s">
        <v>1840</v>
      </c>
      <c r="G293" s="218" t="s">
        <v>1841</v>
      </c>
    </row>
    <row r="294" spans="1:7" x14ac:dyDescent="0.15">
      <c r="A294" s="218" t="s">
        <v>2582</v>
      </c>
      <c r="B294" s="218" t="s">
        <v>2583</v>
      </c>
      <c r="C294" s="218" t="s">
        <v>1982</v>
      </c>
      <c r="D294" s="218" t="s">
        <v>2584</v>
      </c>
      <c r="E294" s="218" t="s">
        <v>1839</v>
      </c>
      <c r="F294" s="218" t="s">
        <v>1840</v>
      </c>
      <c r="G294" s="218" t="s">
        <v>1841</v>
      </c>
    </row>
    <row r="295" spans="1:7" x14ac:dyDescent="0.15">
      <c r="A295" s="218" t="s">
        <v>2585</v>
      </c>
      <c r="B295" s="218" t="s">
        <v>2586</v>
      </c>
      <c r="C295" s="218" t="s">
        <v>1982</v>
      </c>
      <c r="D295" s="218" t="s">
        <v>2587</v>
      </c>
      <c r="E295" s="218" t="s">
        <v>1839</v>
      </c>
      <c r="F295" s="218" t="s">
        <v>1840</v>
      </c>
      <c r="G295" s="218" t="s">
        <v>1841</v>
      </c>
    </row>
    <row r="296" spans="1:7" x14ac:dyDescent="0.15">
      <c r="A296" s="218" t="s">
        <v>2588</v>
      </c>
      <c r="B296" s="218" t="s">
        <v>2589</v>
      </c>
      <c r="C296" s="218" t="s">
        <v>1982</v>
      </c>
      <c r="D296" s="218" t="s">
        <v>2590</v>
      </c>
      <c r="E296" s="218" t="s">
        <v>1839</v>
      </c>
      <c r="F296" s="218" t="s">
        <v>1840</v>
      </c>
      <c r="G296" s="218" t="s">
        <v>1841</v>
      </c>
    </row>
    <row r="297" spans="1:7" x14ac:dyDescent="0.15">
      <c r="A297" s="218" t="s">
        <v>2591</v>
      </c>
      <c r="B297" s="218" t="s">
        <v>2592</v>
      </c>
      <c r="C297" s="218" t="s">
        <v>1982</v>
      </c>
      <c r="D297" s="218" t="s">
        <v>2593</v>
      </c>
      <c r="E297" s="218" t="s">
        <v>1839</v>
      </c>
      <c r="F297" s="218" t="s">
        <v>1840</v>
      </c>
      <c r="G297" s="218" t="s">
        <v>1841</v>
      </c>
    </row>
    <row r="298" spans="1:7" x14ac:dyDescent="0.15">
      <c r="A298" s="218" t="s">
        <v>2594</v>
      </c>
      <c r="B298" s="218" t="s">
        <v>2595</v>
      </c>
      <c r="C298" s="218" t="s">
        <v>1982</v>
      </c>
      <c r="D298" s="218" t="s">
        <v>2596</v>
      </c>
      <c r="E298" s="218" t="s">
        <v>1839</v>
      </c>
      <c r="F298" s="218" t="s">
        <v>1840</v>
      </c>
      <c r="G298" s="218" t="s">
        <v>1841</v>
      </c>
    </row>
    <row r="299" spans="1:7" x14ac:dyDescent="0.15">
      <c r="A299" s="218" t="s">
        <v>2597</v>
      </c>
      <c r="B299" s="218" t="s">
        <v>2598</v>
      </c>
      <c r="C299" s="218" t="s">
        <v>1982</v>
      </c>
      <c r="D299" s="218" t="s">
        <v>1526</v>
      </c>
      <c r="E299" s="218" t="s">
        <v>1839</v>
      </c>
      <c r="F299" s="218" t="s">
        <v>1840</v>
      </c>
      <c r="G299" s="218" t="s">
        <v>1841</v>
      </c>
    </row>
    <row r="300" spans="1:7" x14ac:dyDescent="0.15">
      <c r="A300" s="218" t="s">
        <v>9163</v>
      </c>
      <c r="B300" s="218" t="s">
        <v>9164</v>
      </c>
      <c r="C300" s="218" t="s">
        <v>1982</v>
      </c>
      <c r="D300" s="218" t="s">
        <v>9165</v>
      </c>
      <c r="E300" s="218" t="s">
        <v>1839</v>
      </c>
      <c r="F300" s="218" t="s">
        <v>1840</v>
      </c>
      <c r="G300" s="218" t="s">
        <v>1841</v>
      </c>
    </row>
    <row r="301" spans="1:7" x14ac:dyDescent="0.15">
      <c r="A301" s="218" t="s">
        <v>2599</v>
      </c>
      <c r="B301" s="218" t="s">
        <v>2600</v>
      </c>
      <c r="C301" s="218" t="s">
        <v>1982</v>
      </c>
      <c r="D301" s="218" t="s">
        <v>2601</v>
      </c>
      <c r="E301" s="218" t="s">
        <v>1839</v>
      </c>
      <c r="F301" s="218" t="s">
        <v>1840</v>
      </c>
      <c r="G301" s="218" t="s">
        <v>1841</v>
      </c>
    </row>
    <row r="302" spans="1:7" x14ac:dyDescent="0.15">
      <c r="A302" s="218" t="s">
        <v>2602</v>
      </c>
      <c r="B302" s="218" t="s">
        <v>2603</v>
      </c>
      <c r="C302" s="218" t="s">
        <v>1982</v>
      </c>
      <c r="D302" s="218" t="s">
        <v>2604</v>
      </c>
      <c r="E302" s="218" t="s">
        <v>1839</v>
      </c>
      <c r="F302" s="218" t="s">
        <v>1840</v>
      </c>
      <c r="G302" s="218" t="s">
        <v>1841</v>
      </c>
    </row>
    <row r="303" spans="1:7" x14ac:dyDescent="0.15">
      <c r="A303" s="218" t="s">
        <v>2605</v>
      </c>
      <c r="B303" s="218" t="s">
        <v>2606</v>
      </c>
      <c r="C303" s="218" t="s">
        <v>1982</v>
      </c>
      <c r="D303" s="218" t="s">
        <v>2607</v>
      </c>
      <c r="E303" s="218" t="s">
        <v>1839</v>
      </c>
      <c r="F303" s="218" t="s">
        <v>1840</v>
      </c>
      <c r="G303" s="218" t="s">
        <v>1841</v>
      </c>
    </row>
    <row r="304" spans="1:7" x14ac:dyDescent="0.15">
      <c r="A304" s="218" t="s">
        <v>2608</v>
      </c>
      <c r="B304" s="218" t="s">
        <v>2609</v>
      </c>
      <c r="C304" s="218" t="s">
        <v>1982</v>
      </c>
      <c r="D304" s="218" t="s">
        <v>2610</v>
      </c>
      <c r="E304" s="218" t="s">
        <v>1839</v>
      </c>
      <c r="F304" s="218" t="s">
        <v>1840</v>
      </c>
      <c r="G304" s="218" t="s">
        <v>1841</v>
      </c>
    </row>
    <row r="305" spans="1:7" x14ac:dyDescent="0.15">
      <c r="A305" s="218" t="s">
        <v>2611</v>
      </c>
      <c r="B305" s="218" t="s">
        <v>2612</v>
      </c>
      <c r="C305" s="218" t="s">
        <v>1982</v>
      </c>
      <c r="D305" s="218" t="s">
        <v>2613</v>
      </c>
      <c r="E305" s="218" t="s">
        <v>1839</v>
      </c>
      <c r="F305" s="218" t="s">
        <v>1840</v>
      </c>
      <c r="G305" s="218" t="s">
        <v>1841</v>
      </c>
    </row>
    <row r="306" spans="1:7" x14ac:dyDescent="0.15">
      <c r="A306" s="218" t="s">
        <v>2614</v>
      </c>
      <c r="B306" s="218" t="s">
        <v>2615</v>
      </c>
      <c r="C306" s="218" t="s">
        <v>1982</v>
      </c>
      <c r="D306" s="218" t="s">
        <v>2616</v>
      </c>
      <c r="E306" s="218" t="s">
        <v>1839</v>
      </c>
      <c r="F306" s="218" t="s">
        <v>1840</v>
      </c>
      <c r="G306" s="218" t="s">
        <v>1841</v>
      </c>
    </row>
    <row r="307" spans="1:7" x14ac:dyDescent="0.15">
      <c r="A307" s="218" t="s">
        <v>4800</v>
      </c>
      <c r="B307" s="218" t="s">
        <v>4801</v>
      </c>
      <c r="C307" s="218" t="s">
        <v>1982</v>
      </c>
      <c r="D307" s="218" t="s">
        <v>4802</v>
      </c>
      <c r="E307" s="218" t="s">
        <v>1839</v>
      </c>
      <c r="F307" s="218" t="s">
        <v>1840</v>
      </c>
      <c r="G307" s="218" t="s">
        <v>1841</v>
      </c>
    </row>
    <row r="308" spans="1:7" x14ac:dyDescent="0.15">
      <c r="A308" s="218" t="s">
        <v>4806</v>
      </c>
      <c r="B308" s="218" t="s">
        <v>4807</v>
      </c>
      <c r="C308" s="218" t="s">
        <v>1982</v>
      </c>
      <c r="D308" s="218" t="s">
        <v>4808</v>
      </c>
      <c r="E308" s="218" t="s">
        <v>1839</v>
      </c>
      <c r="F308" s="218" t="s">
        <v>1840</v>
      </c>
      <c r="G308" s="218" t="s">
        <v>1841</v>
      </c>
    </row>
    <row r="309" spans="1:7" x14ac:dyDescent="0.15">
      <c r="A309" s="218" t="s">
        <v>2617</v>
      </c>
      <c r="B309" s="218" t="s">
        <v>2618</v>
      </c>
      <c r="C309" s="218" t="s">
        <v>1982</v>
      </c>
      <c r="D309" s="218" t="s">
        <v>2619</v>
      </c>
      <c r="E309" s="218" t="s">
        <v>1839</v>
      </c>
      <c r="F309" s="218" t="s">
        <v>1840</v>
      </c>
      <c r="G309" s="218" t="s">
        <v>1841</v>
      </c>
    </row>
    <row r="310" spans="1:7" x14ac:dyDescent="0.15">
      <c r="A310" s="218" t="s">
        <v>2620</v>
      </c>
      <c r="B310" s="218" t="s">
        <v>2621</v>
      </c>
      <c r="C310" s="218" t="s">
        <v>1982</v>
      </c>
      <c r="D310" s="218" t="s">
        <v>2622</v>
      </c>
      <c r="E310" s="218" t="s">
        <v>1839</v>
      </c>
      <c r="F310" s="218" t="s">
        <v>1840</v>
      </c>
      <c r="G310" s="218" t="s">
        <v>1841</v>
      </c>
    </row>
    <row r="311" spans="1:7" x14ac:dyDescent="0.15">
      <c r="A311" s="218" t="s">
        <v>2623</v>
      </c>
      <c r="B311" s="218" t="s">
        <v>2624</v>
      </c>
      <c r="C311" s="218" t="s">
        <v>1982</v>
      </c>
      <c r="D311" s="218" t="s">
        <v>2625</v>
      </c>
      <c r="E311" s="218" t="s">
        <v>1839</v>
      </c>
      <c r="F311" s="218" t="s">
        <v>1840</v>
      </c>
      <c r="G311" s="218" t="s">
        <v>1841</v>
      </c>
    </row>
    <row r="312" spans="1:7" x14ac:dyDescent="0.15">
      <c r="A312" s="218" t="s">
        <v>2626</v>
      </c>
      <c r="B312" s="218" t="s">
        <v>2627</v>
      </c>
      <c r="C312" s="218" t="s">
        <v>1982</v>
      </c>
      <c r="D312" s="218" t="s">
        <v>2628</v>
      </c>
      <c r="E312" s="218" t="s">
        <v>1839</v>
      </c>
      <c r="F312" s="218" t="s">
        <v>1840</v>
      </c>
      <c r="G312" s="218" t="s">
        <v>1841</v>
      </c>
    </row>
    <row r="313" spans="1:7" x14ac:dyDescent="0.15">
      <c r="A313" s="218" t="s">
        <v>2629</v>
      </c>
      <c r="B313" s="218" t="s">
        <v>2630</v>
      </c>
      <c r="C313" s="218" t="s">
        <v>1982</v>
      </c>
      <c r="D313" s="218" t="s">
        <v>2631</v>
      </c>
      <c r="E313" s="218" t="s">
        <v>1839</v>
      </c>
      <c r="F313" s="218" t="s">
        <v>1840</v>
      </c>
      <c r="G313" s="218" t="s">
        <v>1841</v>
      </c>
    </row>
    <row r="314" spans="1:7" x14ac:dyDescent="0.15">
      <c r="A314" s="218" t="s">
        <v>10137</v>
      </c>
      <c r="B314" s="218" t="s">
        <v>10138</v>
      </c>
      <c r="C314" s="218" t="s">
        <v>1982</v>
      </c>
      <c r="D314" s="218" t="s">
        <v>10139</v>
      </c>
      <c r="E314" s="218" t="s">
        <v>1839</v>
      </c>
      <c r="F314" s="218" t="s">
        <v>1840</v>
      </c>
      <c r="G314" s="218" t="s">
        <v>1841</v>
      </c>
    </row>
    <row r="315" spans="1:7" x14ac:dyDescent="0.15">
      <c r="A315" s="218" t="s">
        <v>2632</v>
      </c>
      <c r="B315" s="218" t="s">
        <v>2633</v>
      </c>
      <c r="C315" s="218" t="s">
        <v>1982</v>
      </c>
      <c r="D315" s="218" t="s">
        <v>2634</v>
      </c>
      <c r="E315" s="218" t="s">
        <v>1839</v>
      </c>
      <c r="F315" s="218" t="s">
        <v>1840</v>
      </c>
      <c r="G315" s="218" t="s">
        <v>1841</v>
      </c>
    </row>
    <row r="316" spans="1:7" x14ac:dyDescent="0.15">
      <c r="A316" s="218" t="s">
        <v>4887</v>
      </c>
      <c r="B316" s="218" t="s">
        <v>4888</v>
      </c>
      <c r="C316" s="218" t="s">
        <v>1982</v>
      </c>
      <c r="D316" s="218" t="s">
        <v>4889</v>
      </c>
      <c r="E316" s="218" t="s">
        <v>1839</v>
      </c>
      <c r="F316" s="218" t="s">
        <v>1840</v>
      </c>
      <c r="G316" s="218" t="s">
        <v>1841</v>
      </c>
    </row>
    <row r="317" spans="1:7" x14ac:dyDescent="0.15">
      <c r="A317" s="218" t="s">
        <v>2635</v>
      </c>
      <c r="B317" s="218" t="s">
        <v>2636</v>
      </c>
      <c r="C317" s="218" t="s">
        <v>1982</v>
      </c>
      <c r="D317" s="218" t="s">
        <v>2637</v>
      </c>
      <c r="E317" s="218" t="s">
        <v>1839</v>
      </c>
      <c r="F317" s="218" t="s">
        <v>1840</v>
      </c>
      <c r="G317" s="218" t="s">
        <v>1841</v>
      </c>
    </row>
    <row r="318" spans="1:7" x14ac:dyDescent="0.15">
      <c r="A318" s="218" t="s">
        <v>2638</v>
      </c>
      <c r="B318" s="218" t="s">
        <v>2639</v>
      </c>
      <c r="C318" s="218" t="s">
        <v>1982</v>
      </c>
      <c r="D318" s="218" t="s">
        <v>2640</v>
      </c>
      <c r="E318" s="218" t="s">
        <v>1839</v>
      </c>
      <c r="F318" s="218" t="s">
        <v>1840</v>
      </c>
      <c r="G318" s="218" t="s">
        <v>1841</v>
      </c>
    </row>
    <row r="319" spans="1:7" x14ac:dyDescent="0.15">
      <c r="A319" s="218" t="s">
        <v>4899</v>
      </c>
      <c r="B319" s="218" t="s">
        <v>4900</v>
      </c>
      <c r="C319" s="218" t="s">
        <v>1982</v>
      </c>
      <c r="D319" s="218" t="s">
        <v>4901</v>
      </c>
      <c r="E319" s="218" t="s">
        <v>1839</v>
      </c>
      <c r="F319" s="218" t="s">
        <v>1840</v>
      </c>
      <c r="G319" s="218" t="s">
        <v>1841</v>
      </c>
    </row>
    <row r="320" spans="1:7" x14ac:dyDescent="0.15">
      <c r="A320" s="218" t="s">
        <v>2641</v>
      </c>
      <c r="B320" s="218" t="s">
        <v>2642</v>
      </c>
      <c r="C320" s="218" t="s">
        <v>1982</v>
      </c>
      <c r="D320" s="218" t="s">
        <v>2643</v>
      </c>
      <c r="E320" s="218" t="s">
        <v>1839</v>
      </c>
      <c r="F320" s="218" t="s">
        <v>1840</v>
      </c>
      <c r="G320" s="218" t="s">
        <v>1841</v>
      </c>
    </row>
    <row r="321" spans="1:7" x14ac:dyDescent="0.15">
      <c r="A321" s="218" t="s">
        <v>2644</v>
      </c>
      <c r="B321" s="218" t="s">
        <v>541</v>
      </c>
      <c r="C321" s="218" t="s">
        <v>1982</v>
      </c>
      <c r="D321" s="218" t="s">
        <v>2645</v>
      </c>
      <c r="E321" s="218" t="s">
        <v>1839</v>
      </c>
      <c r="F321" s="218" t="s">
        <v>1840</v>
      </c>
      <c r="G321" s="218" t="s">
        <v>1841</v>
      </c>
    </row>
    <row r="322" spans="1:7" x14ac:dyDescent="0.15">
      <c r="A322" s="218" t="s">
        <v>2646</v>
      </c>
      <c r="B322" s="218" t="s">
        <v>2647</v>
      </c>
      <c r="C322" s="218" t="s">
        <v>1982</v>
      </c>
      <c r="D322" s="218" t="s">
        <v>2648</v>
      </c>
      <c r="E322" s="218" t="s">
        <v>1839</v>
      </c>
      <c r="F322" s="218" t="s">
        <v>1840</v>
      </c>
      <c r="G322" s="218" t="s">
        <v>1841</v>
      </c>
    </row>
    <row r="323" spans="1:7" x14ac:dyDescent="0.15">
      <c r="A323" s="218" t="s">
        <v>2649</v>
      </c>
      <c r="B323" s="218" t="s">
        <v>2650</v>
      </c>
      <c r="C323" s="218" t="s">
        <v>1982</v>
      </c>
      <c r="D323" s="218" t="s">
        <v>2651</v>
      </c>
      <c r="E323" s="218" t="s">
        <v>1839</v>
      </c>
      <c r="F323" s="218" t="s">
        <v>1840</v>
      </c>
      <c r="G323" s="218" t="s">
        <v>1841</v>
      </c>
    </row>
    <row r="324" spans="1:7" x14ac:dyDescent="0.15">
      <c r="A324" s="218" t="s">
        <v>2652</v>
      </c>
      <c r="B324" s="218" t="s">
        <v>2653</v>
      </c>
      <c r="C324" s="218" t="s">
        <v>1982</v>
      </c>
      <c r="D324" s="218" t="s">
        <v>2654</v>
      </c>
      <c r="E324" s="218" t="s">
        <v>1839</v>
      </c>
      <c r="F324" s="218" t="s">
        <v>1840</v>
      </c>
      <c r="G324" s="218" t="s">
        <v>1841</v>
      </c>
    </row>
    <row r="325" spans="1:7" x14ac:dyDescent="0.15">
      <c r="A325" s="218" t="s">
        <v>2655</v>
      </c>
      <c r="B325" s="218" t="s">
        <v>2656</v>
      </c>
      <c r="C325" s="218" t="s">
        <v>1982</v>
      </c>
      <c r="D325" s="218" t="s">
        <v>2657</v>
      </c>
      <c r="E325" s="218" t="s">
        <v>1839</v>
      </c>
      <c r="F325" s="218" t="s">
        <v>1840</v>
      </c>
      <c r="G325" s="218" t="s">
        <v>1841</v>
      </c>
    </row>
    <row r="326" spans="1:7" x14ac:dyDescent="0.15">
      <c r="A326" s="218" t="s">
        <v>4928</v>
      </c>
      <c r="B326" s="218" t="s">
        <v>4929</v>
      </c>
      <c r="C326" s="218" t="s">
        <v>1982</v>
      </c>
      <c r="D326" s="218" t="s">
        <v>4930</v>
      </c>
      <c r="E326" s="218" t="s">
        <v>1839</v>
      </c>
      <c r="F326" s="218" t="s">
        <v>1840</v>
      </c>
      <c r="G326" s="218" t="s">
        <v>1841</v>
      </c>
    </row>
    <row r="327" spans="1:7" x14ac:dyDescent="0.15">
      <c r="A327" s="218" t="s">
        <v>2658</v>
      </c>
      <c r="B327" s="218" t="s">
        <v>2659</v>
      </c>
      <c r="C327" s="218" t="s">
        <v>1982</v>
      </c>
      <c r="D327" s="218" t="s">
        <v>2660</v>
      </c>
      <c r="E327" s="218" t="s">
        <v>1839</v>
      </c>
      <c r="F327" s="218" t="s">
        <v>1840</v>
      </c>
      <c r="G327" s="218" t="s">
        <v>1841</v>
      </c>
    </row>
    <row r="328" spans="1:7" x14ac:dyDescent="0.15">
      <c r="A328" s="218" t="s">
        <v>2661</v>
      </c>
      <c r="B328" s="218" t="s">
        <v>2662</v>
      </c>
      <c r="C328" s="218" t="s">
        <v>1982</v>
      </c>
      <c r="D328" s="218" t="s">
        <v>2663</v>
      </c>
      <c r="E328" s="218" t="s">
        <v>1839</v>
      </c>
      <c r="F328" s="218" t="s">
        <v>1840</v>
      </c>
      <c r="G328" s="218" t="s">
        <v>1841</v>
      </c>
    </row>
    <row r="329" spans="1:7" x14ac:dyDescent="0.15">
      <c r="A329" s="218" t="s">
        <v>554</v>
      </c>
      <c r="B329" s="218" t="s">
        <v>553</v>
      </c>
      <c r="C329" s="218" t="s">
        <v>1982</v>
      </c>
      <c r="D329" s="218" t="s">
        <v>2664</v>
      </c>
      <c r="E329" s="218" t="s">
        <v>1839</v>
      </c>
      <c r="F329" s="218" t="s">
        <v>1840</v>
      </c>
      <c r="G329" s="218" t="s">
        <v>1841</v>
      </c>
    </row>
    <row r="330" spans="1:7" x14ac:dyDescent="0.15">
      <c r="A330" s="218" t="s">
        <v>2665</v>
      </c>
      <c r="B330" s="218" t="s">
        <v>2666</v>
      </c>
      <c r="C330" s="218" t="s">
        <v>1982</v>
      </c>
      <c r="D330" s="218" t="s">
        <v>2667</v>
      </c>
      <c r="E330" s="218" t="s">
        <v>1839</v>
      </c>
      <c r="F330" s="218" t="s">
        <v>1840</v>
      </c>
      <c r="G330" s="218" t="s">
        <v>1841</v>
      </c>
    </row>
    <row r="331" spans="1:7" x14ac:dyDescent="0.15">
      <c r="A331" s="218" t="s">
        <v>2668</v>
      </c>
      <c r="B331" s="218" t="s">
        <v>2669</v>
      </c>
      <c r="C331" s="218" t="s">
        <v>1982</v>
      </c>
      <c r="D331" s="218" t="s">
        <v>2670</v>
      </c>
      <c r="E331" s="218" t="s">
        <v>1839</v>
      </c>
      <c r="F331" s="218" t="s">
        <v>1840</v>
      </c>
      <c r="G331" s="218" t="s">
        <v>1841</v>
      </c>
    </row>
    <row r="332" spans="1:7" x14ac:dyDescent="0.15">
      <c r="A332" s="218" t="s">
        <v>9166</v>
      </c>
      <c r="B332" s="218" t="s">
        <v>9167</v>
      </c>
      <c r="C332" s="218" t="s">
        <v>1982</v>
      </c>
      <c r="D332" s="218" t="s">
        <v>9168</v>
      </c>
      <c r="E332" s="218" t="s">
        <v>1839</v>
      </c>
      <c r="F332" s="218" t="s">
        <v>1840</v>
      </c>
      <c r="G332" s="218" t="s">
        <v>1841</v>
      </c>
    </row>
    <row r="333" spans="1:7" x14ac:dyDescent="0.15">
      <c r="A333" s="218" t="s">
        <v>2671</v>
      </c>
      <c r="B333" s="218" t="s">
        <v>2672</v>
      </c>
      <c r="C333" s="218" t="s">
        <v>1982</v>
      </c>
      <c r="D333" s="218" t="s">
        <v>2673</v>
      </c>
      <c r="E333" s="218" t="s">
        <v>1839</v>
      </c>
      <c r="F333" s="218" t="s">
        <v>1840</v>
      </c>
      <c r="G333" s="218" t="s">
        <v>1841</v>
      </c>
    </row>
    <row r="334" spans="1:7" x14ac:dyDescent="0.15">
      <c r="A334" s="218" t="s">
        <v>2674</v>
      </c>
      <c r="B334" s="218" t="s">
        <v>512</v>
      </c>
      <c r="C334" s="218" t="s">
        <v>1982</v>
      </c>
      <c r="D334" s="218" t="s">
        <v>2675</v>
      </c>
      <c r="E334" s="218" t="s">
        <v>1839</v>
      </c>
      <c r="F334" s="218" t="s">
        <v>1840</v>
      </c>
      <c r="G334" s="218" t="s">
        <v>1841</v>
      </c>
    </row>
    <row r="335" spans="1:7" x14ac:dyDescent="0.15">
      <c r="A335" s="218" t="s">
        <v>2676</v>
      </c>
      <c r="B335" s="218" t="s">
        <v>2677</v>
      </c>
      <c r="C335" s="218" t="s">
        <v>1982</v>
      </c>
      <c r="D335" s="218" t="s">
        <v>2678</v>
      </c>
      <c r="E335" s="218" t="s">
        <v>1839</v>
      </c>
      <c r="F335" s="218" t="s">
        <v>1840</v>
      </c>
      <c r="G335" s="218" t="s">
        <v>1841</v>
      </c>
    </row>
    <row r="336" spans="1:7" x14ac:dyDescent="0.15">
      <c r="A336" s="218" t="s">
        <v>2679</v>
      </c>
      <c r="B336" s="218" t="s">
        <v>2680</v>
      </c>
      <c r="C336" s="218" t="s">
        <v>1982</v>
      </c>
      <c r="D336" s="218" t="s">
        <v>2681</v>
      </c>
      <c r="E336" s="218" t="s">
        <v>1839</v>
      </c>
      <c r="F336" s="218" t="s">
        <v>1840</v>
      </c>
      <c r="G336" s="218" t="s">
        <v>1841</v>
      </c>
    </row>
    <row r="337" spans="1:7" x14ac:dyDescent="0.15">
      <c r="A337" s="218" t="s">
        <v>2682</v>
      </c>
      <c r="B337" s="218" t="s">
        <v>2683</v>
      </c>
      <c r="C337" s="218" t="s">
        <v>1982</v>
      </c>
      <c r="D337" s="218" t="s">
        <v>2684</v>
      </c>
      <c r="E337" s="218" t="s">
        <v>1839</v>
      </c>
      <c r="F337" s="218" t="s">
        <v>1840</v>
      </c>
      <c r="G337" s="218" t="s">
        <v>1841</v>
      </c>
    </row>
    <row r="338" spans="1:7" x14ac:dyDescent="0.15">
      <c r="A338" s="218" t="s">
        <v>566</v>
      </c>
      <c r="B338" s="218" t="s">
        <v>565</v>
      </c>
      <c r="C338" s="218" t="s">
        <v>1982</v>
      </c>
      <c r="D338" s="218" t="s">
        <v>2685</v>
      </c>
      <c r="E338" s="218" t="s">
        <v>1839</v>
      </c>
      <c r="F338" s="218" t="s">
        <v>1840</v>
      </c>
      <c r="G338" s="218" t="s">
        <v>1841</v>
      </c>
    </row>
    <row r="339" spans="1:7" x14ac:dyDescent="0.15">
      <c r="A339" s="218" t="s">
        <v>2686</v>
      </c>
      <c r="B339" s="218" t="s">
        <v>2687</v>
      </c>
      <c r="C339" s="218" t="s">
        <v>1982</v>
      </c>
      <c r="D339" s="218" t="s">
        <v>2688</v>
      </c>
      <c r="E339" s="218" t="s">
        <v>1839</v>
      </c>
      <c r="F339" s="218" t="s">
        <v>1840</v>
      </c>
      <c r="G339" s="218" t="s">
        <v>1841</v>
      </c>
    </row>
    <row r="340" spans="1:7" x14ac:dyDescent="0.15">
      <c r="A340" s="218" t="s">
        <v>2689</v>
      </c>
      <c r="B340" s="218" t="s">
        <v>2690</v>
      </c>
      <c r="C340" s="218" t="s">
        <v>1982</v>
      </c>
      <c r="D340" s="218" t="s">
        <v>2691</v>
      </c>
      <c r="E340" s="218" t="s">
        <v>1839</v>
      </c>
      <c r="F340" s="218" t="s">
        <v>1840</v>
      </c>
      <c r="G340" s="218" t="s">
        <v>1841</v>
      </c>
    </row>
    <row r="341" spans="1:7" x14ac:dyDescent="0.15">
      <c r="A341" s="218" t="s">
        <v>2692</v>
      </c>
      <c r="B341" s="218" t="s">
        <v>2693</v>
      </c>
      <c r="C341" s="218" t="s">
        <v>1982</v>
      </c>
      <c r="D341" s="218" t="s">
        <v>2694</v>
      </c>
      <c r="E341" s="218" t="s">
        <v>1839</v>
      </c>
      <c r="F341" s="218" t="s">
        <v>1840</v>
      </c>
      <c r="G341" s="218" t="s">
        <v>1841</v>
      </c>
    </row>
    <row r="342" spans="1:7" x14ac:dyDescent="0.15">
      <c r="A342" s="218" t="s">
        <v>2695</v>
      </c>
      <c r="B342" s="218" t="s">
        <v>2696</v>
      </c>
      <c r="C342" s="218" t="s">
        <v>1982</v>
      </c>
      <c r="D342" s="218" t="s">
        <v>2697</v>
      </c>
      <c r="E342" s="218" t="s">
        <v>1839</v>
      </c>
      <c r="F342" s="218" t="s">
        <v>1840</v>
      </c>
      <c r="G342" s="218" t="s">
        <v>1841</v>
      </c>
    </row>
    <row r="343" spans="1:7" x14ac:dyDescent="0.15">
      <c r="A343" s="218" t="s">
        <v>5029</v>
      </c>
      <c r="B343" s="218" t="s">
        <v>5030</v>
      </c>
      <c r="C343" s="218" t="s">
        <v>1982</v>
      </c>
      <c r="D343" s="218" t="s">
        <v>2697</v>
      </c>
      <c r="E343" s="218" t="s">
        <v>1839</v>
      </c>
      <c r="F343" s="218" t="s">
        <v>1840</v>
      </c>
      <c r="G343" s="218" t="s">
        <v>1841</v>
      </c>
    </row>
    <row r="344" spans="1:7" x14ac:dyDescent="0.15">
      <c r="A344" s="218" t="s">
        <v>2698</v>
      </c>
      <c r="B344" s="218" t="s">
        <v>2699</v>
      </c>
      <c r="C344" s="218" t="s">
        <v>1982</v>
      </c>
      <c r="D344" s="218" t="s">
        <v>2700</v>
      </c>
      <c r="E344" s="218" t="s">
        <v>1839</v>
      </c>
      <c r="F344" s="218" t="s">
        <v>1840</v>
      </c>
      <c r="G344" s="218" t="s">
        <v>1841</v>
      </c>
    </row>
    <row r="345" spans="1:7" x14ac:dyDescent="0.15">
      <c r="A345" s="218" t="s">
        <v>2701</v>
      </c>
      <c r="B345" s="218" t="s">
        <v>2702</v>
      </c>
      <c r="C345" s="218" t="s">
        <v>1982</v>
      </c>
      <c r="D345" s="218" t="s">
        <v>2700</v>
      </c>
      <c r="E345" s="218" t="s">
        <v>1839</v>
      </c>
      <c r="F345" s="218" t="s">
        <v>1840</v>
      </c>
      <c r="G345" s="218" t="s">
        <v>1841</v>
      </c>
    </row>
    <row r="346" spans="1:7" x14ac:dyDescent="0.15">
      <c r="A346" s="218" t="s">
        <v>2703</v>
      </c>
      <c r="B346" s="218" t="s">
        <v>2704</v>
      </c>
      <c r="C346" s="218" t="s">
        <v>1982</v>
      </c>
      <c r="D346" s="218" t="s">
        <v>2705</v>
      </c>
      <c r="E346" s="218" t="s">
        <v>1839</v>
      </c>
      <c r="F346" s="218" t="s">
        <v>1840</v>
      </c>
      <c r="G346" s="218" t="s">
        <v>1841</v>
      </c>
    </row>
    <row r="347" spans="1:7" x14ac:dyDescent="0.15">
      <c r="A347" s="218" t="s">
        <v>2706</v>
      </c>
      <c r="B347" s="218" t="s">
        <v>2707</v>
      </c>
      <c r="C347" s="218" t="s">
        <v>1982</v>
      </c>
      <c r="D347" s="218" t="s">
        <v>2705</v>
      </c>
      <c r="E347" s="218" t="s">
        <v>1839</v>
      </c>
      <c r="F347" s="218" t="s">
        <v>1840</v>
      </c>
      <c r="G347" s="218" t="s">
        <v>1841</v>
      </c>
    </row>
    <row r="348" spans="1:7" x14ac:dyDescent="0.15">
      <c r="A348" s="218" t="s">
        <v>2708</v>
      </c>
      <c r="B348" s="218" t="s">
        <v>1640</v>
      </c>
      <c r="C348" s="218" t="s">
        <v>1982</v>
      </c>
      <c r="D348" s="218" t="s">
        <v>1641</v>
      </c>
      <c r="E348" s="218" t="s">
        <v>1839</v>
      </c>
      <c r="F348" s="218" t="s">
        <v>1840</v>
      </c>
      <c r="G348" s="218" t="s">
        <v>1841</v>
      </c>
    </row>
    <row r="349" spans="1:7" x14ac:dyDescent="0.15">
      <c r="A349" s="218" t="s">
        <v>2709</v>
      </c>
      <c r="B349" s="218" t="s">
        <v>2710</v>
      </c>
      <c r="C349" s="218" t="s">
        <v>1982</v>
      </c>
      <c r="D349" s="218" t="s">
        <v>2711</v>
      </c>
      <c r="E349" s="218" t="s">
        <v>1839</v>
      </c>
      <c r="F349" s="218" t="s">
        <v>1840</v>
      </c>
      <c r="G349" s="218" t="s">
        <v>1841</v>
      </c>
    </row>
    <row r="350" spans="1:7" x14ac:dyDescent="0.15">
      <c r="A350" s="218" t="s">
        <v>10267</v>
      </c>
      <c r="B350" s="218" t="s">
        <v>10268</v>
      </c>
      <c r="C350" s="218" t="s">
        <v>1982</v>
      </c>
      <c r="D350" s="218" t="s">
        <v>10268</v>
      </c>
      <c r="E350" s="218" t="s">
        <v>1839</v>
      </c>
      <c r="F350" s="218" t="s">
        <v>1840</v>
      </c>
      <c r="G350" s="218" t="s">
        <v>1841</v>
      </c>
    </row>
    <row r="351" spans="1:7" x14ac:dyDescent="0.15">
      <c r="A351" s="218" t="s">
        <v>2712</v>
      </c>
      <c r="B351" s="218" t="s">
        <v>2713</v>
      </c>
      <c r="C351" s="218" t="s">
        <v>1982</v>
      </c>
      <c r="D351" s="218" t="s">
        <v>2714</v>
      </c>
      <c r="E351" s="218" t="s">
        <v>1839</v>
      </c>
      <c r="F351" s="218" t="s">
        <v>1840</v>
      </c>
      <c r="G351" s="218" t="s">
        <v>1841</v>
      </c>
    </row>
    <row r="352" spans="1:7" x14ac:dyDescent="0.15">
      <c r="A352" s="218" t="s">
        <v>2715</v>
      </c>
      <c r="B352" s="218" t="s">
        <v>2716</v>
      </c>
      <c r="C352" s="218" t="s">
        <v>1982</v>
      </c>
      <c r="D352" s="218" t="s">
        <v>2717</v>
      </c>
      <c r="E352" s="218" t="s">
        <v>1839</v>
      </c>
      <c r="F352" s="218" t="s">
        <v>1840</v>
      </c>
      <c r="G352" s="218" t="s">
        <v>1841</v>
      </c>
    </row>
    <row r="353" spans="1:7" x14ac:dyDescent="0.15">
      <c r="A353" s="218" t="s">
        <v>2718</v>
      </c>
      <c r="B353" s="218" t="s">
        <v>2719</v>
      </c>
      <c r="C353" s="218" t="s">
        <v>1982</v>
      </c>
      <c r="D353" s="218" t="s">
        <v>2720</v>
      </c>
      <c r="E353" s="218" t="s">
        <v>1839</v>
      </c>
      <c r="F353" s="218" t="s">
        <v>1840</v>
      </c>
      <c r="G353" s="218" t="s">
        <v>1841</v>
      </c>
    </row>
    <row r="354" spans="1:7" x14ac:dyDescent="0.15">
      <c r="A354" s="218" t="s">
        <v>9169</v>
      </c>
      <c r="B354" s="218" t="s">
        <v>9170</v>
      </c>
      <c r="C354" s="218" t="s">
        <v>1982</v>
      </c>
      <c r="D354" s="218" t="s">
        <v>9171</v>
      </c>
      <c r="E354" s="218" t="s">
        <v>1839</v>
      </c>
      <c r="F354" s="218" t="s">
        <v>1840</v>
      </c>
      <c r="G354" s="218" t="s">
        <v>1841</v>
      </c>
    </row>
    <row r="355" spans="1:7" x14ac:dyDescent="0.15">
      <c r="A355" s="218" t="s">
        <v>2721</v>
      </c>
      <c r="B355" s="218" t="s">
        <v>2722</v>
      </c>
      <c r="C355" s="218" t="s">
        <v>1982</v>
      </c>
      <c r="D355" s="218" t="s">
        <v>2723</v>
      </c>
      <c r="E355" s="218" t="s">
        <v>1839</v>
      </c>
      <c r="F355" s="218" t="s">
        <v>1840</v>
      </c>
      <c r="G355" s="218" t="s">
        <v>1841</v>
      </c>
    </row>
    <row r="356" spans="1:7" x14ac:dyDescent="0.15">
      <c r="A356" s="218" t="s">
        <v>2724</v>
      </c>
      <c r="B356" s="218" t="s">
        <v>2725</v>
      </c>
      <c r="C356" s="218" t="s">
        <v>1982</v>
      </c>
      <c r="D356" s="218" t="s">
        <v>2726</v>
      </c>
      <c r="E356" s="218" t="s">
        <v>1839</v>
      </c>
      <c r="F356" s="218" t="s">
        <v>1840</v>
      </c>
      <c r="G356" s="218" t="s">
        <v>1841</v>
      </c>
    </row>
    <row r="357" spans="1:7" x14ac:dyDescent="0.15">
      <c r="A357" s="218" t="s">
        <v>2727</v>
      </c>
      <c r="B357" s="218" t="s">
        <v>2728</v>
      </c>
      <c r="C357" s="218" t="s">
        <v>1982</v>
      </c>
      <c r="D357" s="218" t="s">
        <v>2729</v>
      </c>
      <c r="E357" s="218" t="s">
        <v>1839</v>
      </c>
      <c r="F357" s="218" t="s">
        <v>1840</v>
      </c>
      <c r="G357" s="218" t="s">
        <v>1841</v>
      </c>
    </row>
    <row r="358" spans="1:7" x14ac:dyDescent="0.15">
      <c r="A358" s="218" t="s">
        <v>9172</v>
      </c>
      <c r="B358" s="218" t="s">
        <v>9173</v>
      </c>
      <c r="C358" s="218" t="s">
        <v>1982</v>
      </c>
      <c r="D358" s="218" t="s">
        <v>9174</v>
      </c>
      <c r="E358" s="218" t="s">
        <v>1839</v>
      </c>
      <c r="F358" s="218" t="s">
        <v>1840</v>
      </c>
      <c r="G358" s="218" t="s">
        <v>1841</v>
      </c>
    </row>
    <row r="359" spans="1:7" x14ac:dyDescent="0.15">
      <c r="A359" s="218" t="s">
        <v>2730</v>
      </c>
      <c r="B359" s="218" t="s">
        <v>2731</v>
      </c>
      <c r="C359" s="218" t="s">
        <v>1982</v>
      </c>
      <c r="D359" s="218" t="s">
        <v>2732</v>
      </c>
      <c r="E359" s="218" t="s">
        <v>1839</v>
      </c>
      <c r="F359" s="218" t="s">
        <v>1840</v>
      </c>
      <c r="G359" s="218" t="s">
        <v>1841</v>
      </c>
    </row>
    <row r="360" spans="1:7" x14ac:dyDescent="0.15">
      <c r="A360" s="218" t="s">
        <v>2733</v>
      </c>
      <c r="B360" s="218" t="s">
        <v>2734</v>
      </c>
      <c r="C360" s="218" t="s">
        <v>1982</v>
      </c>
      <c r="D360" s="218" t="s">
        <v>2735</v>
      </c>
      <c r="E360" s="218" t="s">
        <v>1839</v>
      </c>
      <c r="F360" s="218" t="s">
        <v>1840</v>
      </c>
      <c r="G360" s="218" t="s">
        <v>1841</v>
      </c>
    </row>
    <row r="361" spans="1:7" x14ac:dyDescent="0.15">
      <c r="A361" s="218" t="s">
        <v>2736</v>
      </c>
      <c r="B361" s="218" t="s">
        <v>2737</v>
      </c>
      <c r="C361" s="218" t="s">
        <v>1982</v>
      </c>
      <c r="D361" s="218" t="s">
        <v>2738</v>
      </c>
      <c r="E361" s="218" t="s">
        <v>1839</v>
      </c>
      <c r="F361" s="218" t="s">
        <v>1840</v>
      </c>
      <c r="G361" s="218" t="s">
        <v>1841</v>
      </c>
    </row>
    <row r="362" spans="1:7" x14ac:dyDescent="0.15">
      <c r="A362" s="218" t="s">
        <v>2739</v>
      </c>
      <c r="B362" s="218" t="s">
        <v>2740</v>
      </c>
      <c r="C362" s="218" t="s">
        <v>1982</v>
      </c>
      <c r="D362" s="218" t="s">
        <v>2741</v>
      </c>
      <c r="E362" s="218" t="s">
        <v>1839</v>
      </c>
      <c r="F362" s="218" t="s">
        <v>1840</v>
      </c>
      <c r="G362" s="218" t="s">
        <v>1841</v>
      </c>
    </row>
    <row r="363" spans="1:7" x14ac:dyDescent="0.15">
      <c r="A363" s="218" t="s">
        <v>5118</v>
      </c>
      <c r="B363" s="218" t="s">
        <v>5119</v>
      </c>
      <c r="C363" s="218" t="s">
        <v>1982</v>
      </c>
      <c r="D363" s="218" t="s">
        <v>5120</v>
      </c>
      <c r="E363" s="218" t="s">
        <v>1839</v>
      </c>
      <c r="F363" s="218" t="s">
        <v>1840</v>
      </c>
      <c r="G363" s="218" t="s">
        <v>1841</v>
      </c>
    </row>
    <row r="364" spans="1:7" x14ac:dyDescent="0.15">
      <c r="A364" s="218" t="s">
        <v>2742</v>
      </c>
      <c r="B364" s="218" t="s">
        <v>2743</v>
      </c>
      <c r="C364" s="218" t="s">
        <v>1982</v>
      </c>
      <c r="D364" s="218" t="s">
        <v>2744</v>
      </c>
      <c r="E364" s="218" t="s">
        <v>1839</v>
      </c>
      <c r="F364" s="218" t="s">
        <v>1840</v>
      </c>
      <c r="G364" s="218" t="s">
        <v>1841</v>
      </c>
    </row>
    <row r="365" spans="1:7" x14ac:dyDescent="0.15">
      <c r="A365" s="218" t="s">
        <v>2745</v>
      </c>
      <c r="B365" s="218" t="s">
        <v>2746</v>
      </c>
      <c r="C365" s="218" t="s">
        <v>1982</v>
      </c>
      <c r="D365" s="218" t="s">
        <v>2747</v>
      </c>
      <c r="E365" s="218" t="s">
        <v>1839</v>
      </c>
      <c r="F365" s="218" t="s">
        <v>1840</v>
      </c>
      <c r="G365" s="218" t="s">
        <v>1841</v>
      </c>
    </row>
    <row r="366" spans="1:7" x14ac:dyDescent="0.15">
      <c r="A366" s="218" t="s">
        <v>2748</v>
      </c>
      <c r="B366" s="218" t="s">
        <v>2749</v>
      </c>
      <c r="C366" s="218" t="s">
        <v>1982</v>
      </c>
      <c r="D366" s="218" t="s">
        <v>2750</v>
      </c>
      <c r="E366" s="218" t="s">
        <v>1839</v>
      </c>
      <c r="F366" s="218" t="s">
        <v>1840</v>
      </c>
      <c r="G366" s="218" t="s">
        <v>1841</v>
      </c>
    </row>
    <row r="367" spans="1:7" x14ac:dyDescent="0.15">
      <c r="A367" s="218" t="s">
        <v>5136</v>
      </c>
      <c r="B367" s="218" t="s">
        <v>5137</v>
      </c>
      <c r="C367" s="218" t="s">
        <v>1982</v>
      </c>
      <c r="D367" s="218" t="s">
        <v>5138</v>
      </c>
      <c r="E367" s="218" t="s">
        <v>1839</v>
      </c>
      <c r="F367" s="218" t="s">
        <v>1840</v>
      </c>
      <c r="G367" s="218" t="s">
        <v>1841</v>
      </c>
    </row>
    <row r="368" spans="1:7" x14ac:dyDescent="0.15">
      <c r="A368" s="218" t="s">
        <v>2751</v>
      </c>
      <c r="B368" s="218" t="s">
        <v>2752</v>
      </c>
      <c r="C368" s="218" t="s">
        <v>1982</v>
      </c>
      <c r="D368" s="218" t="s">
        <v>2753</v>
      </c>
      <c r="E368" s="218" t="s">
        <v>1839</v>
      </c>
      <c r="F368" s="218" t="s">
        <v>1840</v>
      </c>
      <c r="G368" s="218" t="s">
        <v>1841</v>
      </c>
    </row>
    <row r="369" spans="1:7" x14ac:dyDescent="0.15">
      <c r="A369" s="218" t="s">
        <v>2754</v>
      </c>
      <c r="B369" s="218" t="s">
        <v>2755</v>
      </c>
      <c r="C369" s="218" t="s">
        <v>1982</v>
      </c>
      <c r="D369" s="218" t="s">
        <v>2756</v>
      </c>
      <c r="E369" s="218" t="s">
        <v>1839</v>
      </c>
      <c r="F369" s="218" t="s">
        <v>1840</v>
      </c>
      <c r="G369" s="218" t="s">
        <v>1841</v>
      </c>
    </row>
    <row r="370" spans="1:7" x14ac:dyDescent="0.15">
      <c r="A370" s="218" t="s">
        <v>2757</v>
      </c>
      <c r="B370" s="218" t="s">
        <v>2758</v>
      </c>
      <c r="C370" s="218" t="s">
        <v>1982</v>
      </c>
      <c r="D370" s="218" t="s">
        <v>2756</v>
      </c>
      <c r="E370" s="218" t="s">
        <v>1839</v>
      </c>
      <c r="F370" s="218" t="s">
        <v>1840</v>
      </c>
      <c r="G370" s="218" t="s">
        <v>1841</v>
      </c>
    </row>
    <row r="371" spans="1:7" x14ac:dyDescent="0.15">
      <c r="A371" s="218" t="s">
        <v>2759</v>
      </c>
      <c r="B371" s="218" t="s">
        <v>2760</v>
      </c>
      <c r="C371" s="218" t="s">
        <v>1982</v>
      </c>
      <c r="D371" s="218" t="s">
        <v>2761</v>
      </c>
      <c r="E371" s="218" t="s">
        <v>1839</v>
      </c>
      <c r="F371" s="218" t="s">
        <v>1840</v>
      </c>
      <c r="G371" s="218" t="s">
        <v>1841</v>
      </c>
    </row>
    <row r="372" spans="1:7" x14ac:dyDescent="0.15">
      <c r="A372" s="218" t="s">
        <v>569</v>
      </c>
      <c r="B372" s="218" t="s">
        <v>513</v>
      </c>
      <c r="C372" s="218" t="s">
        <v>1982</v>
      </c>
      <c r="D372" s="218" t="s">
        <v>2762</v>
      </c>
      <c r="E372" s="218" t="s">
        <v>1839</v>
      </c>
      <c r="F372" s="218" t="s">
        <v>1840</v>
      </c>
      <c r="G372" s="218" t="s">
        <v>1841</v>
      </c>
    </row>
    <row r="373" spans="1:7" x14ac:dyDescent="0.15">
      <c r="A373" s="218" t="s">
        <v>2763</v>
      </c>
      <c r="B373" s="218" t="s">
        <v>2764</v>
      </c>
      <c r="C373" s="218" t="s">
        <v>1982</v>
      </c>
      <c r="D373" s="218" t="s">
        <v>2765</v>
      </c>
      <c r="E373" s="218" t="s">
        <v>1839</v>
      </c>
      <c r="F373" s="218" t="s">
        <v>1840</v>
      </c>
      <c r="G373" s="218" t="s">
        <v>1841</v>
      </c>
    </row>
    <row r="374" spans="1:7" x14ac:dyDescent="0.15">
      <c r="A374" s="218" t="s">
        <v>2766</v>
      </c>
      <c r="B374" s="218" t="s">
        <v>2767</v>
      </c>
      <c r="C374" s="218" t="s">
        <v>1982</v>
      </c>
      <c r="D374" s="218" t="s">
        <v>2768</v>
      </c>
      <c r="E374" s="218" t="s">
        <v>1839</v>
      </c>
      <c r="F374" s="218" t="s">
        <v>1840</v>
      </c>
      <c r="G374" s="218" t="s">
        <v>1841</v>
      </c>
    </row>
    <row r="375" spans="1:7" x14ac:dyDescent="0.15">
      <c r="A375" s="218" t="s">
        <v>2769</v>
      </c>
      <c r="B375" s="218" t="s">
        <v>2770</v>
      </c>
      <c r="C375" s="218" t="s">
        <v>1982</v>
      </c>
      <c r="D375" s="218" t="s">
        <v>2771</v>
      </c>
      <c r="E375" s="218" t="s">
        <v>1839</v>
      </c>
      <c r="F375" s="218" t="s">
        <v>1840</v>
      </c>
      <c r="G375" s="218" t="s">
        <v>1841</v>
      </c>
    </row>
    <row r="376" spans="1:7" x14ac:dyDescent="0.15">
      <c r="A376" s="218" t="s">
        <v>2772</v>
      </c>
      <c r="B376" s="218" t="s">
        <v>2773</v>
      </c>
      <c r="C376" s="218" t="s">
        <v>1982</v>
      </c>
      <c r="D376" s="218" t="s">
        <v>2774</v>
      </c>
      <c r="E376" s="218" t="s">
        <v>1839</v>
      </c>
      <c r="F376" s="218" t="s">
        <v>1840</v>
      </c>
      <c r="G376" s="218" t="s">
        <v>1841</v>
      </c>
    </row>
    <row r="377" spans="1:7" x14ac:dyDescent="0.15">
      <c r="A377" s="218" t="s">
        <v>2775</v>
      </c>
      <c r="B377" s="218" t="s">
        <v>2776</v>
      </c>
      <c r="C377" s="218" t="s">
        <v>1982</v>
      </c>
      <c r="D377" s="218" t="s">
        <v>2777</v>
      </c>
      <c r="E377" s="218" t="s">
        <v>1839</v>
      </c>
      <c r="F377" s="218" t="s">
        <v>1840</v>
      </c>
      <c r="G377" s="218" t="s">
        <v>1841</v>
      </c>
    </row>
    <row r="378" spans="1:7" x14ac:dyDescent="0.15">
      <c r="A378" s="218" t="s">
        <v>2778</v>
      </c>
      <c r="B378" s="218" t="s">
        <v>2779</v>
      </c>
      <c r="C378" s="218" t="s">
        <v>1982</v>
      </c>
      <c r="D378" s="218" t="s">
        <v>2780</v>
      </c>
      <c r="E378" s="218" t="s">
        <v>1839</v>
      </c>
      <c r="F378" s="218" t="s">
        <v>1840</v>
      </c>
      <c r="G378" s="218" t="s">
        <v>1841</v>
      </c>
    </row>
    <row r="379" spans="1:7" x14ac:dyDescent="0.15">
      <c r="A379" s="218" t="s">
        <v>2781</v>
      </c>
      <c r="B379" s="218" t="s">
        <v>2782</v>
      </c>
      <c r="C379" s="218" t="s">
        <v>1982</v>
      </c>
      <c r="D379" s="218" t="s">
        <v>2783</v>
      </c>
      <c r="E379" s="218" t="s">
        <v>1839</v>
      </c>
      <c r="F379" s="218" t="s">
        <v>1840</v>
      </c>
      <c r="G379" s="218" t="s">
        <v>1841</v>
      </c>
    </row>
    <row r="380" spans="1:7" x14ac:dyDescent="0.15">
      <c r="A380" s="218" t="s">
        <v>2787</v>
      </c>
      <c r="B380" s="218" t="s">
        <v>2788</v>
      </c>
      <c r="C380" s="218" t="s">
        <v>1982</v>
      </c>
      <c r="D380" s="218" t="s">
        <v>2789</v>
      </c>
      <c r="E380" s="218" t="s">
        <v>1839</v>
      </c>
      <c r="F380" s="218" t="s">
        <v>1840</v>
      </c>
      <c r="G380" s="218" t="s">
        <v>1841</v>
      </c>
    </row>
    <row r="381" spans="1:7" x14ac:dyDescent="0.15">
      <c r="A381" s="218" t="s">
        <v>2790</v>
      </c>
      <c r="B381" s="218" t="s">
        <v>2791</v>
      </c>
      <c r="C381" s="218" t="s">
        <v>1982</v>
      </c>
      <c r="D381" s="218" t="s">
        <v>2792</v>
      </c>
      <c r="E381" s="218" t="s">
        <v>1839</v>
      </c>
      <c r="F381" s="218" t="s">
        <v>1840</v>
      </c>
      <c r="G381" s="218" t="s">
        <v>1841</v>
      </c>
    </row>
    <row r="382" spans="1:7" x14ac:dyDescent="0.15">
      <c r="A382" s="218" t="s">
        <v>2793</v>
      </c>
      <c r="B382" s="218" t="s">
        <v>2794</v>
      </c>
      <c r="C382" s="218" t="s">
        <v>1982</v>
      </c>
      <c r="D382" s="218" t="s">
        <v>2795</v>
      </c>
      <c r="E382" s="218" t="s">
        <v>1839</v>
      </c>
      <c r="F382" s="218" t="s">
        <v>1840</v>
      </c>
      <c r="G382" s="218" t="s">
        <v>1841</v>
      </c>
    </row>
    <row r="383" spans="1:7" x14ac:dyDescent="0.15">
      <c r="A383" s="218" t="s">
        <v>2796</v>
      </c>
      <c r="B383" s="218" t="s">
        <v>2797</v>
      </c>
      <c r="C383" s="218" t="s">
        <v>1982</v>
      </c>
      <c r="D383" s="218" t="s">
        <v>2798</v>
      </c>
      <c r="E383" s="218" t="s">
        <v>1839</v>
      </c>
      <c r="F383" s="218" t="s">
        <v>1840</v>
      </c>
      <c r="G383" s="218" t="s">
        <v>1841</v>
      </c>
    </row>
    <row r="384" spans="1:7" x14ac:dyDescent="0.15">
      <c r="A384" s="218" t="s">
        <v>2799</v>
      </c>
      <c r="B384" s="218" t="s">
        <v>2800</v>
      </c>
      <c r="C384" s="218" t="s">
        <v>1982</v>
      </c>
      <c r="D384" s="218" t="s">
        <v>2801</v>
      </c>
      <c r="E384" s="218" t="s">
        <v>1839</v>
      </c>
      <c r="F384" s="218" t="s">
        <v>1840</v>
      </c>
      <c r="G384" s="218" t="s">
        <v>1841</v>
      </c>
    </row>
    <row r="385" spans="1:7" x14ac:dyDescent="0.15">
      <c r="A385" s="218" t="s">
        <v>598</v>
      </c>
      <c r="B385" s="218" t="s">
        <v>564</v>
      </c>
      <c r="C385" s="218" t="s">
        <v>1982</v>
      </c>
      <c r="D385" s="218" t="s">
        <v>2802</v>
      </c>
      <c r="E385" s="218" t="s">
        <v>1839</v>
      </c>
      <c r="F385" s="218" t="s">
        <v>1840</v>
      </c>
      <c r="G385" s="218" t="s">
        <v>1841</v>
      </c>
    </row>
    <row r="386" spans="1:7" x14ac:dyDescent="0.15">
      <c r="A386" s="218" t="s">
        <v>5242</v>
      </c>
      <c r="B386" s="218" t="s">
        <v>5243</v>
      </c>
      <c r="C386" s="218" t="s">
        <v>1982</v>
      </c>
      <c r="D386" s="218" t="s">
        <v>5244</v>
      </c>
      <c r="E386" s="218" t="s">
        <v>1839</v>
      </c>
      <c r="F386" s="218" t="s">
        <v>1840</v>
      </c>
      <c r="G386" s="218" t="s">
        <v>1841</v>
      </c>
    </row>
    <row r="387" spans="1:7" x14ac:dyDescent="0.15">
      <c r="A387" s="218" t="s">
        <v>573</v>
      </c>
      <c r="B387" s="218" t="s">
        <v>572</v>
      </c>
      <c r="C387" s="218" t="s">
        <v>1982</v>
      </c>
      <c r="D387" s="218" t="s">
        <v>2803</v>
      </c>
      <c r="E387" s="218" t="s">
        <v>1839</v>
      </c>
      <c r="F387" s="218" t="s">
        <v>1840</v>
      </c>
      <c r="G387" s="218" t="s">
        <v>1841</v>
      </c>
    </row>
    <row r="388" spans="1:7" x14ac:dyDescent="0.15">
      <c r="A388" s="218" t="s">
        <v>2804</v>
      </c>
      <c r="B388" s="218" t="s">
        <v>2805</v>
      </c>
      <c r="C388" s="218" t="s">
        <v>1982</v>
      </c>
      <c r="D388" s="218" t="s">
        <v>2806</v>
      </c>
      <c r="E388" s="218" t="s">
        <v>1839</v>
      </c>
      <c r="F388" s="218" t="s">
        <v>1840</v>
      </c>
      <c r="G388" s="218" t="s">
        <v>1841</v>
      </c>
    </row>
    <row r="389" spans="1:7" x14ac:dyDescent="0.15">
      <c r="A389" s="218" t="s">
        <v>2807</v>
      </c>
      <c r="B389" s="218" t="s">
        <v>2808</v>
      </c>
      <c r="C389" s="218" t="s">
        <v>1982</v>
      </c>
      <c r="D389" s="218" t="s">
        <v>2809</v>
      </c>
      <c r="E389" s="218" t="s">
        <v>1839</v>
      </c>
      <c r="F389" s="218" t="s">
        <v>1840</v>
      </c>
      <c r="G389" s="218" t="s">
        <v>1841</v>
      </c>
    </row>
    <row r="390" spans="1:7" x14ac:dyDescent="0.15">
      <c r="A390" s="218" t="s">
        <v>2810</v>
      </c>
      <c r="B390" s="218" t="s">
        <v>2811</v>
      </c>
      <c r="C390" s="218" t="s">
        <v>1982</v>
      </c>
      <c r="D390" s="218" t="s">
        <v>2812</v>
      </c>
      <c r="E390" s="218" t="s">
        <v>1839</v>
      </c>
      <c r="F390" s="218" t="s">
        <v>1840</v>
      </c>
      <c r="G390" s="218" t="s">
        <v>1841</v>
      </c>
    </row>
    <row r="391" spans="1:7" x14ac:dyDescent="0.15">
      <c r="A391" s="218" t="s">
        <v>2813</v>
      </c>
      <c r="B391" s="218" t="s">
        <v>2814</v>
      </c>
      <c r="C391" s="218" t="s">
        <v>1982</v>
      </c>
      <c r="D391" s="218" t="s">
        <v>2815</v>
      </c>
      <c r="E391" s="218" t="s">
        <v>1839</v>
      </c>
      <c r="F391" s="218" t="s">
        <v>1840</v>
      </c>
      <c r="G391" s="218" t="s">
        <v>1841</v>
      </c>
    </row>
    <row r="392" spans="1:7" x14ac:dyDescent="0.15">
      <c r="A392" s="218" t="s">
        <v>2816</v>
      </c>
      <c r="B392" s="218" t="s">
        <v>2817</v>
      </c>
      <c r="C392" s="218" t="s">
        <v>1982</v>
      </c>
      <c r="D392" s="218" t="s">
        <v>2818</v>
      </c>
      <c r="E392" s="218" t="s">
        <v>1935</v>
      </c>
      <c r="F392" s="218" t="s">
        <v>1840</v>
      </c>
      <c r="G392" s="218" t="s">
        <v>1841</v>
      </c>
    </row>
    <row r="393" spans="1:7" x14ac:dyDescent="0.15">
      <c r="A393" s="218" t="s">
        <v>2819</v>
      </c>
      <c r="B393" s="218" t="s">
        <v>2820</v>
      </c>
      <c r="C393" s="218" t="s">
        <v>1982</v>
      </c>
      <c r="D393" s="218" t="s">
        <v>2821</v>
      </c>
      <c r="E393" s="218" t="s">
        <v>1839</v>
      </c>
      <c r="F393" s="218" t="s">
        <v>1840</v>
      </c>
      <c r="G393" s="218" t="s">
        <v>1841</v>
      </c>
    </row>
    <row r="394" spans="1:7" x14ac:dyDescent="0.15">
      <c r="A394" s="218" t="s">
        <v>2822</v>
      </c>
      <c r="B394" s="218" t="s">
        <v>2823</v>
      </c>
      <c r="C394" s="218" t="s">
        <v>1982</v>
      </c>
      <c r="D394" s="218" t="s">
        <v>2824</v>
      </c>
      <c r="E394" s="218" t="s">
        <v>1839</v>
      </c>
      <c r="F394" s="218" t="s">
        <v>1840</v>
      </c>
      <c r="G394" s="218" t="s">
        <v>1841</v>
      </c>
    </row>
    <row r="395" spans="1:7" x14ac:dyDescent="0.15">
      <c r="A395" s="218" t="s">
        <v>5266</v>
      </c>
      <c r="B395" s="218" t="s">
        <v>5267</v>
      </c>
      <c r="C395" s="218" t="s">
        <v>1982</v>
      </c>
      <c r="D395" s="218" t="s">
        <v>5268</v>
      </c>
      <c r="E395" s="218" t="s">
        <v>1839</v>
      </c>
      <c r="F395" s="218" t="s">
        <v>1840</v>
      </c>
      <c r="G395" s="218" t="s">
        <v>1841</v>
      </c>
    </row>
    <row r="396" spans="1:7" x14ac:dyDescent="0.15">
      <c r="A396" s="218" t="s">
        <v>2825</v>
      </c>
      <c r="B396" s="218" t="s">
        <v>2826</v>
      </c>
      <c r="C396" s="218" t="s">
        <v>1982</v>
      </c>
      <c r="D396" s="218" t="s">
        <v>2827</v>
      </c>
      <c r="E396" s="218" t="s">
        <v>1839</v>
      </c>
      <c r="F396" s="218" t="s">
        <v>1840</v>
      </c>
      <c r="G396" s="218" t="s">
        <v>1841</v>
      </c>
    </row>
    <row r="397" spans="1:7" x14ac:dyDescent="0.15">
      <c r="A397" s="218" t="s">
        <v>2828</v>
      </c>
      <c r="B397" s="218" t="s">
        <v>2829</v>
      </c>
      <c r="C397" s="218" t="s">
        <v>1982</v>
      </c>
      <c r="D397" s="218" t="s">
        <v>2830</v>
      </c>
      <c r="E397" s="218" t="s">
        <v>1839</v>
      </c>
      <c r="F397" s="218" t="s">
        <v>1840</v>
      </c>
      <c r="G397" s="218" t="s">
        <v>1841</v>
      </c>
    </row>
    <row r="398" spans="1:7" x14ac:dyDescent="0.15">
      <c r="A398" s="218" t="s">
        <v>5278</v>
      </c>
      <c r="B398" s="218" t="s">
        <v>5279</v>
      </c>
      <c r="C398" s="218" t="s">
        <v>1982</v>
      </c>
      <c r="D398" s="218" t="s">
        <v>5280</v>
      </c>
      <c r="E398" s="218" t="s">
        <v>1839</v>
      </c>
      <c r="F398" s="218" t="s">
        <v>1840</v>
      </c>
      <c r="G398" s="218" t="s">
        <v>1841</v>
      </c>
    </row>
    <row r="399" spans="1:7" x14ac:dyDescent="0.15">
      <c r="A399" s="218" t="s">
        <v>1911</v>
      </c>
      <c r="B399" s="218" t="s">
        <v>1912</v>
      </c>
      <c r="C399" s="218" t="s">
        <v>1982</v>
      </c>
      <c r="D399" s="218" t="s">
        <v>1913</v>
      </c>
      <c r="E399" s="218" t="s">
        <v>1839</v>
      </c>
      <c r="F399" s="218" t="s">
        <v>1840</v>
      </c>
      <c r="G399" s="218" t="s">
        <v>1841</v>
      </c>
    </row>
    <row r="400" spans="1:7" x14ac:dyDescent="0.15">
      <c r="A400" s="218" t="s">
        <v>5287</v>
      </c>
      <c r="B400" s="218" t="s">
        <v>5288</v>
      </c>
      <c r="C400" s="218" t="s">
        <v>1982</v>
      </c>
      <c r="D400" s="218" t="s">
        <v>5289</v>
      </c>
      <c r="E400" s="218" t="s">
        <v>1839</v>
      </c>
      <c r="F400" s="218" t="s">
        <v>1840</v>
      </c>
      <c r="G400" s="218" t="s">
        <v>1841</v>
      </c>
    </row>
    <row r="401" spans="1:7" x14ac:dyDescent="0.15">
      <c r="A401" s="218" t="s">
        <v>10442</v>
      </c>
      <c r="B401" s="218" t="s">
        <v>10443</v>
      </c>
      <c r="C401" s="218" t="s">
        <v>1982</v>
      </c>
      <c r="D401" s="218" t="s">
        <v>5292</v>
      </c>
      <c r="E401" s="218" t="s">
        <v>1839</v>
      </c>
      <c r="F401" s="218" t="s">
        <v>1840</v>
      </c>
      <c r="G401" s="218" t="s">
        <v>1841</v>
      </c>
    </row>
    <row r="402" spans="1:7" x14ac:dyDescent="0.15">
      <c r="A402" s="218" t="s">
        <v>2831</v>
      </c>
      <c r="B402" s="218" t="s">
        <v>2832</v>
      </c>
      <c r="C402" s="218" t="s">
        <v>1982</v>
      </c>
      <c r="D402" s="218" t="s">
        <v>2833</v>
      </c>
      <c r="E402" s="218" t="s">
        <v>1839</v>
      </c>
      <c r="F402" s="218" t="s">
        <v>1840</v>
      </c>
      <c r="G402" s="218" t="s">
        <v>1841</v>
      </c>
    </row>
    <row r="403" spans="1:7" x14ac:dyDescent="0.15">
      <c r="A403" s="218" t="s">
        <v>5293</v>
      </c>
      <c r="B403" s="218" t="s">
        <v>5294</v>
      </c>
      <c r="C403" s="218" t="s">
        <v>1982</v>
      </c>
      <c r="D403" s="218" t="s">
        <v>5295</v>
      </c>
      <c r="E403" s="218" t="s">
        <v>1839</v>
      </c>
      <c r="F403" s="218" t="s">
        <v>1840</v>
      </c>
      <c r="G403" s="218" t="s">
        <v>1841</v>
      </c>
    </row>
    <row r="404" spans="1:7" x14ac:dyDescent="0.15">
      <c r="A404" s="218" t="s">
        <v>2834</v>
      </c>
      <c r="B404" s="218" t="s">
        <v>2835</v>
      </c>
      <c r="C404" s="218" t="s">
        <v>1982</v>
      </c>
      <c r="D404" s="218" t="s">
        <v>2836</v>
      </c>
      <c r="E404" s="218" t="s">
        <v>1839</v>
      </c>
      <c r="F404" s="218" t="s">
        <v>1840</v>
      </c>
      <c r="G404" s="218" t="s">
        <v>1841</v>
      </c>
    </row>
    <row r="405" spans="1:7" x14ac:dyDescent="0.15">
      <c r="A405" s="218" t="s">
        <v>10453</v>
      </c>
      <c r="B405" s="218" t="s">
        <v>10454</v>
      </c>
      <c r="C405" s="218" t="s">
        <v>1982</v>
      </c>
      <c r="D405" s="218" t="s">
        <v>10455</v>
      </c>
      <c r="E405" s="218" t="s">
        <v>1839</v>
      </c>
      <c r="F405" s="218" t="s">
        <v>1840</v>
      </c>
      <c r="G405" s="218" t="s">
        <v>1841</v>
      </c>
    </row>
    <row r="406" spans="1:7" x14ac:dyDescent="0.15">
      <c r="A406" s="218" t="s">
        <v>2837</v>
      </c>
      <c r="B406" s="218" t="s">
        <v>2838</v>
      </c>
      <c r="C406" s="218" t="s">
        <v>1982</v>
      </c>
      <c r="D406" s="218" t="s">
        <v>2839</v>
      </c>
      <c r="E406" s="218" t="s">
        <v>1839</v>
      </c>
      <c r="F406" s="218" t="s">
        <v>1840</v>
      </c>
      <c r="G406" s="218" t="s">
        <v>1841</v>
      </c>
    </row>
    <row r="407" spans="1:7" x14ac:dyDescent="0.15">
      <c r="A407" s="218" t="s">
        <v>2840</v>
      </c>
      <c r="B407" s="218" t="s">
        <v>2841</v>
      </c>
      <c r="C407" s="218" t="s">
        <v>1982</v>
      </c>
      <c r="D407" s="218" t="s">
        <v>2842</v>
      </c>
      <c r="E407" s="218" t="s">
        <v>1839</v>
      </c>
      <c r="F407" s="218" t="s">
        <v>1840</v>
      </c>
      <c r="G407" s="218" t="s">
        <v>1841</v>
      </c>
    </row>
    <row r="408" spans="1:7" x14ac:dyDescent="0.15">
      <c r="A408" s="218" t="s">
        <v>5310</v>
      </c>
      <c r="B408" s="218" t="s">
        <v>5311</v>
      </c>
      <c r="C408" s="218" t="s">
        <v>1982</v>
      </c>
      <c r="D408" s="218" t="s">
        <v>5312</v>
      </c>
      <c r="E408" s="218" t="s">
        <v>1839</v>
      </c>
      <c r="F408" s="218" t="s">
        <v>1840</v>
      </c>
      <c r="G408" s="218" t="s">
        <v>1841</v>
      </c>
    </row>
    <row r="409" spans="1:7" x14ac:dyDescent="0.15">
      <c r="A409" s="218" t="s">
        <v>2843</v>
      </c>
      <c r="B409" s="218" t="s">
        <v>2844</v>
      </c>
      <c r="C409" s="218" t="s">
        <v>1982</v>
      </c>
      <c r="D409" s="218" t="s">
        <v>2845</v>
      </c>
      <c r="E409" s="218" t="s">
        <v>1839</v>
      </c>
      <c r="F409" s="218" t="s">
        <v>1840</v>
      </c>
      <c r="G409" s="218" t="s">
        <v>1841</v>
      </c>
    </row>
    <row r="410" spans="1:7" x14ac:dyDescent="0.15">
      <c r="A410" s="218" t="s">
        <v>2846</v>
      </c>
      <c r="B410" s="218" t="s">
        <v>2847</v>
      </c>
      <c r="C410" s="218" t="s">
        <v>1982</v>
      </c>
      <c r="D410" s="218" t="s">
        <v>2848</v>
      </c>
      <c r="E410" s="218" t="s">
        <v>1839</v>
      </c>
      <c r="F410" s="218" t="s">
        <v>1840</v>
      </c>
      <c r="G410" s="218" t="s">
        <v>1841</v>
      </c>
    </row>
    <row r="411" spans="1:7" x14ac:dyDescent="0.15">
      <c r="A411" s="218" t="s">
        <v>2849</v>
      </c>
      <c r="B411" s="218" t="s">
        <v>2850</v>
      </c>
      <c r="C411" s="218" t="s">
        <v>1982</v>
      </c>
      <c r="D411" s="218" t="s">
        <v>2851</v>
      </c>
      <c r="E411" s="218" t="s">
        <v>1839</v>
      </c>
      <c r="F411" s="218" t="s">
        <v>1840</v>
      </c>
      <c r="G411" s="218" t="s">
        <v>1841</v>
      </c>
    </row>
    <row r="412" spans="1:7" x14ac:dyDescent="0.15">
      <c r="A412" s="218" t="s">
        <v>2852</v>
      </c>
      <c r="B412" s="218" t="s">
        <v>2853</v>
      </c>
      <c r="C412" s="218" t="s">
        <v>1982</v>
      </c>
      <c r="D412" s="218" t="s">
        <v>2854</v>
      </c>
      <c r="E412" s="218" t="s">
        <v>1839</v>
      </c>
      <c r="F412" s="218" t="s">
        <v>1840</v>
      </c>
      <c r="G412" s="218" t="s">
        <v>1841</v>
      </c>
    </row>
    <row r="413" spans="1:7" x14ac:dyDescent="0.15">
      <c r="A413" s="218" t="s">
        <v>2855</v>
      </c>
      <c r="B413" s="218" t="s">
        <v>2856</v>
      </c>
      <c r="C413" s="218" t="s">
        <v>1982</v>
      </c>
      <c r="D413" s="218" t="s">
        <v>2857</v>
      </c>
      <c r="E413" s="218" t="s">
        <v>1839</v>
      </c>
      <c r="F413" s="218" t="s">
        <v>1840</v>
      </c>
      <c r="G413" s="218" t="s">
        <v>1841</v>
      </c>
    </row>
    <row r="414" spans="1:7" x14ac:dyDescent="0.15">
      <c r="A414" s="218" t="s">
        <v>2858</v>
      </c>
      <c r="B414" s="218" t="s">
        <v>2859</v>
      </c>
      <c r="C414" s="218" t="s">
        <v>1982</v>
      </c>
      <c r="D414" s="218" t="s">
        <v>2860</v>
      </c>
      <c r="E414" s="218" t="s">
        <v>1839</v>
      </c>
      <c r="F414" s="218" t="s">
        <v>1840</v>
      </c>
      <c r="G414" s="218" t="s">
        <v>1841</v>
      </c>
    </row>
    <row r="415" spans="1:7" x14ac:dyDescent="0.15">
      <c r="A415" s="218" t="s">
        <v>2861</v>
      </c>
      <c r="B415" s="218" t="s">
        <v>2862</v>
      </c>
      <c r="C415" s="218" t="s">
        <v>1982</v>
      </c>
      <c r="D415" s="218" t="s">
        <v>2863</v>
      </c>
      <c r="E415" s="218" t="s">
        <v>1935</v>
      </c>
      <c r="F415" s="218" t="s">
        <v>1840</v>
      </c>
      <c r="G415" s="218" t="s">
        <v>1841</v>
      </c>
    </row>
    <row r="416" spans="1:7" x14ac:dyDescent="0.15">
      <c r="A416" s="218" t="s">
        <v>2864</v>
      </c>
      <c r="B416" s="218" t="s">
        <v>2865</v>
      </c>
      <c r="C416" s="218" t="s">
        <v>1982</v>
      </c>
      <c r="D416" s="218" t="s">
        <v>2866</v>
      </c>
      <c r="E416" s="218" t="s">
        <v>1839</v>
      </c>
      <c r="F416" s="218" t="s">
        <v>1840</v>
      </c>
      <c r="G416" s="218" t="s">
        <v>1841</v>
      </c>
    </row>
    <row r="417" spans="1:7" x14ac:dyDescent="0.15">
      <c r="A417" s="218" t="s">
        <v>2867</v>
      </c>
      <c r="B417" s="218" t="s">
        <v>2868</v>
      </c>
      <c r="C417" s="218" t="s">
        <v>1982</v>
      </c>
      <c r="D417" s="218" t="s">
        <v>2869</v>
      </c>
      <c r="E417" s="218" t="s">
        <v>1839</v>
      </c>
      <c r="F417" s="218" t="s">
        <v>1840</v>
      </c>
      <c r="G417" s="218" t="s">
        <v>1841</v>
      </c>
    </row>
    <row r="418" spans="1:7" x14ac:dyDescent="0.15">
      <c r="A418" s="218" t="s">
        <v>10526</v>
      </c>
      <c r="B418" s="218" t="s">
        <v>10527</v>
      </c>
      <c r="C418" s="218" t="s">
        <v>1982</v>
      </c>
      <c r="D418" s="218" t="s">
        <v>10528</v>
      </c>
      <c r="E418" s="218" t="s">
        <v>1839</v>
      </c>
      <c r="F418" s="218" t="s">
        <v>1840</v>
      </c>
      <c r="G418" s="218" t="s">
        <v>1841</v>
      </c>
    </row>
    <row r="419" spans="1:7" x14ac:dyDescent="0.15">
      <c r="A419" s="218" t="s">
        <v>2870</v>
      </c>
      <c r="B419" s="218" t="s">
        <v>2871</v>
      </c>
      <c r="C419" s="218" t="s">
        <v>1982</v>
      </c>
      <c r="D419" s="218" t="s">
        <v>2872</v>
      </c>
      <c r="E419" s="218" t="s">
        <v>1839</v>
      </c>
      <c r="F419" s="218" t="s">
        <v>1840</v>
      </c>
      <c r="G419" s="218" t="s">
        <v>1841</v>
      </c>
    </row>
    <row r="420" spans="1:7" x14ac:dyDescent="0.15">
      <c r="A420" s="218" t="s">
        <v>2873</v>
      </c>
      <c r="B420" s="218" t="s">
        <v>2874</v>
      </c>
      <c r="C420" s="218" t="s">
        <v>1982</v>
      </c>
      <c r="D420" s="218" t="s">
        <v>2875</v>
      </c>
      <c r="E420" s="218" t="s">
        <v>1839</v>
      </c>
      <c r="F420" s="218" t="s">
        <v>1840</v>
      </c>
      <c r="G420" s="218" t="s">
        <v>1841</v>
      </c>
    </row>
    <row r="421" spans="1:7" x14ac:dyDescent="0.15">
      <c r="A421" s="218" t="s">
        <v>5398</v>
      </c>
      <c r="B421" s="218" t="s">
        <v>5399</v>
      </c>
      <c r="C421" s="218" t="s">
        <v>1982</v>
      </c>
      <c r="D421" s="218" t="s">
        <v>5400</v>
      </c>
      <c r="E421" s="218" t="s">
        <v>1839</v>
      </c>
      <c r="F421" s="218" t="s">
        <v>1840</v>
      </c>
      <c r="G421" s="218" t="s">
        <v>1841</v>
      </c>
    </row>
    <row r="422" spans="1:7" x14ac:dyDescent="0.15">
      <c r="A422" s="218" t="s">
        <v>2876</v>
      </c>
      <c r="B422" s="218" t="s">
        <v>2877</v>
      </c>
      <c r="C422" s="218" t="s">
        <v>1982</v>
      </c>
      <c r="D422" s="218" t="s">
        <v>2878</v>
      </c>
      <c r="E422" s="218" t="s">
        <v>1839</v>
      </c>
      <c r="F422" s="218" t="s">
        <v>1840</v>
      </c>
      <c r="G422" s="218" t="s">
        <v>1841</v>
      </c>
    </row>
    <row r="423" spans="1:7" x14ac:dyDescent="0.15">
      <c r="A423" s="218" t="s">
        <v>10548</v>
      </c>
      <c r="B423" s="218" t="s">
        <v>10549</v>
      </c>
      <c r="C423" s="218" t="s">
        <v>1982</v>
      </c>
      <c r="D423" s="218" t="s">
        <v>10550</v>
      </c>
      <c r="E423" s="218" t="s">
        <v>1839</v>
      </c>
      <c r="F423" s="218" t="s">
        <v>1840</v>
      </c>
      <c r="G423" s="218" t="s">
        <v>1841</v>
      </c>
    </row>
    <row r="424" spans="1:7" x14ac:dyDescent="0.15">
      <c r="A424" s="218" t="s">
        <v>2879</v>
      </c>
      <c r="B424" s="218" t="s">
        <v>2880</v>
      </c>
      <c r="C424" s="218" t="s">
        <v>1982</v>
      </c>
      <c r="D424" s="218" t="s">
        <v>2881</v>
      </c>
      <c r="E424" s="218" t="s">
        <v>1839</v>
      </c>
      <c r="F424" s="218" t="s">
        <v>1840</v>
      </c>
      <c r="G424" s="218" t="s">
        <v>1841</v>
      </c>
    </row>
    <row r="425" spans="1:7" x14ac:dyDescent="0.15">
      <c r="A425" s="218" t="s">
        <v>581</v>
      </c>
      <c r="B425" s="218" t="s">
        <v>575</v>
      </c>
      <c r="C425" s="218" t="s">
        <v>1982</v>
      </c>
      <c r="D425" s="218" t="s">
        <v>2882</v>
      </c>
      <c r="E425" s="218" t="s">
        <v>1839</v>
      </c>
      <c r="F425" s="218" t="s">
        <v>1840</v>
      </c>
      <c r="G425" s="218" t="s">
        <v>1841</v>
      </c>
    </row>
    <row r="426" spans="1:7" x14ac:dyDescent="0.15">
      <c r="A426" s="218" t="s">
        <v>2883</v>
      </c>
      <c r="B426" s="218" t="s">
        <v>2884</v>
      </c>
      <c r="C426" s="218" t="s">
        <v>1982</v>
      </c>
      <c r="D426" s="218" t="s">
        <v>2885</v>
      </c>
      <c r="E426" s="218" t="s">
        <v>1839</v>
      </c>
      <c r="F426" s="218" t="s">
        <v>1840</v>
      </c>
      <c r="G426" s="218" t="s">
        <v>1841</v>
      </c>
    </row>
    <row r="427" spans="1:7" x14ac:dyDescent="0.15">
      <c r="A427" s="218" t="s">
        <v>2886</v>
      </c>
      <c r="B427" s="218" t="s">
        <v>2887</v>
      </c>
      <c r="C427" s="218" t="s">
        <v>1982</v>
      </c>
      <c r="D427" s="218" t="s">
        <v>2888</v>
      </c>
      <c r="E427" s="218" t="s">
        <v>1839</v>
      </c>
      <c r="F427" s="218" t="s">
        <v>1840</v>
      </c>
      <c r="G427" s="218" t="s">
        <v>1841</v>
      </c>
    </row>
    <row r="428" spans="1:7" x14ac:dyDescent="0.15">
      <c r="A428" s="218" t="s">
        <v>2889</v>
      </c>
      <c r="B428" s="218" t="s">
        <v>2890</v>
      </c>
      <c r="C428" s="218" t="s">
        <v>1982</v>
      </c>
      <c r="D428" s="218" t="s">
        <v>2891</v>
      </c>
      <c r="E428" s="218" t="s">
        <v>1935</v>
      </c>
      <c r="F428" s="218" t="s">
        <v>1840</v>
      </c>
      <c r="G428" s="218" t="s">
        <v>1841</v>
      </c>
    </row>
    <row r="429" spans="1:7" x14ac:dyDescent="0.15">
      <c r="A429" s="218" t="s">
        <v>2892</v>
      </c>
      <c r="B429" s="218" t="s">
        <v>2893</v>
      </c>
      <c r="C429" s="218" t="s">
        <v>1982</v>
      </c>
      <c r="D429" s="218" t="s">
        <v>2894</v>
      </c>
      <c r="E429" s="218" t="s">
        <v>1839</v>
      </c>
      <c r="F429" s="218" t="s">
        <v>1840</v>
      </c>
      <c r="G429" s="218" t="s">
        <v>1841</v>
      </c>
    </row>
    <row r="430" spans="1:7" x14ac:dyDescent="0.15">
      <c r="A430" s="218" t="s">
        <v>2895</v>
      </c>
      <c r="B430" s="218" t="s">
        <v>2896</v>
      </c>
      <c r="C430" s="218" t="s">
        <v>1982</v>
      </c>
      <c r="D430" s="218" t="s">
        <v>2897</v>
      </c>
      <c r="E430" s="218" t="s">
        <v>1839</v>
      </c>
      <c r="F430" s="218" t="s">
        <v>1840</v>
      </c>
      <c r="G430" s="218" t="s">
        <v>1841</v>
      </c>
    </row>
    <row r="431" spans="1:7" x14ac:dyDescent="0.15">
      <c r="A431" s="218" t="s">
        <v>5428</v>
      </c>
      <c r="B431" s="218" t="s">
        <v>5429</v>
      </c>
      <c r="C431" s="218" t="s">
        <v>1982</v>
      </c>
      <c r="D431" s="218" t="s">
        <v>841</v>
      </c>
      <c r="E431" s="218" t="s">
        <v>1839</v>
      </c>
      <c r="F431" s="218" t="s">
        <v>1840</v>
      </c>
      <c r="G431" s="218" t="s">
        <v>1841</v>
      </c>
    </row>
    <row r="432" spans="1:7" x14ac:dyDescent="0.15">
      <c r="A432" s="218" t="s">
        <v>584</v>
      </c>
      <c r="B432" s="218" t="s">
        <v>583</v>
      </c>
      <c r="C432" s="218" t="s">
        <v>1982</v>
      </c>
      <c r="D432" s="218" t="s">
        <v>2898</v>
      </c>
      <c r="E432" s="218" t="s">
        <v>1839</v>
      </c>
      <c r="F432" s="218" t="s">
        <v>1840</v>
      </c>
      <c r="G432" s="218" t="s">
        <v>1841</v>
      </c>
    </row>
    <row r="433" spans="1:7" x14ac:dyDescent="0.15">
      <c r="A433" s="218" t="s">
        <v>2899</v>
      </c>
      <c r="B433" s="218" t="s">
        <v>2900</v>
      </c>
      <c r="C433" s="218" t="s">
        <v>1982</v>
      </c>
      <c r="D433" s="218" t="s">
        <v>2901</v>
      </c>
      <c r="E433" s="218" t="s">
        <v>1839</v>
      </c>
      <c r="F433" s="218" t="s">
        <v>1840</v>
      </c>
      <c r="G433" s="218" t="s">
        <v>1841</v>
      </c>
    </row>
    <row r="434" spans="1:7" x14ac:dyDescent="0.15">
      <c r="A434" s="218" t="s">
        <v>2902</v>
      </c>
      <c r="B434" s="218" t="s">
        <v>2903</v>
      </c>
      <c r="C434" s="218" t="s">
        <v>1982</v>
      </c>
      <c r="D434" s="218" t="s">
        <v>2904</v>
      </c>
      <c r="E434" s="218" t="s">
        <v>1839</v>
      </c>
      <c r="F434" s="218" t="s">
        <v>1840</v>
      </c>
      <c r="G434" s="218" t="s">
        <v>1841</v>
      </c>
    </row>
    <row r="435" spans="1:7" x14ac:dyDescent="0.15">
      <c r="A435" s="218" t="s">
        <v>5452</v>
      </c>
      <c r="B435" s="218" t="s">
        <v>5453</v>
      </c>
      <c r="C435" s="218" t="s">
        <v>1982</v>
      </c>
      <c r="D435" s="218" t="s">
        <v>5454</v>
      </c>
      <c r="E435" s="218" t="s">
        <v>1839</v>
      </c>
      <c r="F435" s="218" t="s">
        <v>1840</v>
      </c>
      <c r="G435" s="218" t="s">
        <v>1841</v>
      </c>
    </row>
    <row r="436" spans="1:7" x14ac:dyDescent="0.15">
      <c r="A436" s="218" t="s">
        <v>10592</v>
      </c>
      <c r="B436" s="218" t="s">
        <v>10593</v>
      </c>
      <c r="C436" s="218" t="s">
        <v>1982</v>
      </c>
      <c r="D436" s="218" t="s">
        <v>10594</v>
      </c>
      <c r="E436" s="218" t="s">
        <v>1839</v>
      </c>
      <c r="F436" s="218" t="s">
        <v>1840</v>
      </c>
      <c r="G436" s="218" t="s">
        <v>1841</v>
      </c>
    </row>
    <row r="437" spans="1:7" x14ac:dyDescent="0.15">
      <c r="A437" s="218" t="s">
        <v>9175</v>
      </c>
      <c r="B437" s="218" t="s">
        <v>9176</v>
      </c>
      <c r="C437" s="218" t="s">
        <v>1982</v>
      </c>
      <c r="D437" s="218" t="s">
        <v>9177</v>
      </c>
      <c r="E437" s="218" t="s">
        <v>1839</v>
      </c>
      <c r="F437" s="218" t="s">
        <v>1840</v>
      </c>
      <c r="G437" s="218" t="s">
        <v>1841</v>
      </c>
    </row>
    <row r="438" spans="1:7" x14ac:dyDescent="0.15">
      <c r="A438" s="218" t="s">
        <v>5473</v>
      </c>
      <c r="B438" s="218" t="s">
        <v>5474</v>
      </c>
      <c r="C438" s="218" t="s">
        <v>1982</v>
      </c>
      <c r="D438" s="218" t="s">
        <v>5475</v>
      </c>
      <c r="E438" s="218" t="s">
        <v>1935</v>
      </c>
      <c r="F438" s="218" t="s">
        <v>1840</v>
      </c>
      <c r="G438" s="218" t="s">
        <v>1841</v>
      </c>
    </row>
    <row r="439" spans="1:7" x14ac:dyDescent="0.15">
      <c r="A439" s="218" t="s">
        <v>2905</v>
      </c>
      <c r="B439" s="218" t="s">
        <v>2906</v>
      </c>
      <c r="C439" s="218" t="s">
        <v>1982</v>
      </c>
      <c r="D439" s="218" t="s">
        <v>2907</v>
      </c>
      <c r="E439" s="218" t="s">
        <v>1839</v>
      </c>
      <c r="F439" s="218" t="s">
        <v>1840</v>
      </c>
      <c r="G439" s="218" t="s">
        <v>1841</v>
      </c>
    </row>
    <row r="440" spans="1:7" x14ac:dyDescent="0.15">
      <c r="A440" s="218" t="s">
        <v>5476</v>
      </c>
      <c r="B440" s="218" t="s">
        <v>5477</v>
      </c>
      <c r="C440" s="218" t="s">
        <v>1982</v>
      </c>
      <c r="D440" s="218" t="s">
        <v>5478</v>
      </c>
      <c r="E440" s="218" t="s">
        <v>1839</v>
      </c>
      <c r="F440" s="218" t="s">
        <v>1840</v>
      </c>
      <c r="G440" s="218" t="s">
        <v>1841</v>
      </c>
    </row>
    <row r="441" spans="1:7" x14ac:dyDescent="0.15">
      <c r="A441" s="218" t="s">
        <v>2908</v>
      </c>
      <c r="B441" s="218" t="s">
        <v>2909</v>
      </c>
      <c r="C441" s="218" t="s">
        <v>1982</v>
      </c>
      <c r="D441" s="218" t="s">
        <v>2910</v>
      </c>
      <c r="E441" s="218" t="s">
        <v>1839</v>
      </c>
      <c r="F441" s="218" t="s">
        <v>1840</v>
      </c>
      <c r="G441" s="218" t="s">
        <v>1841</v>
      </c>
    </row>
    <row r="442" spans="1:7" x14ac:dyDescent="0.15">
      <c r="A442" s="218" t="s">
        <v>9178</v>
      </c>
      <c r="B442" s="218" t="s">
        <v>9179</v>
      </c>
      <c r="C442" s="218" t="s">
        <v>1982</v>
      </c>
      <c r="D442" s="218" t="s">
        <v>9180</v>
      </c>
      <c r="E442" s="218" t="s">
        <v>1935</v>
      </c>
      <c r="F442" s="218" t="s">
        <v>1840</v>
      </c>
      <c r="G442" s="218" t="s">
        <v>1841</v>
      </c>
    </row>
    <row r="443" spans="1:7" x14ac:dyDescent="0.15">
      <c r="A443" s="218" t="s">
        <v>5487</v>
      </c>
      <c r="B443" s="218" t="s">
        <v>5488</v>
      </c>
      <c r="C443" s="218" t="s">
        <v>1982</v>
      </c>
      <c r="D443" s="218" t="s">
        <v>5489</v>
      </c>
      <c r="E443" s="218" t="s">
        <v>1839</v>
      </c>
      <c r="F443" s="218" t="s">
        <v>1840</v>
      </c>
      <c r="G443" s="218" t="s">
        <v>1841</v>
      </c>
    </row>
    <row r="444" spans="1:7" x14ac:dyDescent="0.15">
      <c r="A444" s="218" t="s">
        <v>5490</v>
      </c>
      <c r="B444" s="218" t="s">
        <v>5491</v>
      </c>
      <c r="C444" s="218" t="s">
        <v>1982</v>
      </c>
      <c r="D444" s="218" t="s">
        <v>5492</v>
      </c>
      <c r="E444" s="218" t="s">
        <v>1839</v>
      </c>
      <c r="F444" s="218" t="s">
        <v>1840</v>
      </c>
      <c r="G444" s="218" t="s">
        <v>1841</v>
      </c>
    </row>
    <row r="445" spans="1:7" x14ac:dyDescent="0.15">
      <c r="A445" s="218" t="s">
        <v>2911</v>
      </c>
      <c r="B445" s="218" t="s">
        <v>2912</v>
      </c>
      <c r="C445" s="218" t="s">
        <v>1982</v>
      </c>
      <c r="D445" s="218" t="s">
        <v>2913</v>
      </c>
      <c r="E445" s="218" t="s">
        <v>1839</v>
      </c>
      <c r="F445" s="218" t="s">
        <v>1840</v>
      </c>
      <c r="G445" s="218" t="s">
        <v>1841</v>
      </c>
    </row>
    <row r="446" spans="1:7" x14ac:dyDescent="0.15">
      <c r="A446" s="218" t="s">
        <v>2914</v>
      </c>
      <c r="B446" s="218" t="s">
        <v>2915</v>
      </c>
      <c r="C446" s="218" t="s">
        <v>1982</v>
      </c>
      <c r="D446" s="218" t="s">
        <v>2916</v>
      </c>
      <c r="E446" s="218" t="s">
        <v>1839</v>
      </c>
      <c r="F446" s="218" t="s">
        <v>1840</v>
      </c>
      <c r="G446" s="218" t="s">
        <v>1841</v>
      </c>
    </row>
    <row r="447" spans="1:7" x14ac:dyDescent="0.15">
      <c r="A447" s="218" t="s">
        <v>2917</v>
      </c>
      <c r="B447" s="218" t="s">
        <v>2918</v>
      </c>
      <c r="C447" s="218" t="s">
        <v>1982</v>
      </c>
      <c r="D447" s="218" t="s">
        <v>2919</v>
      </c>
      <c r="E447" s="218" t="s">
        <v>1839</v>
      </c>
      <c r="F447" s="218" t="s">
        <v>1840</v>
      </c>
      <c r="G447" s="218" t="s">
        <v>1841</v>
      </c>
    </row>
    <row r="448" spans="1:7" x14ac:dyDescent="0.15">
      <c r="A448" s="218" t="s">
        <v>2920</v>
      </c>
      <c r="B448" s="218" t="s">
        <v>2921</v>
      </c>
      <c r="C448" s="218" t="s">
        <v>1982</v>
      </c>
      <c r="D448" s="218" t="s">
        <v>2922</v>
      </c>
      <c r="E448" s="218" t="s">
        <v>1839</v>
      </c>
      <c r="F448" s="218" t="s">
        <v>1840</v>
      </c>
      <c r="G448" s="218" t="s">
        <v>1841</v>
      </c>
    </row>
    <row r="449" spans="1:7" x14ac:dyDescent="0.15">
      <c r="A449" s="218" t="s">
        <v>2923</v>
      </c>
      <c r="B449" s="218" t="s">
        <v>2924</v>
      </c>
      <c r="C449" s="218" t="s">
        <v>1982</v>
      </c>
      <c r="D449" s="218" t="s">
        <v>2925</v>
      </c>
      <c r="E449" s="218" t="s">
        <v>1839</v>
      </c>
      <c r="F449" s="218" t="s">
        <v>1840</v>
      </c>
      <c r="G449" s="218" t="s">
        <v>1841</v>
      </c>
    </row>
    <row r="450" spans="1:7" x14ac:dyDescent="0.15">
      <c r="A450" s="218" t="s">
        <v>2926</v>
      </c>
      <c r="B450" s="218" t="s">
        <v>2927</v>
      </c>
      <c r="C450" s="218" t="s">
        <v>1982</v>
      </c>
      <c r="D450" s="218" t="s">
        <v>2928</v>
      </c>
      <c r="E450" s="218" t="s">
        <v>1839</v>
      </c>
      <c r="F450" s="218" t="s">
        <v>1840</v>
      </c>
      <c r="G450" s="218" t="s">
        <v>1841</v>
      </c>
    </row>
    <row r="451" spans="1:7" x14ac:dyDescent="0.15">
      <c r="A451" s="218" t="s">
        <v>2929</v>
      </c>
      <c r="B451" s="218" t="s">
        <v>2930</v>
      </c>
      <c r="C451" s="218" t="s">
        <v>1982</v>
      </c>
      <c r="D451" s="218" t="s">
        <v>2931</v>
      </c>
      <c r="E451" s="218" t="s">
        <v>1839</v>
      </c>
      <c r="F451" s="218" t="s">
        <v>1840</v>
      </c>
      <c r="G451" s="218" t="s">
        <v>1841</v>
      </c>
    </row>
    <row r="452" spans="1:7" x14ac:dyDescent="0.15">
      <c r="A452" s="218" t="s">
        <v>2932</v>
      </c>
      <c r="B452" s="218" t="s">
        <v>2933</v>
      </c>
      <c r="C452" s="218" t="s">
        <v>1982</v>
      </c>
      <c r="D452" s="218" t="s">
        <v>2934</v>
      </c>
      <c r="E452" s="218" t="s">
        <v>1839</v>
      </c>
      <c r="F452" s="218" t="s">
        <v>1840</v>
      </c>
      <c r="G452" s="218" t="s">
        <v>1841</v>
      </c>
    </row>
    <row r="453" spans="1:7" x14ac:dyDescent="0.15">
      <c r="A453" s="218" t="s">
        <v>2935</v>
      </c>
      <c r="B453" s="218" t="s">
        <v>2936</v>
      </c>
      <c r="C453" s="218" t="s">
        <v>1982</v>
      </c>
      <c r="D453" s="218" t="s">
        <v>2937</v>
      </c>
      <c r="E453" s="218" t="s">
        <v>1839</v>
      </c>
      <c r="F453" s="218" t="s">
        <v>1840</v>
      </c>
      <c r="G453" s="218" t="s">
        <v>1841</v>
      </c>
    </row>
    <row r="454" spans="1:7" x14ac:dyDescent="0.15">
      <c r="A454" s="218" t="s">
        <v>2938</v>
      </c>
      <c r="B454" s="218" t="s">
        <v>580</v>
      </c>
      <c r="C454" s="218" t="s">
        <v>1982</v>
      </c>
      <c r="D454" s="218" t="s">
        <v>2939</v>
      </c>
      <c r="E454" s="218" t="s">
        <v>1839</v>
      </c>
      <c r="F454" s="218" t="s">
        <v>1840</v>
      </c>
      <c r="G454" s="218" t="s">
        <v>1841</v>
      </c>
    </row>
    <row r="455" spans="1:7" x14ac:dyDescent="0.15">
      <c r="A455" s="218" t="s">
        <v>2940</v>
      </c>
      <c r="B455" s="218" t="s">
        <v>2941</v>
      </c>
      <c r="C455" s="218" t="s">
        <v>1982</v>
      </c>
      <c r="D455" s="218" t="s">
        <v>2942</v>
      </c>
      <c r="E455" s="218" t="s">
        <v>1839</v>
      </c>
      <c r="F455" s="218" t="s">
        <v>1840</v>
      </c>
      <c r="G455" s="218" t="s">
        <v>1841</v>
      </c>
    </row>
    <row r="456" spans="1:7" x14ac:dyDescent="0.15">
      <c r="A456" s="218" t="s">
        <v>2943</v>
      </c>
      <c r="B456" s="218" t="s">
        <v>2944</v>
      </c>
      <c r="C456" s="218" t="s">
        <v>1982</v>
      </c>
      <c r="D456" s="218" t="s">
        <v>2945</v>
      </c>
      <c r="E456" s="218" t="s">
        <v>1839</v>
      </c>
      <c r="F456" s="218" t="s">
        <v>1840</v>
      </c>
      <c r="G456" s="218" t="s">
        <v>1841</v>
      </c>
    </row>
    <row r="457" spans="1:7" x14ac:dyDescent="0.15">
      <c r="A457" s="218" t="s">
        <v>2946</v>
      </c>
      <c r="B457" s="218" t="s">
        <v>2947</v>
      </c>
      <c r="C457" s="218" t="s">
        <v>1982</v>
      </c>
      <c r="D457" s="218" t="s">
        <v>2948</v>
      </c>
      <c r="E457" s="218" t="s">
        <v>1839</v>
      </c>
      <c r="F457" s="218" t="s">
        <v>1840</v>
      </c>
      <c r="G457" s="218" t="s">
        <v>1841</v>
      </c>
    </row>
    <row r="458" spans="1:7" x14ac:dyDescent="0.15">
      <c r="A458" s="218" t="s">
        <v>2949</v>
      </c>
      <c r="B458" s="218" t="s">
        <v>2950</v>
      </c>
      <c r="C458" s="218" t="s">
        <v>1982</v>
      </c>
      <c r="D458" s="218" t="s">
        <v>2951</v>
      </c>
      <c r="E458" s="218" t="s">
        <v>1839</v>
      </c>
      <c r="F458" s="218" t="s">
        <v>1840</v>
      </c>
      <c r="G458" s="218" t="s">
        <v>1841</v>
      </c>
    </row>
    <row r="459" spans="1:7" x14ac:dyDescent="0.15">
      <c r="A459" s="218" t="s">
        <v>2952</v>
      </c>
      <c r="B459" s="218" t="s">
        <v>2953</v>
      </c>
      <c r="C459" s="218" t="s">
        <v>1982</v>
      </c>
      <c r="D459" s="218" t="s">
        <v>2954</v>
      </c>
      <c r="E459" s="218" t="s">
        <v>1839</v>
      </c>
      <c r="F459" s="218" t="s">
        <v>1840</v>
      </c>
      <c r="G459" s="218" t="s">
        <v>1841</v>
      </c>
    </row>
    <row r="460" spans="1:7" x14ac:dyDescent="0.15">
      <c r="A460" s="218" t="s">
        <v>10659</v>
      </c>
      <c r="B460" s="218" t="s">
        <v>10660</v>
      </c>
      <c r="C460" s="218" t="s">
        <v>1982</v>
      </c>
      <c r="D460" s="218" t="s">
        <v>10661</v>
      </c>
      <c r="E460" s="218" t="s">
        <v>1839</v>
      </c>
      <c r="F460" s="218" t="s">
        <v>1840</v>
      </c>
      <c r="G460" s="218" t="s">
        <v>1841</v>
      </c>
    </row>
    <row r="461" spans="1:7" x14ac:dyDescent="0.15">
      <c r="A461" s="218" t="s">
        <v>579</v>
      </c>
      <c r="B461" s="218" t="s">
        <v>578</v>
      </c>
      <c r="C461" s="218" t="s">
        <v>1982</v>
      </c>
      <c r="D461" s="218" t="s">
        <v>2955</v>
      </c>
      <c r="E461" s="218" t="s">
        <v>1839</v>
      </c>
      <c r="F461" s="218" t="s">
        <v>1840</v>
      </c>
      <c r="G461" s="218" t="s">
        <v>1841</v>
      </c>
    </row>
    <row r="462" spans="1:7" x14ac:dyDescent="0.15">
      <c r="A462" s="218" t="s">
        <v>2956</v>
      </c>
      <c r="B462" s="218" t="s">
        <v>2957</v>
      </c>
      <c r="C462" s="218" t="s">
        <v>1982</v>
      </c>
      <c r="D462" s="218" t="s">
        <v>2958</v>
      </c>
      <c r="E462" s="218" t="s">
        <v>1839</v>
      </c>
      <c r="F462" s="218" t="s">
        <v>1840</v>
      </c>
      <c r="G462" s="218" t="s">
        <v>1841</v>
      </c>
    </row>
    <row r="463" spans="1:7" x14ac:dyDescent="0.15">
      <c r="A463" s="218" t="s">
        <v>2959</v>
      </c>
      <c r="B463" s="218" t="s">
        <v>2960</v>
      </c>
      <c r="C463" s="218" t="s">
        <v>1982</v>
      </c>
      <c r="D463" s="218" t="s">
        <v>2961</v>
      </c>
      <c r="E463" s="218" t="s">
        <v>1839</v>
      </c>
      <c r="F463" s="218" t="s">
        <v>1840</v>
      </c>
      <c r="G463" s="218" t="s">
        <v>1841</v>
      </c>
    </row>
    <row r="464" spans="1:7" x14ac:dyDescent="0.15">
      <c r="A464" s="218" t="s">
        <v>2962</v>
      </c>
      <c r="B464" s="218" t="s">
        <v>2963</v>
      </c>
      <c r="C464" s="218" t="s">
        <v>1982</v>
      </c>
      <c r="D464" s="218" t="s">
        <v>2964</v>
      </c>
      <c r="E464" s="218" t="s">
        <v>1839</v>
      </c>
      <c r="F464" s="218" t="s">
        <v>1840</v>
      </c>
      <c r="G464" s="218" t="s">
        <v>1841</v>
      </c>
    </row>
    <row r="465" spans="1:7" x14ac:dyDescent="0.15">
      <c r="A465" s="218" t="s">
        <v>2965</v>
      </c>
      <c r="B465" s="218" t="s">
        <v>2966</v>
      </c>
      <c r="C465" s="218" t="s">
        <v>1982</v>
      </c>
      <c r="D465" s="218" t="s">
        <v>2967</v>
      </c>
      <c r="E465" s="218" t="s">
        <v>1839</v>
      </c>
      <c r="F465" s="218" t="s">
        <v>1840</v>
      </c>
      <c r="G465" s="218" t="s">
        <v>1841</v>
      </c>
    </row>
    <row r="466" spans="1:7" x14ac:dyDescent="0.15">
      <c r="A466" s="218" t="s">
        <v>2968</v>
      </c>
      <c r="B466" s="218" t="s">
        <v>2969</v>
      </c>
      <c r="C466" s="218" t="s">
        <v>1982</v>
      </c>
      <c r="D466" s="218" t="s">
        <v>2970</v>
      </c>
      <c r="E466" s="218" t="s">
        <v>1839</v>
      </c>
      <c r="F466" s="218" t="s">
        <v>1840</v>
      </c>
      <c r="G466" s="218" t="s">
        <v>1841</v>
      </c>
    </row>
    <row r="467" spans="1:7" x14ac:dyDescent="0.15">
      <c r="A467" s="218" t="s">
        <v>2971</v>
      </c>
      <c r="B467" s="218" t="s">
        <v>2972</v>
      </c>
      <c r="C467" s="218" t="s">
        <v>1982</v>
      </c>
      <c r="D467" s="218" t="s">
        <v>2973</v>
      </c>
      <c r="E467" s="218" t="s">
        <v>1839</v>
      </c>
      <c r="F467" s="218" t="s">
        <v>1840</v>
      </c>
      <c r="G467" s="218" t="s">
        <v>1841</v>
      </c>
    </row>
    <row r="468" spans="1:7" x14ac:dyDescent="0.15">
      <c r="A468" s="218" t="s">
        <v>5544</v>
      </c>
      <c r="B468" s="218" t="s">
        <v>5545</v>
      </c>
      <c r="C468" s="218" t="s">
        <v>1982</v>
      </c>
      <c r="D468" s="218" t="s">
        <v>5546</v>
      </c>
      <c r="E468" s="218" t="s">
        <v>1839</v>
      </c>
      <c r="F468" s="218" t="s">
        <v>1840</v>
      </c>
      <c r="G468" s="218" t="s">
        <v>1841</v>
      </c>
    </row>
    <row r="469" spans="1:7" x14ac:dyDescent="0.15">
      <c r="A469" s="218" t="s">
        <v>2974</v>
      </c>
      <c r="B469" s="218" t="s">
        <v>2975</v>
      </c>
      <c r="C469" s="218" t="s">
        <v>1982</v>
      </c>
      <c r="D469" s="218" t="s">
        <v>2976</v>
      </c>
      <c r="E469" s="218" t="s">
        <v>1839</v>
      </c>
      <c r="F469" s="218" t="s">
        <v>1840</v>
      </c>
      <c r="G469" s="218" t="s">
        <v>1841</v>
      </c>
    </row>
    <row r="470" spans="1:7" x14ac:dyDescent="0.15">
      <c r="A470" s="218" t="s">
        <v>2977</v>
      </c>
      <c r="B470" s="218" t="s">
        <v>2978</v>
      </c>
      <c r="C470" s="218" t="s">
        <v>1982</v>
      </c>
      <c r="D470" s="218" t="s">
        <v>2979</v>
      </c>
      <c r="E470" s="218" t="s">
        <v>1839</v>
      </c>
      <c r="F470" s="218" t="s">
        <v>1840</v>
      </c>
      <c r="G470" s="218" t="s">
        <v>1841</v>
      </c>
    </row>
    <row r="471" spans="1:7" x14ac:dyDescent="0.15">
      <c r="A471" s="218" t="s">
        <v>2980</v>
      </c>
      <c r="B471" s="218" t="s">
        <v>2981</v>
      </c>
      <c r="C471" s="218" t="s">
        <v>1982</v>
      </c>
      <c r="D471" s="218" t="s">
        <v>2982</v>
      </c>
      <c r="E471" s="218" t="s">
        <v>1839</v>
      </c>
      <c r="F471" s="218" t="s">
        <v>1840</v>
      </c>
      <c r="G471" s="218" t="s">
        <v>1841</v>
      </c>
    </row>
    <row r="472" spans="1:7" x14ac:dyDescent="0.15">
      <c r="A472" s="218" t="s">
        <v>2983</v>
      </c>
      <c r="B472" s="218" t="s">
        <v>2984</v>
      </c>
      <c r="C472" s="218" t="s">
        <v>1982</v>
      </c>
      <c r="D472" s="218" t="s">
        <v>2985</v>
      </c>
      <c r="E472" s="218" t="s">
        <v>1839</v>
      </c>
      <c r="F472" s="218" t="s">
        <v>1840</v>
      </c>
      <c r="G472" s="218" t="s">
        <v>1841</v>
      </c>
    </row>
    <row r="473" spans="1:7" x14ac:dyDescent="0.15">
      <c r="A473" s="218" t="s">
        <v>2986</v>
      </c>
      <c r="B473" s="218" t="s">
        <v>2987</v>
      </c>
      <c r="C473" s="218" t="s">
        <v>1982</v>
      </c>
      <c r="D473" s="218" t="s">
        <v>2988</v>
      </c>
      <c r="E473" s="218" t="s">
        <v>1839</v>
      </c>
      <c r="F473" s="218" t="s">
        <v>1840</v>
      </c>
      <c r="G473" s="218" t="s">
        <v>1841</v>
      </c>
    </row>
    <row r="474" spans="1:7" x14ac:dyDescent="0.15">
      <c r="A474" s="218" t="s">
        <v>2989</v>
      </c>
      <c r="B474" s="218" t="s">
        <v>2990</v>
      </c>
      <c r="C474" s="218" t="s">
        <v>1982</v>
      </c>
      <c r="D474" s="218" t="s">
        <v>2991</v>
      </c>
      <c r="E474" s="218" t="s">
        <v>1839</v>
      </c>
      <c r="F474" s="218" t="s">
        <v>1840</v>
      </c>
      <c r="G474" s="218" t="s">
        <v>1841</v>
      </c>
    </row>
    <row r="475" spans="1:7" x14ac:dyDescent="0.15">
      <c r="A475" s="218" t="s">
        <v>2992</v>
      </c>
      <c r="B475" s="218" t="s">
        <v>2993</v>
      </c>
      <c r="C475" s="218" t="s">
        <v>1982</v>
      </c>
      <c r="D475" s="218" t="s">
        <v>2994</v>
      </c>
      <c r="E475" s="218" t="s">
        <v>1839</v>
      </c>
      <c r="F475" s="218" t="s">
        <v>1840</v>
      </c>
      <c r="G475" s="218" t="s">
        <v>1841</v>
      </c>
    </row>
    <row r="476" spans="1:7" x14ac:dyDescent="0.15">
      <c r="A476" s="218" t="s">
        <v>2998</v>
      </c>
      <c r="B476" s="218" t="s">
        <v>2999</v>
      </c>
      <c r="C476" s="218" t="s">
        <v>1982</v>
      </c>
      <c r="D476" s="218" t="s">
        <v>3000</v>
      </c>
      <c r="E476" s="218" t="s">
        <v>1839</v>
      </c>
      <c r="F476" s="218" t="s">
        <v>1840</v>
      </c>
      <c r="G476" s="218" t="s">
        <v>1841</v>
      </c>
    </row>
    <row r="477" spans="1:7" x14ac:dyDescent="0.15">
      <c r="A477" s="218" t="s">
        <v>3001</v>
      </c>
      <c r="B477" s="218" t="s">
        <v>3002</v>
      </c>
      <c r="C477" s="218" t="s">
        <v>1982</v>
      </c>
      <c r="D477" s="218" t="s">
        <v>3003</v>
      </c>
      <c r="E477" s="218" t="s">
        <v>1839</v>
      </c>
      <c r="F477" s="218" t="s">
        <v>1840</v>
      </c>
      <c r="G477" s="218" t="s">
        <v>1841</v>
      </c>
    </row>
    <row r="478" spans="1:7" x14ac:dyDescent="0.15">
      <c r="A478" s="218" t="s">
        <v>3004</v>
      </c>
      <c r="B478" s="218" t="s">
        <v>3005</v>
      </c>
      <c r="C478" s="218" t="s">
        <v>1982</v>
      </c>
      <c r="D478" s="218" t="s">
        <v>3006</v>
      </c>
      <c r="E478" s="218" t="s">
        <v>1839</v>
      </c>
      <c r="F478" s="218" t="s">
        <v>1840</v>
      </c>
      <c r="G478" s="218" t="s">
        <v>1841</v>
      </c>
    </row>
    <row r="479" spans="1:7" x14ac:dyDescent="0.15">
      <c r="A479" s="218" t="s">
        <v>10721</v>
      </c>
      <c r="B479" s="218" t="s">
        <v>10722</v>
      </c>
      <c r="C479" s="218" t="s">
        <v>1982</v>
      </c>
      <c r="D479" s="218" t="s">
        <v>10723</v>
      </c>
      <c r="E479" s="218" t="s">
        <v>1839</v>
      </c>
      <c r="F479" s="218" t="s">
        <v>1840</v>
      </c>
      <c r="G479" s="218" t="s">
        <v>1841</v>
      </c>
    </row>
    <row r="480" spans="1:7" x14ac:dyDescent="0.15">
      <c r="A480" s="218" t="s">
        <v>3007</v>
      </c>
      <c r="B480" s="218" t="s">
        <v>530</v>
      </c>
      <c r="C480" s="218" t="s">
        <v>1982</v>
      </c>
      <c r="D480" s="218" t="s">
        <v>3008</v>
      </c>
      <c r="E480" s="218" t="s">
        <v>1839</v>
      </c>
      <c r="F480" s="218" t="s">
        <v>1840</v>
      </c>
      <c r="G480" s="218" t="s">
        <v>1841</v>
      </c>
    </row>
    <row r="481" spans="1:7" x14ac:dyDescent="0.15">
      <c r="A481" s="218" t="s">
        <v>3009</v>
      </c>
      <c r="B481" s="218" t="s">
        <v>3010</v>
      </c>
      <c r="C481" s="218" t="s">
        <v>1982</v>
      </c>
      <c r="D481" s="218" t="s">
        <v>3011</v>
      </c>
      <c r="E481" s="218" t="s">
        <v>1839</v>
      </c>
      <c r="F481" s="218" t="s">
        <v>1840</v>
      </c>
      <c r="G481" s="218" t="s">
        <v>1841</v>
      </c>
    </row>
    <row r="482" spans="1:7" x14ac:dyDescent="0.15">
      <c r="A482" s="218" t="s">
        <v>3012</v>
      </c>
      <c r="B482" s="218" t="s">
        <v>3013</v>
      </c>
      <c r="C482" s="218" t="s">
        <v>1982</v>
      </c>
      <c r="D482" s="218" t="s">
        <v>3014</v>
      </c>
      <c r="E482" s="218" t="s">
        <v>1839</v>
      </c>
      <c r="F482" s="218" t="s">
        <v>1840</v>
      </c>
      <c r="G482" s="218" t="s">
        <v>1841</v>
      </c>
    </row>
    <row r="483" spans="1:7" x14ac:dyDescent="0.15">
      <c r="A483" s="218" t="s">
        <v>3015</v>
      </c>
      <c r="B483" s="218" t="s">
        <v>3016</v>
      </c>
      <c r="C483" s="218" t="s">
        <v>1982</v>
      </c>
      <c r="D483" s="218" t="s">
        <v>3017</v>
      </c>
      <c r="E483" s="218" t="s">
        <v>1839</v>
      </c>
      <c r="F483" s="218" t="s">
        <v>1840</v>
      </c>
      <c r="G483" s="218" t="s">
        <v>1841</v>
      </c>
    </row>
    <row r="484" spans="1:7" x14ac:dyDescent="0.15">
      <c r="A484" s="218" t="s">
        <v>3018</v>
      </c>
      <c r="B484" s="218" t="s">
        <v>3019</v>
      </c>
      <c r="C484" s="218" t="s">
        <v>1982</v>
      </c>
      <c r="D484" s="218" t="s">
        <v>3020</v>
      </c>
      <c r="E484" s="218" t="s">
        <v>1839</v>
      </c>
      <c r="F484" s="218" t="s">
        <v>1840</v>
      </c>
      <c r="G484" s="218" t="s">
        <v>1841</v>
      </c>
    </row>
    <row r="485" spans="1:7" x14ac:dyDescent="0.15">
      <c r="A485" s="218" t="s">
        <v>5629</v>
      </c>
      <c r="B485" s="218" t="s">
        <v>5630</v>
      </c>
      <c r="C485" s="218" t="s">
        <v>1982</v>
      </c>
      <c r="D485" s="218" t="s">
        <v>1774</v>
      </c>
      <c r="E485" s="218" t="s">
        <v>1839</v>
      </c>
      <c r="F485" s="218" t="s">
        <v>1840</v>
      </c>
      <c r="G485" s="218" t="s">
        <v>1841</v>
      </c>
    </row>
    <row r="486" spans="1:7" x14ac:dyDescent="0.15">
      <c r="A486" s="218" t="s">
        <v>3021</v>
      </c>
      <c r="B486" s="218" t="s">
        <v>3022</v>
      </c>
      <c r="C486" s="218" t="s">
        <v>1982</v>
      </c>
      <c r="D486" s="218" t="s">
        <v>3023</v>
      </c>
      <c r="E486" s="218" t="s">
        <v>1839</v>
      </c>
      <c r="F486" s="218" t="s">
        <v>1840</v>
      </c>
      <c r="G486" s="218" t="s">
        <v>1841</v>
      </c>
    </row>
    <row r="487" spans="1:7" x14ac:dyDescent="0.15">
      <c r="A487" s="218" t="s">
        <v>3024</v>
      </c>
      <c r="B487" s="218" t="s">
        <v>510</v>
      </c>
      <c r="C487" s="218" t="s">
        <v>1982</v>
      </c>
      <c r="D487" s="218" t="s">
        <v>3025</v>
      </c>
      <c r="E487" s="218" t="s">
        <v>1839</v>
      </c>
      <c r="F487" s="218" t="s">
        <v>1840</v>
      </c>
      <c r="G487" s="218" t="s">
        <v>1841</v>
      </c>
    </row>
    <row r="488" spans="1:7" x14ac:dyDescent="0.15">
      <c r="A488" s="218" t="s">
        <v>3026</v>
      </c>
      <c r="B488" s="218" t="s">
        <v>3027</v>
      </c>
      <c r="C488" s="218" t="s">
        <v>1982</v>
      </c>
      <c r="D488" s="218" t="s">
        <v>3028</v>
      </c>
      <c r="E488" s="218" t="s">
        <v>1839</v>
      </c>
      <c r="F488" s="218" t="s">
        <v>1840</v>
      </c>
      <c r="G488" s="218" t="s">
        <v>1841</v>
      </c>
    </row>
    <row r="489" spans="1:7" x14ac:dyDescent="0.15">
      <c r="A489" s="218" t="s">
        <v>3029</v>
      </c>
      <c r="B489" s="218" t="s">
        <v>3030</v>
      </c>
      <c r="C489" s="218" t="s">
        <v>1982</v>
      </c>
      <c r="D489" s="218" t="s">
        <v>3031</v>
      </c>
      <c r="E489" s="218" t="s">
        <v>1839</v>
      </c>
      <c r="F489" s="218" t="s">
        <v>1840</v>
      </c>
      <c r="G489" s="218" t="s">
        <v>1841</v>
      </c>
    </row>
    <row r="490" spans="1:7" x14ac:dyDescent="0.15">
      <c r="A490" s="218" t="s">
        <v>3032</v>
      </c>
      <c r="B490" s="218" t="s">
        <v>3033</v>
      </c>
      <c r="C490" s="218" t="s">
        <v>1982</v>
      </c>
      <c r="D490" s="218" t="s">
        <v>3034</v>
      </c>
      <c r="E490" s="218" t="s">
        <v>1839</v>
      </c>
      <c r="F490" s="218" t="s">
        <v>1840</v>
      </c>
      <c r="G490" s="218" t="s">
        <v>1841</v>
      </c>
    </row>
    <row r="491" spans="1:7" x14ac:dyDescent="0.15">
      <c r="A491" s="218" t="s">
        <v>3035</v>
      </c>
      <c r="B491" s="218" t="s">
        <v>3036</v>
      </c>
      <c r="C491" s="218" t="s">
        <v>1982</v>
      </c>
      <c r="D491" s="218" t="s">
        <v>3037</v>
      </c>
      <c r="E491" s="218" t="s">
        <v>1839</v>
      </c>
      <c r="F491" s="218" t="s">
        <v>1840</v>
      </c>
      <c r="G491" s="218" t="s">
        <v>1841</v>
      </c>
    </row>
    <row r="492" spans="1:7" x14ac:dyDescent="0.15">
      <c r="A492" s="218" t="s">
        <v>9181</v>
      </c>
      <c r="B492" s="218" t="s">
        <v>9182</v>
      </c>
      <c r="C492" s="218" t="s">
        <v>1982</v>
      </c>
      <c r="D492" s="218" t="s">
        <v>9183</v>
      </c>
      <c r="E492" s="218" t="s">
        <v>1839</v>
      </c>
      <c r="F492" s="218" t="s">
        <v>1840</v>
      </c>
      <c r="G492" s="218" t="s">
        <v>1841</v>
      </c>
    </row>
    <row r="493" spans="1:7" x14ac:dyDescent="0.15">
      <c r="A493" s="218" t="s">
        <v>3038</v>
      </c>
      <c r="B493" s="218" t="s">
        <v>3039</v>
      </c>
      <c r="C493" s="218" t="s">
        <v>1982</v>
      </c>
      <c r="D493" s="218" t="s">
        <v>3040</v>
      </c>
      <c r="E493" s="218" t="s">
        <v>1839</v>
      </c>
      <c r="F493" s="218" t="s">
        <v>1840</v>
      </c>
      <c r="G493" s="218" t="s">
        <v>1841</v>
      </c>
    </row>
    <row r="494" spans="1:7" x14ac:dyDescent="0.15">
      <c r="A494" s="218" t="s">
        <v>3041</v>
      </c>
      <c r="B494" s="218" t="s">
        <v>3042</v>
      </c>
      <c r="C494" s="218" t="s">
        <v>1982</v>
      </c>
      <c r="D494" s="218" t="s">
        <v>3043</v>
      </c>
      <c r="E494" s="218" t="s">
        <v>1839</v>
      </c>
      <c r="F494" s="218" t="s">
        <v>1840</v>
      </c>
      <c r="G494" s="218" t="s">
        <v>1841</v>
      </c>
    </row>
    <row r="495" spans="1:7" x14ac:dyDescent="0.15">
      <c r="A495" s="218" t="s">
        <v>3044</v>
      </c>
      <c r="B495" s="218" t="s">
        <v>3045</v>
      </c>
      <c r="C495" s="218" t="s">
        <v>1982</v>
      </c>
      <c r="D495" s="218" t="s">
        <v>3046</v>
      </c>
      <c r="E495" s="218" t="s">
        <v>1839</v>
      </c>
      <c r="F495" s="218" t="s">
        <v>1840</v>
      </c>
      <c r="G495" s="218" t="s">
        <v>1841</v>
      </c>
    </row>
    <row r="496" spans="1:7" x14ac:dyDescent="0.15">
      <c r="A496" s="218" t="s">
        <v>3047</v>
      </c>
      <c r="B496" s="218" t="s">
        <v>3048</v>
      </c>
      <c r="C496" s="218" t="s">
        <v>1982</v>
      </c>
      <c r="D496" s="218" t="s">
        <v>3049</v>
      </c>
      <c r="E496" s="218" t="s">
        <v>1839</v>
      </c>
      <c r="F496" s="218" t="s">
        <v>1840</v>
      </c>
      <c r="G496" s="218" t="s">
        <v>1841</v>
      </c>
    </row>
    <row r="497" spans="1:7" x14ac:dyDescent="0.15">
      <c r="A497" s="218" t="s">
        <v>3050</v>
      </c>
      <c r="B497" s="218" t="s">
        <v>3051</v>
      </c>
      <c r="C497" s="218" t="s">
        <v>1982</v>
      </c>
      <c r="D497" s="218" t="s">
        <v>3052</v>
      </c>
      <c r="E497" s="218" t="s">
        <v>1839</v>
      </c>
      <c r="F497" s="218" t="s">
        <v>1840</v>
      </c>
      <c r="G497" s="218" t="s">
        <v>1841</v>
      </c>
    </row>
    <row r="498" spans="1:7" x14ac:dyDescent="0.15">
      <c r="A498" s="218" t="s">
        <v>3053</v>
      </c>
      <c r="B498" s="218" t="s">
        <v>3054</v>
      </c>
      <c r="C498" s="218" t="s">
        <v>1982</v>
      </c>
      <c r="D498" s="218" t="s">
        <v>3055</v>
      </c>
      <c r="E498" s="218" t="s">
        <v>1839</v>
      </c>
      <c r="F498" s="218" t="s">
        <v>1840</v>
      </c>
      <c r="G498" s="218" t="s">
        <v>1841</v>
      </c>
    </row>
    <row r="499" spans="1:7" x14ac:dyDescent="0.15">
      <c r="A499" s="218" t="s">
        <v>3056</v>
      </c>
      <c r="B499" s="218" t="s">
        <v>3057</v>
      </c>
      <c r="C499" s="218" t="s">
        <v>1982</v>
      </c>
      <c r="D499" s="218" t="s">
        <v>3058</v>
      </c>
      <c r="E499" s="218" t="s">
        <v>1839</v>
      </c>
      <c r="F499" s="218" t="s">
        <v>1840</v>
      </c>
      <c r="G499" s="218" t="s">
        <v>1841</v>
      </c>
    </row>
    <row r="500" spans="1:7" x14ac:dyDescent="0.15">
      <c r="A500" s="218" t="s">
        <v>3059</v>
      </c>
      <c r="B500" s="218" t="s">
        <v>3060</v>
      </c>
      <c r="C500" s="218" t="s">
        <v>1982</v>
      </c>
      <c r="D500" s="218" t="s">
        <v>3061</v>
      </c>
      <c r="E500" s="218" t="s">
        <v>1839</v>
      </c>
      <c r="F500" s="218" t="s">
        <v>1840</v>
      </c>
      <c r="G500" s="218" t="s">
        <v>1841</v>
      </c>
    </row>
    <row r="501" spans="1:7" x14ac:dyDescent="0.15">
      <c r="A501" s="218" t="s">
        <v>3062</v>
      </c>
      <c r="B501" s="218" t="s">
        <v>3063</v>
      </c>
      <c r="C501" s="218" t="s">
        <v>1982</v>
      </c>
      <c r="D501" s="218" t="s">
        <v>3064</v>
      </c>
      <c r="E501" s="218" t="s">
        <v>1839</v>
      </c>
      <c r="F501" s="218" t="s">
        <v>1840</v>
      </c>
      <c r="G501" s="218" t="s">
        <v>1841</v>
      </c>
    </row>
    <row r="502" spans="1:7" x14ac:dyDescent="0.15">
      <c r="A502" s="218" t="s">
        <v>3065</v>
      </c>
      <c r="B502" s="218" t="s">
        <v>3066</v>
      </c>
      <c r="C502" s="218" t="s">
        <v>1982</v>
      </c>
      <c r="D502" s="218" t="s">
        <v>3067</v>
      </c>
      <c r="E502" s="218" t="s">
        <v>1839</v>
      </c>
      <c r="F502" s="218" t="s">
        <v>1840</v>
      </c>
      <c r="G502" s="218" t="s">
        <v>1841</v>
      </c>
    </row>
    <row r="503" spans="1:7" x14ac:dyDescent="0.15">
      <c r="A503" s="218" t="s">
        <v>9184</v>
      </c>
      <c r="B503" s="218" t="s">
        <v>9185</v>
      </c>
      <c r="C503" s="218" t="s">
        <v>1982</v>
      </c>
      <c r="D503" s="218" t="s">
        <v>9186</v>
      </c>
      <c r="E503" s="218" t="s">
        <v>1839</v>
      </c>
      <c r="F503" s="218" t="s">
        <v>1840</v>
      </c>
      <c r="G503" s="218" t="s">
        <v>1841</v>
      </c>
    </row>
    <row r="504" spans="1:7" x14ac:dyDescent="0.15">
      <c r="A504" s="218" t="s">
        <v>3068</v>
      </c>
      <c r="B504" s="218" t="s">
        <v>3069</v>
      </c>
      <c r="C504" s="218" t="s">
        <v>1982</v>
      </c>
      <c r="D504" s="218" t="s">
        <v>3070</v>
      </c>
      <c r="E504" s="218" t="s">
        <v>1839</v>
      </c>
      <c r="F504" s="218" t="s">
        <v>1840</v>
      </c>
      <c r="G504" s="218" t="s">
        <v>1841</v>
      </c>
    </row>
    <row r="505" spans="1:7" x14ac:dyDescent="0.15">
      <c r="A505" s="218" t="s">
        <v>3071</v>
      </c>
      <c r="B505" s="218" t="s">
        <v>3072</v>
      </c>
      <c r="C505" s="218" t="s">
        <v>1982</v>
      </c>
      <c r="D505" s="218" t="s">
        <v>3073</v>
      </c>
      <c r="E505" s="218" t="s">
        <v>1839</v>
      </c>
      <c r="F505" s="218" t="s">
        <v>1840</v>
      </c>
      <c r="G505" s="218" t="s">
        <v>1841</v>
      </c>
    </row>
    <row r="506" spans="1:7" x14ac:dyDescent="0.15">
      <c r="A506" s="218" t="s">
        <v>3074</v>
      </c>
      <c r="B506" s="218" t="s">
        <v>3075</v>
      </c>
      <c r="C506" s="218" t="s">
        <v>1982</v>
      </c>
      <c r="D506" s="218" t="s">
        <v>3076</v>
      </c>
      <c r="E506" s="218" t="s">
        <v>1935</v>
      </c>
      <c r="F506" s="218" t="s">
        <v>1840</v>
      </c>
      <c r="G506" s="218" t="s">
        <v>1841</v>
      </c>
    </row>
    <row r="507" spans="1:7" x14ac:dyDescent="0.15">
      <c r="A507" s="218" t="s">
        <v>3077</v>
      </c>
      <c r="B507" s="218" t="s">
        <v>3078</v>
      </c>
      <c r="C507" s="218" t="s">
        <v>1982</v>
      </c>
      <c r="D507" s="218" t="s">
        <v>3079</v>
      </c>
      <c r="E507" s="218" t="s">
        <v>1839</v>
      </c>
      <c r="F507" s="218" t="s">
        <v>1840</v>
      </c>
      <c r="G507" s="218" t="s">
        <v>1841</v>
      </c>
    </row>
    <row r="508" spans="1:7" x14ac:dyDescent="0.15">
      <c r="A508" s="218" t="s">
        <v>3080</v>
      </c>
      <c r="B508" s="218" t="s">
        <v>3081</v>
      </c>
      <c r="C508" s="218" t="s">
        <v>1982</v>
      </c>
      <c r="D508" s="218" t="s">
        <v>3082</v>
      </c>
      <c r="E508" s="218" t="s">
        <v>1839</v>
      </c>
      <c r="F508" s="218" t="s">
        <v>1840</v>
      </c>
      <c r="G508" s="218" t="s">
        <v>1841</v>
      </c>
    </row>
    <row r="509" spans="1:7" x14ac:dyDescent="0.15">
      <c r="A509" s="218" t="s">
        <v>3083</v>
      </c>
      <c r="B509" s="218" t="s">
        <v>3084</v>
      </c>
      <c r="C509" s="218" t="s">
        <v>1982</v>
      </c>
      <c r="D509" s="218" t="s">
        <v>3085</v>
      </c>
      <c r="E509" s="218" t="s">
        <v>1839</v>
      </c>
      <c r="F509" s="218" t="s">
        <v>1840</v>
      </c>
      <c r="G509" s="218" t="s">
        <v>1841</v>
      </c>
    </row>
    <row r="510" spans="1:7" x14ac:dyDescent="0.15">
      <c r="A510" s="218" t="s">
        <v>3086</v>
      </c>
      <c r="B510" s="218" t="s">
        <v>3087</v>
      </c>
      <c r="C510" s="218" t="s">
        <v>1982</v>
      </c>
      <c r="D510" s="218" t="s">
        <v>3088</v>
      </c>
      <c r="E510" s="218" t="s">
        <v>1839</v>
      </c>
      <c r="F510" s="218" t="s">
        <v>1840</v>
      </c>
      <c r="G510" s="218" t="s">
        <v>1841</v>
      </c>
    </row>
    <row r="511" spans="1:7" x14ac:dyDescent="0.15">
      <c r="A511" s="218" t="s">
        <v>3089</v>
      </c>
      <c r="B511" s="218" t="s">
        <v>3090</v>
      </c>
      <c r="C511" s="218" t="s">
        <v>1982</v>
      </c>
      <c r="D511" s="218" t="s">
        <v>3091</v>
      </c>
      <c r="E511" s="218" t="s">
        <v>1839</v>
      </c>
      <c r="F511" s="218" t="s">
        <v>1840</v>
      </c>
      <c r="G511" s="218" t="s">
        <v>1841</v>
      </c>
    </row>
    <row r="512" spans="1:7" x14ac:dyDescent="0.15">
      <c r="A512" s="218" t="s">
        <v>3092</v>
      </c>
      <c r="B512" s="218" t="s">
        <v>3093</v>
      </c>
      <c r="C512" s="218" t="s">
        <v>1982</v>
      </c>
      <c r="D512" s="218" t="s">
        <v>3094</v>
      </c>
      <c r="E512" s="218" t="s">
        <v>1839</v>
      </c>
      <c r="F512" s="218" t="s">
        <v>1840</v>
      </c>
      <c r="G512" s="218" t="s">
        <v>1841</v>
      </c>
    </row>
    <row r="513" spans="1:7" x14ac:dyDescent="0.15">
      <c r="A513" s="218" t="s">
        <v>5745</v>
      </c>
      <c r="B513" s="218" t="s">
        <v>5746</v>
      </c>
      <c r="C513" s="218" t="s">
        <v>1982</v>
      </c>
      <c r="D513" s="218" t="s">
        <v>5747</v>
      </c>
      <c r="E513" s="218" t="s">
        <v>1839</v>
      </c>
      <c r="F513" s="218" t="s">
        <v>1840</v>
      </c>
      <c r="G513" s="218" t="s">
        <v>1841</v>
      </c>
    </row>
    <row r="514" spans="1:7" x14ac:dyDescent="0.15">
      <c r="A514" s="218" t="s">
        <v>3095</v>
      </c>
      <c r="B514" s="218" t="s">
        <v>3096</v>
      </c>
      <c r="C514" s="218" t="s">
        <v>1982</v>
      </c>
      <c r="D514" s="218" t="s">
        <v>3097</v>
      </c>
      <c r="E514" s="218" t="s">
        <v>1839</v>
      </c>
      <c r="F514" s="218" t="s">
        <v>1840</v>
      </c>
      <c r="G514" s="218" t="s">
        <v>1841</v>
      </c>
    </row>
    <row r="515" spans="1:7" x14ac:dyDescent="0.15">
      <c r="A515" s="218" t="s">
        <v>3098</v>
      </c>
      <c r="B515" s="218" t="s">
        <v>3099</v>
      </c>
      <c r="C515" s="218" t="s">
        <v>1982</v>
      </c>
      <c r="D515" s="218" t="s">
        <v>3100</v>
      </c>
      <c r="E515" s="218" t="s">
        <v>1839</v>
      </c>
      <c r="F515" s="218" t="s">
        <v>1840</v>
      </c>
      <c r="G515" s="218" t="s">
        <v>1841</v>
      </c>
    </row>
    <row r="516" spans="1:7" x14ac:dyDescent="0.15">
      <c r="A516" s="218" t="s">
        <v>3101</v>
      </c>
      <c r="B516" s="218" t="s">
        <v>3102</v>
      </c>
      <c r="C516" s="218" t="s">
        <v>1982</v>
      </c>
      <c r="D516" s="218" t="s">
        <v>3103</v>
      </c>
      <c r="E516" s="218" t="s">
        <v>1839</v>
      </c>
      <c r="F516" s="218" t="s">
        <v>1840</v>
      </c>
      <c r="G516" s="218" t="s">
        <v>1841</v>
      </c>
    </row>
    <row r="517" spans="1:7" x14ac:dyDescent="0.15">
      <c r="A517" s="218" t="s">
        <v>3104</v>
      </c>
      <c r="B517" s="218" t="s">
        <v>3105</v>
      </c>
      <c r="C517" s="218" t="s">
        <v>1982</v>
      </c>
      <c r="D517" s="218" t="s">
        <v>3106</v>
      </c>
      <c r="E517" s="218" t="s">
        <v>1839</v>
      </c>
      <c r="F517" s="218" t="s">
        <v>1840</v>
      </c>
      <c r="G517" s="218" t="s">
        <v>1841</v>
      </c>
    </row>
    <row r="518" spans="1:7" x14ac:dyDescent="0.15">
      <c r="A518" s="218" t="s">
        <v>3107</v>
      </c>
      <c r="B518" s="218" t="s">
        <v>3108</v>
      </c>
      <c r="C518" s="218" t="s">
        <v>1982</v>
      </c>
      <c r="D518" s="218" t="s">
        <v>3109</v>
      </c>
      <c r="E518" s="218" t="s">
        <v>1839</v>
      </c>
      <c r="F518" s="218" t="s">
        <v>1840</v>
      </c>
      <c r="G518" s="218" t="s">
        <v>1841</v>
      </c>
    </row>
    <row r="519" spans="1:7" x14ac:dyDescent="0.15">
      <c r="A519" s="218" t="s">
        <v>3110</v>
      </c>
      <c r="B519" s="218" t="s">
        <v>3111</v>
      </c>
      <c r="C519" s="218" t="s">
        <v>1982</v>
      </c>
      <c r="D519" s="218" t="s">
        <v>3112</v>
      </c>
      <c r="E519" s="218" t="s">
        <v>1839</v>
      </c>
      <c r="F519" s="218" t="s">
        <v>1840</v>
      </c>
      <c r="G519" s="218" t="s">
        <v>1841</v>
      </c>
    </row>
    <row r="520" spans="1:7" x14ac:dyDescent="0.15">
      <c r="A520" s="218" t="s">
        <v>3113</v>
      </c>
      <c r="B520" s="218" t="s">
        <v>3114</v>
      </c>
      <c r="C520" s="218" t="s">
        <v>1982</v>
      </c>
      <c r="D520" s="218" t="s">
        <v>3115</v>
      </c>
      <c r="E520" s="218" t="s">
        <v>1839</v>
      </c>
      <c r="F520" s="218" t="s">
        <v>1840</v>
      </c>
      <c r="G520" s="218" t="s">
        <v>1841</v>
      </c>
    </row>
    <row r="521" spans="1:7" x14ac:dyDescent="0.15">
      <c r="A521" s="218" t="s">
        <v>3116</v>
      </c>
      <c r="B521" s="218" t="s">
        <v>9187</v>
      </c>
      <c r="C521" s="218" t="s">
        <v>1982</v>
      </c>
      <c r="D521" s="218" t="s">
        <v>3117</v>
      </c>
      <c r="E521" s="218" t="s">
        <v>1839</v>
      </c>
      <c r="F521" s="218" t="s">
        <v>1840</v>
      </c>
      <c r="G521" s="218" t="s">
        <v>1841</v>
      </c>
    </row>
    <row r="522" spans="1:7" x14ac:dyDescent="0.15">
      <c r="A522" s="218" t="s">
        <v>5814</v>
      </c>
      <c r="B522" s="218" t="s">
        <v>5815</v>
      </c>
      <c r="C522" s="218" t="s">
        <v>1982</v>
      </c>
      <c r="D522" s="218" t="s">
        <v>5816</v>
      </c>
      <c r="E522" s="218" t="s">
        <v>1839</v>
      </c>
      <c r="F522" s="218" t="s">
        <v>1840</v>
      </c>
      <c r="G522" s="218" t="s">
        <v>1841</v>
      </c>
    </row>
    <row r="523" spans="1:7" x14ac:dyDescent="0.15">
      <c r="A523" s="218" t="s">
        <v>3118</v>
      </c>
      <c r="B523" s="218" t="s">
        <v>3119</v>
      </c>
      <c r="C523" s="218" t="s">
        <v>1982</v>
      </c>
      <c r="D523" s="218" t="s">
        <v>3120</v>
      </c>
      <c r="E523" s="218" t="s">
        <v>1839</v>
      </c>
      <c r="F523" s="218" t="s">
        <v>1840</v>
      </c>
      <c r="G523" s="218" t="s">
        <v>1841</v>
      </c>
    </row>
    <row r="524" spans="1:7" x14ac:dyDescent="0.15">
      <c r="A524" s="218" t="s">
        <v>3121</v>
      </c>
      <c r="B524" s="218" t="s">
        <v>3122</v>
      </c>
      <c r="C524" s="218" t="s">
        <v>1982</v>
      </c>
      <c r="D524" s="218" t="s">
        <v>3123</v>
      </c>
      <c r="E524" s="218" t="s">
        <v>1839</v>
      </c>
      <c r="F524" s="218" t="s">
        <v>1840</v>
      </c>
      <c r="G524" s="218" t="s">
        <v>1841</v>
      </c>
    </row>
    <row r="525" spans="1:7" x14ac:dyDescent="0.15">
      <c r="A525" s="218" t="s">
        <v>3124</v>
      </c>
      <c r="B525" s="218" t="s">
        <v>3125</v>
      </c>
      <c r="C525" s="218" t="s">
        <v>1982</v>
      </c>
      <c r="D525" s="218" t="s">
        <v>3126</v>
      </c>
      <c r="E525" s="218" t="s">
        <v>1935</v>
      </c>
      <c r="F525" s="218" t="s">
        <v>1840</v>
      </c>
      <c r="G525" s="218" t="s">
        <v>1841</v>
      </c>
    </row>
    <row r="526" spans="1:7" x14ac:dyDescent="0.15">
      <c r="A526" s="218" t="s">
        <v>9188</v>
      </c>
      <c r="B526" s="218" t="s">
        <v>9189</v>
      </c>
      <c r="C526" s="218" t="s">
        <v>1982</v>
      </c>
      <c r="D526" s="218" t="s">
        <v>9190</v>
      </c>
      <c r="E526" s="218" t="s">
        <v>1839</v>
      </c>
      <c r="F526" s="218" t="s">
        <v>1840</v>
      </c>
      <c r="G526" s="218" t="s">
        <v>1841</v>
      </c>
    </row>
    <row r="527" spans="1:7" x14ac:dyDescent="0.15">
      <c r="A527" s="218" t="s">
        <v>5835</v>
      </c>
      <c r="B527" s="218" t="s">
        <v>5836</v>
      </c>
      <c r="C527" s="218" t="s">
        <v>1982</v>
      </c>
      <c r="D527" s="218" t="s">
        <v>5837</v>
      </c>
      <c r="E527" s="218" t="s">
        <v>1839</v>
      </c>
      <c r="F527" s="218" t="s">
        <v>1840</v>
      </c>
      <c r="G527" s="218" t="s">
        <v>1841</v>
      </c>
    </row>
    <row r="528" spans="1:7" x14ac:dyDescent="0.15">
      <c r="A528" s="218" t="s">
        <v>10888</v>
      </c>
      <c r="B528" s="218" t="s">
        <v>10889</v>
      </c>
      <c r="C528" s="218" t="s">
        <v>1982</v>
      </c>
      <c r="D528" s="218" t="s">
        <v>10890</v>
      </c>
      <c r="E528" s="218" t="s">
        <v>1839</v>
      </c>
      <c r="F528" s="218" t="s">
        <v>1840</v>
      </c>
      <c r="G528" s="218" t="s">
        <v>1841</v>
      </c>
    </row>
    <row r="529" spans="1:7" x14ac:dyDescent="0.15">
      <c r="A529" s="218" t="s">
        <v>3127</v>
      </c>
      <c r="B529" s="218" t="s">
        <v>568</v>
      </c>
      <c r="C529" s="218" t="s">
        <v>1982</v>
      </c>
      <c r="D529" s="218" t="s">
        <v>3128</v>
      </c>
      <c r="E529" s="218" t="s">
        <v>1839</v>
      </c>
      <c r="F529" s="218" t="s">
        <v>1840</v>
      </c>
      <c r="G529" s="218" t="s">
        <v>1841</v>
      </c>
    </row>
    <row r="530" spans="1:7" x14ac:dyDescent="0.15">
      <c r="A530" s="218" t="s">
        <v>3129</v>
      </c>
      <c r="B530" s="218" t="s">
        <v>3130</v>
      </c>
      <c r="C530" s="218" t="s">
        <v>1982</v>
      </c>
      <c r="D530" s="218" t="s">
        <v>3131</v>
      </c>
      <c r="E530" s="218" t="s">
        <v>1839</v>
      </c>
      <c r="F530" s="218" t="s">
        <v>1840</v>
      </c>
      <c r="G530" s="218" t="s">
        <v>1841</v>
      </c>
    </row>
    <row r="531" spans="1:7" x14ac:dyDescent="0.15">
      <c r="A531" s="218" t="s">
        <v>3132</v>
      </c>
      <c r="B531" s="218" t="s">
        <v>3133</v>
      </c>
      <c r="C531" s="218" t="s">
        <v>1982</v>
      </c>
      <c r="D531" s="218" t="s">
        <v>3134</v>
      </c>
      <c r="E531" s="218" t="s">
        <v>1839</v>
      </c>
      <c r="F531" s="218" t="s">
        <v>1840</v>
      </c>
      <c r="G531" s="218" t="s">
        <v>1841</v>
      </c>
    </row>
    <row r="532" spans="1:7" x14ac:dyDescent="0.15">
      <c r="A532" s="218" t="s">
        <v>3135</v>
      </c>
      <c r="B532" s="218" t="s">
        <v>3136</v>
      </c>
      <c r="C532" s="218" t="s">
        <v>1982</v>
      </c>
      <c r="D532" s="218" t="s">
        <v>3137</v>
      </c>
      <c r="E532" s="218" t="s">
        <v>1839</v>
      </c>
      <c r="F532" s="218" t="s">
        <v>1840</v>
      </c>
      <c r="G532" s="218" t="s">
        <v>1841</v>
      </c>
    </row>
    <row r="533" spans="1:7" x14ac:dyDescent="0.15">
      <c r="A533" s="218" t="s">
        <v>3138</v>
      </c>
      <c r="B533" s="218" t="s">
        <v>3139</v>
      </c>
      <c r="C533" s="218" t="s">
        <v>1982</v>
      </c>
      <c r="D533" s="218" t="s">
        <v>3140</v>
      </c>
      <c r="E533" s="218" t="s">
        <v>1839</v>
      </c>
      <c r="F533" s="218" t="s">
        <v>1840</v>
      </c>
      <c r="G533" s="218" t="s">
        <v>1841</v>
      </c>
    </row>
    <row r="534" spans="1:7" x14ac:dyDescent="0.15">
      <c r="A534" s="218" t="s">
        <v>3141</v>
      </c>
      <c r="B534" s="218" t="s">
        <v>3142</v>
      </c>
      <c r="C534" s="218" t="s">
        <v>1982</v>
      </c>
      <c r="D534" s="218" t="s">
        <v>3143</v>
      </c>
      <c r="E534" s="218" t="s">
        <v>1839</v>
      </c>
      <c r="F534" s="218" t="s">
        <v>1840</v>
      </c>
      <c r="G534" s="218" t="s">
        <v>1841</v>
      </c>
    </row>
    <row r="535" spans="1:7" x14ac:dyDescent="0.15">
      <c r="A535" s="218" t="s">
        <v>3144</v>
      </c>
      <c r="B535" s="218" t="s">
        <v>3145</v>
      </c>
      <c r="C535" s="218" t="s">
        <v>1982</v>
      </c>
      <c r="D535" s="218" t="s">
        <v>3146</v>
      </c>
      <c r="E535" s="218" t="s">
        <v>1839</v>
      </c>
      <c r="F535" s="218" t="s">
        <v>1840</v>
      </c>
      <c r="G535" s="218" t="s">
        <v>1841</v>
      </c>
    </row>
    <row r="536" spans="1:7" x14ac:dyDescent="0.15">
      <c r="A536" s="218" t="s">
        <v>3147</v>
      </c>
      <c r="B536" s="218" t="s">
        <v>3148</v>
      </c>
      <c r="C536" s="218" t="s">
        <v>1982</v>
      </c>
      <c r="D536" s="218" t="s">
        <v>3149</v>
      </c>
      <c r="E536" s="218" t="s">
        <v>1839</v>
      </c>
      <c r="F536" s="218" t="s">
        <v>1840</v>
      </c>
      <c r="G536" s="218" t="s">
        <v>1841</v>
      </c>
    </row>
    <row r="537" spans="1:7" x14ac:dyDescent="0.15">
      <c r="A537" s="218" t="s">
        <v>10930</v>
      </c>
      <c r="B537" s="218" t="s">
        <v>10931</v>
      </c>
      <c r="C537" s="218" t="s">
        <v>1982</v>
      </c>
      <c r="D537" s="218" t="s">
        <v>10932</v>
      </c>
      <c r="E537" s="218" t="s">
        <v>1839</v>
      </c>
      <c r="F537" s="218" t="s">
        <v>1840</v>
      </c>
      <c r="G537" s="218" t="s">
        <v>1841</v>
      </c>
    </row>
    <row r="538" spans="1:7" x14ac:dyDescent="0.15">
      <c r="A538" s="218" t="s">
        <v>3150</v>
      </c>
      <c r="B538" s="218" t="s">
        <v>3151</v>
      </c>
      <c r="C538" s="218" t="s">
        <v>1982</v>
      </c>
      <c r="D538" s="218" t="s">
        <v>3152</v>
      </c>
      <c r="E538" s="218" t="s">
        <v>1839</v>
      </c>
      <c r="F538" s="218" t="s">
        <v>1840</v>
      </c>
      <c r="G538" s="218" t="s">
        <v>1841</v>
      </c>
    </row>
    <row r="539" spans="1:7" x14ac:dyDescent="0.15">
      <c r="A539" s="218" t="s">
        <v>3153</v>
      </c>
      <c r="B539" s="218" t="s">
        <v>3154</v>
      </c>
      <c r="C539" s="218" t="s">
        <v>1982</v>
      </c>
      <c r="D539" s="218" t="s">
        <v>3155</v>
      </c>
      <c r="E539" s="218" t="s">
        <v>1839</v>
      </c>
      <c r="F539" s="218" t="s">
        <v>1840</v>
      </c>
      <c r="G539" s="218" t="s">
        <v>1841</v>
      </c>
    </row>
    <row r="540" spans="1:7" x14ac:dyDescent="0.15">
      <c r="A540" s="218" t="s">
        <v>5923</v>
      </c>
      <c r="B540" s="218" t="s">
        <v>5924</v>
      </c>
      <c r="C540" s="218" t="s">
        <v>1982</v>
      </c>
      <c r="D540" s="218" t="s">
        <v>5925</v>
      </c>
      <c r="E540" s="218" t="s">
        <v>1839</v>
      </c>
      <c r="F540" s="218" t="s">
        <v>1840</v>
      </c>
      <c r="G540" s="218" t="s">
        <v>1841</v>
      </c>
    </row>
    <row r="541" spans="1:7" x14ac:dyDescent="0.15">
      <c r="A541" s="218" t="s">
        <v>5926</v>
      </c>
      <c r="B541" s="218" t="s">
        <v>5927</v>
      </c>
      <c r="C541" s="218" t="s">
        <v>1982</v>
      </c>
      <c r="D541" s="218" t="s">
        <v>5928</v>
      </c>
      <c r="E541" s="218" t="s">
        <v>1839</v>
      </c>
      <c r="F541" s="218" t="s">
        <v>1840</v>
      </c>
      <c r="G541" s="218" t="s">
        <v>1841</v>
      </c>
    </row>
    <row r="542" spans="1:7" x14ac:dyDescent="0.15">
      <c r="A542" s="218" t="s">
        <v>3156</v>
      </c>
      <c r="B542" s="218" t="s">
        <v>3157</v>
      </c>
      <c r="C542" s="218" t="s">
        <v>1982</v>
      </c>
      <c r="D542" s="218" t="s">
        <v>3158</v>
      </c>
      <c r="E542" s="218" t="s">
        <v>1839</v>
      </c>
      <c r="F542" s="218" t="s">
        <v>1840</v>
      </c>
      <c r="G542" s="218" t="s">
        <v>1841</v>
      </c>
    </row>
    <row r="543" spans="1:7" x14ac:dyDescent="0.15">
      <c r="A543" s="218" t="s">
        <v>3159</v>
      </c>
      <c r="B543" s="218" t="s">
        <v>3160</v>
      </c>
      <c r="C543" s="218" t="s">
        <v>1982</v>
      </c>
      <c r="D543" s="218" t="s">
        <v>3161</v>
      </c>
      <c r="E543" s="218" t="s">
        <v>1839</v>
      </c>
      <c r="F543" s="218" t="s">
        <v>1840</v>
      </c>
      <c r="G543" s="218" t="s">
        <v>1841</v>
      </c>
    </row>
    <row r="544" spans="1:7" x14ac:dyDescent="0.15">
      <c r="A544" s="218" t="s">
        <v>3162</v>
      </c>
      <c r="B544" s="218" t="s">
        <v>3163</v>
      </c>
      <c r="C544" s="218" t="s">
        <v>1982</v>
      </c>
      <c r="D544" s="218" t="s">
        <v>3164</v>
      </c>
      <c r="E544" s="218" t="s">
        <v>1839</v>
      </c>
      <c r="F544" s="218" t="s">
        <v>1840</v>
      </c>
      <c r="G544" s="218" t="s">
        <v>1841</v>
      </c>
    </row>
    <row r="545" spans="1:7" x14ac:dyDescent="0.15">
      <c r="A545" s="218" t="s">
        <v>5932</v>
      </c>
      <c r="B545" s="218" t="s">
        <v>5933</v>
      </c>
      <c r="C545" s="218" t="s">
        <v>1982</v>
      </c>
      <c r="D545" s="218" t="s">
        <v>5934</v>
      </c>
      <c r="E545" s="218" t="s">
        <v>1839</v>
      </c>
      <c r="F545" s="218" t="s">
        <v>1840</v>
      </c>
      <c r="G545" s="218" t="s">
        <v>1841</v>
      </c>
    </row>
    <row r="546" spans="1:7" x14ac:dyDescent="0.15">
      <c r="A546" s="218" t="s">
        <v>3165</v>
      </c>
      <c r="B546" s="218" t="s">
        <v>3166</v>
      </c>
      <c r="C546" s="218" t="s">
        <v>1982</v>
      </c>
      <c r="D546" s="218" t="s">
        <v>3167</v>
      </c>
      <c r="E546" s="218" t="s">
        <v>1935</v>
      </c>
      <c r="F546" s="218" t="s">
        <v>1840</v>
      </c>
      <c r="G546" s="218" t="s">
        <v>1841</v>
      </c>
    </row>
    <row r="547" spans="1:7" x14ac:dyDescent="0.15">
      <c r="A547" s="218" t="s">
        <v>3168</v>
      </c>
      <c r="B547" s="218" t="s">
        <v>3169</v>
      </c>
      <c r="C547" s="218" t="s">
        <v>1982</v>
      </c>
      <c r="D547" s="218" t="s">
        <v>3170</v>
      </c>
      <c r="E547" s="218" t="s">
        <v>1839</v>
      </c>
      <c r="F547" s="218" t="s">
        <v>1840</v>
      </c>
      <c r="G547" s="218" t="s">
        <v>1841</v>
      </c>
    </row>
    <row r="548" spans="1:7" x14ac:dyDescent="0.15">
      <c r="A548" s="218" t="s">
        <v>3171</v>
      </c>
      <c r="B548" s="218" t="s">
        <v>3172</v>
      </c>
      <c r="C548" s="218" t="s">
        <v>1982</v>
      </c>
      <c r="D548" s="218" t="s">
        <v>3173</v>
      </c>
      <c r="E548" s="218" t="s">
        <v>1839</v>
      </c>
      <c r="F548" s="218" t="s">
        <v>1840</v>
      </c>
      <c r="G548" s="218" t="s">
        <v>1841</v>
      </c>
    </row>
    <row r="549" spans="1:7" x14ac:dyDescent="0.15">
      <c r="A549" s="218" t="s">
        <v>3174</v>
      </c>
      <c r="B549" s="218" t="s">
        <v>3175</v>
      </c>
      <c r="C549" s="218" t="s">
        <v>1982</v>
      </c>
      <c r="D549" s="218" t="s">
        <v>3176</v>
      </c>
      <c r="E549" s="218" t="s">
        <v>1839</v>
      </c>
      <c r="F549" s="218" t="s">
        <v>1840</v>
      </c>
      <c r="G549" s="218" t="s">
        <v>1841</v>
      </c>
    </row>
    <row r="550" spans="1:7" x14ac:dyDescent="0.15">
      <c r="A550" s="218" t="s">
        <v>3177</v>
      </c>
      <c r="B550" s="218" t="s">
        <v>3178</v>
      </c>
      <c r="C550" s="218" t="s">
        <v>1982</v>
      </c>
      <c r="D550" s="218" t="s">
        <v>3179</v>
      </c>
      <c r="E550" s="218" t="s">
        <v>1839</v>
      </c>
      <c r="F550" s="218" t="s">
        <v>1840</v>
      </c>
      <c r="G550" s="218" t="s">
        <v>1841</v>
      </c>
    </row>
    <row r="551" spans="1:7" x14ac:dyDescent="0.15">
      <c r="A551" s="218" t="s">
        <v>3180</v>
      </c>
      <c r="B551" s="218" t="s">
        <v>3181</v>
      </c>
      <c r="C551" s="218" t="s">
        <v>1982</v>
      </c>
      <c r="D551" s="218" t="s">
        <v>3182</v>
      </c>
      <c r="E551" s="218" t="s">
        <v>1839</v>
      </c>
      <c r="F551" s="218" t="s">
        <v>1840</v>
      </c>
      <c r="G551" s="218" t="s">
        <v>1841</v>
      </c>
    </row>
    <row r="552" spans="1:7" x14ac:dyDescent="0.15">
      <c r="A552" s="218" t="s">
        <v>3183</v>
      </c>
      <c r="B552" s="218" t="s">
        <v>3184</v>
      </c>
      <c r="C552" s="218" t="s">
        <v>1982</v>
      </c>
      <c r="D552" s="218" t="s">
        <v>3185</v>
      </c>
      <c r="E552" s="218" t="s">
        <v>1839</v>
      </c>
      <c r="F552" s="218" t="s">
        <v>1840</v>
      </c>
      <c r="G552" s="218" t="s">
        <v>1841</v>
      </c>
    </row>
    <row r="553" spans="1:7" x14ac:dyDescent="0.15">
      <c r="A553" s="218" t="s">
        <v>3186</v>
      </c>
      <c r="B553" s="218" t="s">
        <v>3187</v>
      </c>
      <c r="C553" s="218" t="s">
        <v>1982</v>
      </c>
      <c r="D553" s="218" t="s">
        <v>3188</v>
      </c>
      <c r="E553" s="218" t="s">
        <v>1839</v>
      </c>
      <c r="F553" s="218" t="s">
        <v>1840</v>
      </c>
      <c r="G553" s="218" t="s">
        <v>1841</v>
      </c>
    </row>
    <row r="554" spans="1:7" x14ac:dyDescent="0.15">
      <c r="A554" s="218" t="s">
        <v>3189</v>
      </c>
      <c r="B554" s="218" t="s">
        <v>3190</v>
      </c>
      <c r="C554" s="218" t="s">
        <v>1982</v>
      </c>
      <c r="D554" s="218" t="s">
        <v>3191</v>
      </c>
      <c r="E554" s="218" t="s">
        <v>1839</v>
      </c>
      <c r="F554" s="218" t="s">
        <v>1840</v>
      </c>
      <c r="G554" s="218" t="s">
        <v>1841</v>
      </c>
    </row>
    <row r="555" spans="1:7" x14ac:dyDescent="0.15">
      <c r="A555" s="218" t="s">
        <v>3192</v>
      </c>
      <c r="B555" s="218" t="s">
        <v>3193</v>
      </c>
      <c r="C555" s="218" t="s">
        <v>1982</v>
      </c>
      <c r="D555" s="218" t="s">
        <v>3194</v>
      </c>
      <c r="E555" s="218" t="s">
        <v>1839</v>
      </c>
      <c r="F555" s="218" t="s">
        <v>1840</v>
      </c>
      <c r="G555" s="218" t="s">
        <v>1841</v>
      </c>
    </row>
    <row r="556" spans="1:7" x14ac:dyDescent="0.15">
      <c r="A556" s="218" t="s">
        <v>3195</v>
      </c>
      <c r="B556" s="218" t="s">
        <v>3196</v>
      </c>
      <c r="C556" s="218" t="s">
        <v>1982</v>
      </c>
      <c r="D556" s="218" t="s">
        <v>3197</v>
      </c>
      <c r="E556" s="218" t="s">
        <v>1839</v>
      </c>
      <c r="F556" s="218" t="s">
        <v>1840</v>
      </c>
      <c r="G556" s="218" t="s">
        <v>1841</v>
      </c>
    </row>
    <row r="557" spans="1:7" x14ac:dyDescent="0.15">
      <c r="A557" s="218" t="s">
        <v>3198</v>
      </c>
      <c r="B557" s="218" t="s">
        <v>3199</v>
      </c>
      <c r="C557" s="218" t="s">
        <v>1982</v>
      </c>
      <c r="D557" s="218" t="s">
        <v>3200</v>
      </c>
      <c r="E557" s="218" t="s">
        <v>1839</v>
      </c>
      <c r="F557" s="218" t="s">
        <v>1840</v>
      </c>
      <c r="G557" s="218" t="s">
        <v>1841</v>
      </c>
    </row>
    <row r="558" spans="1:7" x14ac:dyDescent="0.15">
      <c r="A558" s="218" t="s">
        <v>3201</v>
      </c>
      <c r="B558" s="218" t="s">
        <v>3202</v>
      </c>
      <c r="C558" s="218" t="s">
        <v>1982</v>
      </c>
      <c r="D558" s="218" t="s">
        <v>3203</v>
      </c>
      <c r="E558" s="218" t="s">
        <v>1839</v>
      </c>
      <c r="F558" s="218" t="s">
        <v>1840</v>
      </c>
      <c r="G558" s="218" t="s">
        <v>1841</v>
      </c>
    </row>
    <row r="559" spans="1:7" x14ac:dyDescent="0.15">
      <c r="A559" s="218" t="s">
        <v>9191</v>
      </c>
      <c r="B559" s="218" t="s">
        <v>9192</v>
      </c>
      <c r="C559" s="218" t="s">
        <v>1982</v>
      </c>
      <c r="D559" s="218" t="s">
        <v>9193</v>
      </c>
      <c r="E559" s="218" t="s">
        <v>1839</v>
      </c>
      <c r="F559" s="218" t="s">
        <v>1840</v>
      </c>
      <c r="G559" s="218" t="s">
        <v>1841</v>
      </c>
    </row>
    <row r="560" spans="1:7" x14ac:dyDescent="0.15">
      <c r="A560" s="218" t="s">
        <v>3204</v>
      </c>
      <c r="B560" s="218" t="s">
        <v>3205</v>
      </c>
      <c r="C560" s="218" t="s">
        <v>1982</v>
      </c>
      <c r="D560" s="218" t="s">
        <v>3206</v>
      </c>
      <c r="E560" s="218" t="s">
        <v>1839</v>
      </c>
      <c r="F560" s="218" t="s">
        <v>1840</v>
      </c>
      <c r="G560" s="218" t="s">
        <v>1841</v>
      </c>
    </row>
    <row r="561" spans="1:7" x14ac:dyDescent="0.15">
      <c r="A561" s="218" t="s">
        <v>11033</v>
      </c>
      <c r="B561" s="218" t="s">
        <v>11034</v>
      </c>
      <c r="C561" s="218" t="s">
        <v>1982</v>
      </c>
      <c r="D561" s="218" t="s">
        <v>11035</v>
      </c>
      <c r="E561" s="218" t="s">
        <v>1839</v>
      </c>
      <c r="F561" s="218" t="s">
        <v>1840</v>
      </c>
      <c r="G561" s="218" t="s">
        <v>1841</v>
      </c>
    </row>
    <row r="562" spans="1:7" x14ac:dyDescent="0.15">
      <c r="A562" s="218" t="s">
        <v>3207</v>
      </c>
      <c r="B562" s="218" t="s">
        <v>3208</v>
      </c>
      <c r="C562" s="218" t="s">
        <v>1982</v>
      </c>
      <c r="D562" s="218" t="s">
        <v>3209</v>
      </c>
      <c r="E562" s="218" t="s">
        <v>1839</v>
      </c>
      <c r="F562" s="218" t="s">
        <v>1840</v>
      </c>
      <c r="G562" s="218" t="s">
        <v>1841</v>
      </c>
    </row>
    <row r="563" spans="1:7" x14ac:dyDescent="0.15">
      <c r="A563" s="218" t="s">
        <v>6022</v>
      </c>
      <c r="B563" s="218" t="s">
        <v>6023</v>
      </c>
      <c r="C563" s="218" t="s">
        <v>1982</v>
      </c>
      <c r="D563" s="218" t="s">
        <v>6024</v>
      </c>
      <c r="E563" s="218" t="s">
        <v>1839</v>
      </c>
      <c r="F563" s="218" t="s">
        <v>1840</v>
      </c>
      <c r="G563" s="218" t="s">
        <v>1841</v>
      </c>
    </row>
    <row r="564" spans="1:7" x14ac:dyDescent="0.15">
      <c r="A564" s="218" t="s">
        <v>3210</v>
      </c>
      <c r="B564" s="218" t="s">
        <v>3211</v>
      </c>
      <c r="C564" s="218" t="s">
        <v>1982</v>
      </c>
      <c r="D564" s="218" t="s">
        <v>3212</v>
      </c>
      <c r="E564" s="218" t="s">
        <v>1839</v>
      </c>
      <c r="F564" s="218" t="s">
        <v>1840</v>
      </c>
      <c r="G564" s="218" t="s">
        <v>1841</v>
      </c>
    </row>
    <row r="565" spans="1:7" x14ac:dyDescent="0.15">
      <c r="A565" s="218" t="s">
        <v>3213</v>
      </c>
      <c r="B565" s="218" t="s">
        <v>3214</v>
      </c>
      <c r="C565" s="218" t="s">
        <v>1982</v>
      </c>
      <c r="D565" s="218" t="s">
        <v>3215</v>
      </c>
      <c r="E565" s="218" t="s">
        <v>1839</v>
      </c>
      <c r="F565" s="218" t="s">
        <v>1840</v>
      </c>
      <c r="G565" s="218" t="s">
        <v>1841</v>
      </c>
    </row>
    <row r="566" spans="1:7" x14ac:dyDescent="0.15">
      <c r="A566" s="218" t="s">
        <v>3216</v>
      </c>
      <c r="B566" s="218" t="s">
        <v>3217</v>
      </c>
      <c r="C566" s="218" t="s">
        <v>1982</v>
      </c>
      <c r="D566" s="218" t="s">
        <v>3218</v>
      </c>
      <c r="E566" s="218" t="s">
        <v>1839</v>
      </c>
      <c r="F566" s="218" t="s">
        <v>1840</v>
      </c>
      <c r="G566" s="218" t="s">
        <v>1841</v>
      </c>
    </row>
    <row r="567" spans="1:7" x14ac:dyDescent="0.15">
      <c r="A567" s="218" t="s">
        <v>3219</v>
      </c>
      <c r="B567" s="218" t="s">
        <v>3220</v>
      </c>
      <c r="C567" s="218" t="s">
        <v>1982</v>
      </c>
      <c r="D567" s="218" t="s">
        <v>3221</v>
      </c>
      <c r="E567" s="218" t="s">
        <v>1839</v>
      </c>
      <c r="F567" s="218" t="s">
        <v>1840</v>
      </c>
      <c r="G567" s="218" t="s">
        <v>1841</v>
      </c>
    </row>
    <row r="568" spans="1:7" x14ac:dyDescent="0.15">
      <c r="A568" s="218" t="s">
        <v>3222</v>
      </c>
      <c r="B568" s="218" t="s">
        <v>3223</v>
      </c>
      <c r="C568" s="218" t="s">
        <v>1982</v>
      </c>
      <c r="D568" s="218" t="s">
        <v>3224</v>
      </c>
      <c r="E568" s="218" t="s">
        <v>1839</v>
      </c>
      <c r="F568" s="218" t="s">
        <v>1840</v>
      </c>
      <c r="G568" s="218" t="s">
        <v>1841</v>
      </c>
    </row>
    <row r="569" spans="1:7" x14ac:dyDescent="0.15">
      <c r="A569" s="218" t="s">
        <v>11064</v>
      </c>
      <c r="B569" s="218" t="s">
        <v>11065</v>
      </c>
      <c r="C569" s="218" t="s">
        <v>1982</v>
      </c>
      <c r="D569" s="218" t="s">
        <v>11066</v>
      </c>
      <c r="E569" s="218" t="s">
        <v>1839</v>
      </c>
      <c r="F569" s="218" t="s">
        <v>1840</v>
      </c>
      <c r="G569" s="218" t="s">
        <v>1841</v>
      </c>
    </row>
    <row r="570" spans="1:7" x14ac:dyDescent="0.15">
      <c r="A570" s="218" t="s">
        <v>3225</v>
      </c>
      <c r="B570" s="218" t="s">
        <v>3226</v>
      </c>
      <c r="C570" s="218" t="s">
        <v>1982</v>
      </c>
      <c r="D570" s="218" t="s">
        <v>3227</v>
      </c>
      <c r="E570" s="218" t="s">
        <v>1839</v>
      </c>
      <c r="F570" s="218" t="s">
        <v>1840</v>
      </c>
      <c r="G570" s="218" t="s">
        <v>1841</v>
      </c>
    </row>
    <row r="571" spans="1:7" x14ac:dyDescent="0.15">
      <c r="A571" s="218" t="s">
        <v>3228</v>
      </c>
      <c r="B571" s="218" t="s">
        <v>3229</v>
      </c>
      <c r="C571" s="218" t="s">
        <v>1982</v>
      </c>
      <c r="D571" s="218" t="s">
        <v>3230</v>
      </c>
      <c r="E571" s="218" t="s">
        <v>1839</v>
      </c>
      <c r="F571" s="218" t="s">
        <v>1840</v>
      </c>
      <c r="G571" s="218" t="s">
        <v>1841</v>
      </c>
    </row>
    <row r="572" spans="1:7" x14ac:dyDescent="0.15">
      <c r="A572" s="218" t="s">
        <v>3231</v>
      </c>
      <c r="B572" s="218" t="s">
        <v>3232</v>
      </c>
      <c r="C572" s="218" t="s">
        <v>1982</v>
      </c>
      <c r="D572" s="218" t="s">
        <v>3233</v>
      </c>
      <c r="E572" s="218" t="s">
        <v>1839</v>
      </c>
      <c r="F572" s="218" t="s">
        <v>1840</v>
      </c>
      <c r="G572" s="218" t="s">
        <v>1841</v>
      </c>
    </row>
    <row r="573" spans="1:7" x14ac:dyDescent="0.15">
      <c r="A573" s="218" t="s">
        <v>3234</v>
      </c>
      <c r="B573" s="218" t="s">
        <v>3235</v>
      </c>
      <c r="C573" s="218" t="s">
        <v>1982</v>
      </c>
      <c r="D573" s="218" t="s">
        <v>3236</v>
      </c>
      <c r="E573" s="218" t="s">
        <v>1839</v>
      </c>
      <c r="F573" s="218" t="s">
        <v>1840</v>
      </c>
      <c r="G573" s="218" t="s">
        <v>1841</v>
      </c>
    </row>
    <row r="574" spans="1:7" x14ac:dyDescent="0.15">
      <c r="A574" s="218" t="s">
        <v>9194</v>
      </c>
      <c r="B574" s="218" t="s">
        <v>9195</v>
      </c>
      <c r="C574" s="218" t="s">
        <v>1982</v>
      </c>
      <c r="D574" s="218" t="s">
        <v>6102</v>
      </c>
      <c r="E574" s="218" t="s">
        <v>1839</v>
      </c>
      <c r="F574" s="218" t="s">
        <v>1840</v>
      </c>
      <c r="G574" s="218" t="s">
        <v>1841</v>
      </c>
    </row>
    <row r="575" spans="1:7" x14ac:dyDescent="0.15">
      <c r="A575" s="218" t="s">
        <v>9196</v>
      </c>
      <c r="B575" s="218" t="s">
        <v>9197</v>
      </c>
      <c r="C575" s="218" t="s">
        <v>1982</v>
      </c>
      <c r="D575" s="218" t="s">
        <v>9198</v>
      </c>
      <c r="E575" s="218" t="s">
        <v>1839</v>
      </c>
      <c r="F575" s="218" t="s">
        <v>1840</v>
      </c>
      <c r="G575" s="218" t="s">
        <v>1841</v>
      </c>
    </row>
    <row r="576" spans="1:7" x14ac:dyDescent="0.15">
      <c r="A576" s="218" t="s">
        <v>3237</v>
      </c>
      <c r="B576" s="218" t="s">
        <v>3238</v>
      </c>
      <c r="C576" s="218" t="s">
        <v>1982</v>
      </c>
      <c r="D576" s="218" t="s">
        <v>3239</v>
      </c>
      <c r="E576" s="218" t="s">
        <v>1839</v>
      </c>
      <c r="F576" s="218" t="s">
        <v>1840</v>
      </c>
      <c r="G576" s="218" t="s">
        <v>1841</v>
      </c>
    </row>
    <row r="577" spans="1:7" x14ac:dyDescent="0.15">
      <c r="A577" s="218" t="s">
        <v>3240</v>
      </c>
      <c r="B577" s="218" t="s">
        <v>3241</v>
      </c>
      <c r="C577" s="218" t="s">
        <v>1982</v>
      </c>
      <c r="D577" s="218" t="s">
        <v>3242</v>
      </c>
      <c r="E577" s="218" t="s">
        <v>1839</v>
      </c>
      <c r="F577" s="218" t="s">
        <v>1840</v>
      </c>
      <c r="G577" s="218" t="s">
        <v>1841</v>
      </c>
    </row>
    <row r="578" spans="1:7" x14ac:dyDescent="0.15">
      <c r="A578" s="218" t="s">
        <v>3243</v>
      </c>
      <c r="B578" s="218" t="s">
        <v>3244</v>
      </c>
      <c r="C578" s="218" t="s">
        <v>1982</v>
      </c>
      <c r="D578" s="218" t="s">
        <v>3245</v>
      </c>
      <c r="E578" s="218" t="s">
        <v>1839</v>
      </c>
      <c r="F578" s="218" t="s">
        <v>1840</v>
      </c>
      <c r="G578" s="218" t="s">
        <v>1841</v>
      </c>
    </row>
    <row r="579" spans="1:7" x14ac:dyDescent="0.15">
      <c r="A579" s="218" t="s">
        <v>3246</v>
      </c>
      <c r="B579" s="218" t="s">
        <v>3247</v>
      </c>
      <c r="C579" s="218" t="s">
        <v>1982</v>
      </c>
      <c r="D579" s="218" t="s">
        <v>3248</v>
      </c>
      <c r="E579" s="218" t="s">
        <v>1839</v>
      </c>
      <c r="F579" s="218" t="s">
        <v>1840</v>
      </c>
      <c r="G579" s="218" t="s">
        <v>1841</v>
      </c>
    </row>
    <row r="580" spans="1:7" x14ac:dyDescent="0.15">
      <c r="A580" s="218" t="s">
        <v>3249</v>
      </c>
      <c r="B580" s="218" t="s">
        <v>3250</v>
      </c>
      <c r="C580" s="218" t="s">
        <v>1982</v>
      </c>
      <c r="D580" s="218" t="s">
        <v>3251</v>
      </c>
      <c r="E580" s="218" t="s">
        <v>1839</v>
      </c>
      <c r="F580" s="218" t="s">
        <v>1840</v>
      </c>
      <c r="G580" s="218" t="s">
        <v>1841</v>
      </c>
    </row>
    <row r="581" spans="1:7" x14ac:dyDescent="0.15">
      <c r="A581" s="218" t="s">
        <v>6127</v>
      </c>
      <c r="B581" s="218" t="s">
        <v>6128</v>
      </c>
      <c r="C581" s="218" t="s">
        <v>1982</v>
      </c>
      <c r="D581" s="218" t="s">
        <v>6129</v>
      </c>
      <c r="E581" s="218" t="s">
        <v>1839</v>
      </c>
      <c r="F581" s="218" t="s">
        <v>1840</v>
      </c>
      <c r="G581" s="218" t="s">
        <v>1841</v>
      </c>
    </row>
    <row r="582" spans="1:7" x14ac:dyDescent="0.15">
      <c r="A582" s="218" t="s">
        <v>3252</v>
      </c>
      <c r="B582" s="218" t="s">
        <v>3253</v>
      </c>
      <c r="C582" s="218" t="s">
        <v>1982</v>
      </c>
      <c r="D582" s="218" t="s">
        <v>3254</v>
      </c>
      <c r="E582" s="218" t="s">
        <v>1839</v>
      </c>
      <c r="F582" s="218" t="s">
        <v>1840</v>
      </c>
      <c r="G582" s="218" t="s">
        <v>1841</v>
      </c>
    </row>
    <row r="583" spans="1:7" x14ac:dyDescent="0.15">
      <c r="A583" s="218" t="s">
        <v>3255</v>
      </c>
      <c r="B583" s="218" t="s">
        <v>3256</v>
      </c>
      <c r="C583" s="218" t="s">
        <v>1982</v>
      </c>
      <c r="D583" s="218" t="s">
        <v>3257</v>
      </c>
      <c r="E583" s="218" t="s">
        <v>1839</v>
      </c>
      <c r="F583" s="218" t="s">
        <v>1840</v>
      </c>
      <c r="G583" s="218" t="s">
        <v>1841</v>
      </c>
    </row>
    <row r="584" spans="1:7" x14ac:dyDescent="0.15">
      <c r="A584" s="218" t="s">
        <v>3258</v>
      </c>
      <c r="B584" s="218" t="s">
        <v>3259</v>
      </c>
      <c r="C584" s="218" t="s">
        <v>1982</v>
      </c>
      <c r="D584" s="218" t="s">
        <v>3260</v>
      </c>
      <c r="E584" s="218" t="s">
        <v>1839</v>
      </c>
      <c r="F584" s="218" t="s">
        <v>1840</v>
      </c>
      <c r="G584" s="218" t="s">
        <v>1841</v>
      </c>
    </row>
    <row r="585" spans="1:7" x14ac:dyDescent="0.15">
      <c r="A585" s="218" t="s">
        <v>3261</v>
      </c>
      <c r="B585" s="218" t="s">
        <v>3262</v>
      </c>
      <c r="C585" s="218" t="s">
        <v>1982</v>
      </c>
      <c r="D585" s="218" t="s">
        <v>3263</v>
      </c>
      <c r="E585" s="218" t="s">
        <v>1839</v>
      </c>
      <c r="F585" s="218" t="s">
        <v>1840</v>
      </c>
      <c r="G585" s="218" t="s">
        <v>1841</v>
      </c>
    </row>
    <row r="586" spans="1:7" x14ac:dyDescent="0.15">
      <c r="A586" s="218" t="s">
        <v>3264</v>
      </c>
      <c r="B586" s="218" t="s">
        <v>3265</v>
      </c>
      <c r="C586" s="218" t="s">
        <v>1982</v>
      </c>
      <c r="D586" s="218" t="s">
        <v>3266</v>
      </c>
      <c r="E586" s="218" t="s">
        <v>1839</v>
      </c>
      <c r="F586" s="218" t="s">
        <v>1840</v>
      </c>
      <c r="G586" s="218" t="s">
        <v>1841</v>
      </c>
    </row>
    <row r="587" spans="1:7" x14ac:dyDescent="0.15">
      <c r="A587" s="218" t="s">
        <v>6154</v>
      </c>
      <c r="B587" s="218" t="s">
        <v>6155</v>
      </c>
      <c r="C587" s="218" t="s">
        <v>1982</v>
      </c>
      <c r="D587" s="218" t="s">
        <v>6156</v>
      </c>
      <c r="E587" s="218" t="s">
        <v>1839</v>
      </c>
      <c r="F587" s="218" t="s">
        <v>1840</v>
      </c>
      <c r="G587" s="218" t="s">
        <v>1841</v>
      </c>
    </row>
    <row r="588" spans="1:7" x14ac:dyDescent="0.15">
      <c r="A588" s="218" t="s">
        <v>3267</v>
      </c>
      <c r="B588" s="218" t="s">
        <v>3268</v>
      </c>
      <c r="C588" s="218" t="s">
        <v>1982</v>
      </c>
      <c r="D588" s="218" t="s">
        <v>3269</v>
      </c>
      <c r="E588" s="218" t="s">
        <v>1839</v>
      </c>
      <c r="F588" s="218" t="s">
        <v>1840</v>
      </c>
      <c r="G588" s="218" t="s">
        <v>1841</v>
      </c>
    </row>
    <row r="589" spans="1:7" x14ac:dyDescent="0.15">
      <c r="A589" s="218" t="s">
        <v>6184</v>
      </c>
      <c r="B589" s="218" t="s">
        <v>6185</v>
      </c>
      <c r="C589" s="218" t="s">
        <v>1982</v>
      </c>
      <c r="D589" s="218" t="s">
        <v>6186</v>
      </c>
      <c r="E589" s="218" t="s">
        <v>1839</v>
      </c>
      <c r="F589" s="218" t="s">
        <v>1840</v>
      </c>
      <c r="G589" s="218" t="s">
        <v>1841</v>
      </c>
    </row>
    <row r="590" spans="1:7" x14ac:dyDescent="0.15">
      <c r="A590" s="218" t="s">
        <v>3270</v>
      </c>
      <c r="B590" s="218" t="s">
        <v>3271</v>
      </c>
      <c r="C590" s="218" t="s">
        <v>1982</v>
      </c>
      <c r="D590" s="218" t="s">
        <v>3272</v>
      </c>
      <c r="E590" s="218" t="s">
        <v>1839</v>
      </c>
      <c r="F590" s="218" t="s">
        <v>1840</v>
      </c>
      <c r="G590" s="218" t="s">
        <v>1841</v>
      </c>
    </row>
    <row r="591" spans="1:7" x14ac:dyDescent="0.15">
      <c r="A591" s="218" t="s">
        <v>3273</v>
      </c>
      <c r="B591" s="218" t="s">
        <v>3274</v>
      </c>
      <c r="C591" s="218" t="s">
        <v>1982</v>
      </c>
      <c r="D591" s="218" t="s">
        <v>3275</v>
      </c>
      <c r="E591" s="218" t="s">
        <v>1839</v>
      </c>
      <c r="F591" s="218" t="s">
        <v>1840</v>
      </c>
      <c r="G591" s="218" t="s">
        <v>1841</v>
      </c>
    </row>
    <row r="592" spans="1:7" x14ac:dyDescent="0.15">
      <c r="A592" s="218" t="s">
        <v>3276</v>
      </c>
      <c r="B592" s="218" t="s">
        <v>3277</v>
      </c>
      <c r="C592" s="218" t="s">
        <v>1982</v>
      </c>
      <c r="D592" s="218" t="s">
        <v>3277</v>
      </c>
      <c r="E592" s="218" t="s">
        <v>1839</v>
      </c>
      <c r="F592" s="218" t="s">
        <v>1840</v>
      </c>
      <c r="G592" s="218" t="s">
        <v>1841</v>
      </c>
    </row>
    <row r="593" spans="1:7" x14ac:dyDescent="0.15">
      <c r="A593" s="218" t="s">
        <v>3278</v>
      </c>
      <c r="B593" s="218" t="s">
        <v>3279</v>
      </c>
      <c r="C593" s="218" t="s">
        <v>1982</v>
      </c>
      <c r="D593" s="218" t="s">
        <v>3280</v>
      </c>
      <c r="E593" s="218" t="s">
        <v>1839</v>
      </c>
      <c r="F593" s="218" t="s">
        <v>1840</v>
      </c>
      <c r="G593" s="218" t="s">
        <v>1841</v>
      </c>
    </row>
    <row r="594" spans="1:7" x14ac:dyDescent="0.15">
      <c r="A594" s="218" t="s">
        <v>3281</v>
      </c>
      <c r="B594" s="218" t="s">
        <v>3282</v>
      </c>
      <c r="C594" s="218" t="s">
        <v>1982</v>
      </c>
      <c r="D594" s="218" t="s">
        <v>3283</v>
      </c>
      <c r="E594" s="218" t="s">
        <v>1839</v>
      </c>
      <c r="F594" s="218" t="s">
        <v>1840</v>
      </c>
      <c r="G594" s="218" t="s">
        <v>1841</v>
      </c>
    </row>
    <row r="595" spans="1:7" x14ac:dyDescent="0.15">
      <c r="A595" s="218" t="s">
        <v>6202</v>
      </c>
      <c r="B595" s="218" t="s">
        <v>6203</v>
      </c>
      <c r="C595" s="218" t="s">
        <v>1982</v>
      </c>
      <c r="D595" s="218" t="s">
        <v>6204</v>
      </c>
      <c r="E595" s="218" t="s">
        <v>1839</v>
      </c>
      <c r="F595" s="218" t="s">
        <v>1840</v>
      </c>
      <c r="G595" s="218" t="s">
        <v>1841</v>
      </c>
    </row>
    <row r="596" spans="1:7" x14ac:dyDescent="0.15">
      <c r="A596" s="218" t="s">
        <v>3284</v>
      </c>
      <c r="B596" s="218" t="s">
        <v>3285</v>
      </c>
      <c r="C596" s="218" t="s">
        <v>1982</v>
      </c>
      <c r="D596" s="218" t="s">
        <v>3286</v>
      </c>
      <c r="E596" s="218" t="s">
        <v>1839</v>
      </c>
      <c r="F596" s="218" t="s">
        <v>1840</v>
      </c>
      <c r="G596" s="218" t="s">
        <v>1841</v>
      </c>
    </row>
    <row r="597" spans="1:7" x14ac:dyDescent="0.15">
      <c r="A597" s="218" t="s">
        <v>3287</v>
      </c>
      <c r="B597" s="218" t="s">
        <v>3288</v>
      </c>
      <c r="C597" s="218" t="s">
        <v>1982</v>
      </c>
      <c r="D597" s="218" t="s">
        <v>3289</v>
      </c>
      <c r="E597" s="218" t="s">
        <v>1839</v>
      </c>
      <c r="F597" s="218" t="s">
        <v>1840</v>
      </c>
      <c r="G597" s="218" t="s">
        <v>1841</v>
      </c>
    </row>
    <row r="598" spans="1:7" x14ac:dyDescent="0.15">
      <c r="A598" s="218" t="s">
        <v>11181</v>
      </c>
      <c r="B598" s="218" t="s">
        <v>11182</v>
      </c>
      <c r="C598" s="218" t="s">
        <v>1982</v>
      </c>
      <c r="D598" s="218" t="s">
        <v>11183</v>
      </c>
      <c r="E598" s="218" t="s">
        <v>1839</v>
      </c>
      <c r="F598" s="218" t="s">
        <v>1840</v>
      </c>
      <c r="G598" s="218" t="s">
        <v>1841</v>
      </c>
    </row>
    <row r="599" spans="1:7" x14ac:dyDescent="0.15">
      <c r="A599" s="218" t="s">
        <v>9199</v>
      </c>
      <c r="B599" s="218" t="s">
        <v>9200</v>
      </c>
      <c r="C599" s="218" t="s">
        <v>1982</v>
      </c>
      <c r="D599" s="218" t="s">
        <v>9201</v>
      </c>
      <c r="E599" s="218" t="s">
        <v>1839</v>
      </c>
      <c r="F599" s="218" t="s">
        <v>1840</v>
      </c>
      <c r="G599" s="218" t="s">
        <v>1841</v>
      </c>
    </row>
    <row r="600" spans="1:7" x14ac:dyDescent="0.15">
      <c r="A600" s="218" t="s">
        <v>3290</v>
      </c>
      <c r="B600" s="218" t="s">
        <v>3291</v>
      </c>
      <c r="C600" s="218" t="s">
        <v>1982</v>
      </c>
      <c r="D600" s="218" t="s">
        <v>3292</v>
      </c>
      <c r="E600" s="218" t="s">
        <v>1839</v>
      </c>
      <c r="F600" s="218" t="s">
        <v>1840</v>
      </c>
      <c r="G600" s="218" t="s">
        <v>1841</v>
      </c>
    </row>
    <row r="601" spans="1:7" x14ac:dyDescent="0.15">
      <c r="A601" s="218" t="s">
        <v>6250</v>
      </c>
      <c r="B601" s="218" t="s">
        <v>6251</v>
      </c>
      <c r="C601" s="218" t="s">
        <v>1982</v>
      </c>
      <c r="D601" s="218" t="s">
        <v>6252</v>
      </c>
      <c r="E601" s="218" t="s">
        <v>1839</v>
      </c>
      <c r="F601" s="218" t="s">
        <v>1840</v>
      </c>
      <c r="G601" s="218" t="s">
        <v>1841</v>
      </c>
    </row>
    <row r="602" spans="1:7" x14ac:dyDescent="0.15">
      <c r="A602" s="218" t="s">
        <v>3293</v>
      </c>
      <c r="B602" s="218" t="s">
        <v>3294</v>
      </c>
      <c r="C602" s="218" t="s">
        <v>1982</v>
      </c>
      <c r="D602" s="218" t="s">
        <v>3295</v>
      </c>
      <c r="E602" s="218" t="s">
        <v>1935</v>
      </c>
      <c r="F602" s="218" t="s">
        <v>1840</v>
      </c>
      <c r="G602" s="218" t="s">
        <v>1841</v>
      </c>
    </row>
    <row r="603" spans="1:7" x14ac:dyDescent="0.15">
      <c r="A603" s="218" t="s">
        <v>6259</v>
      </c>
      <c r="B603" s="218" t="s">
        <v>6260</v>
      </c>
      <c r="C603" s="218" t="s">
        <v>1982</v>
      </c>
      <c r="D603" s="218" t="s">
        <v>6261</v>
      </c>
      <c r="E603" s="218" t="s">
        <v>1839</v>
      </c>
      <c r="F603" s="218" t="s">
        <v>1840</v>
      </c>
      <c r="G603" s="218" t="s">
        <v>1841</v>
      </c>
    </row>
    <row r="604" spans="1:7" x14ac:dyDescent="0.15">
      <c r="A604" s="218" t="s">
        <v>3296</v>
      </c>
      <c r="B604" s="218" t="s">
        <v>3297</v>
      </c>
      <c r="C604" s="218" t="s">
        <v>1982</v>
      </c>
      <c r="D604" s="218" t="s">
        <v>3298</v>
      </c>
      <c r="E604" s="218" t="s">
        <v>1839</v>
      </c>
      <c r="F604" s="218" t="s">
        <v>1840</v>
      </c>
      <c r="G604" s="218" t="s">
        <v>1841</v>
      </c>
    </row>
    <row r="605" spans="1:7" x14ac:dyDescent="0.15">
      <c r="A605" s="218" t="s">
        <v>6271</v>
      </c>
      <c r="B605" s="218" t="s">
        <v>6272</v>
      </c>
      <c r="C605" s="218" t="s">
        <v>1982</v>
      </c>
      <c r="D605" s="218" t="s">
        <v>6273</v>
      </c>
      <c r="E605" s="218" t="s">
        <v>1935</v>
      </c>
      <c r="F605" s="218" t="s">
        <v>1840</v>
      </c>
      <c r="G605" s="218" t="s">
        <v>1841</v>
      </c>
    </row>
    <row r="606" spans="1:7" x14ac:dyDescent="0.15">
      <c r="A606" s="218" t="s">
        <v>9202</v>
      </c>
      <c r="B606" s="218" t="s">
        <v>9203</v>
      </c>
      <c r="C606" s="218" t="s">
        <v>1982</v>
      </c>
      <c r="D606" s="218" t="s">
        <v>9204</v>
      </c>
      <c r="E606" s="218" t="s">
        <v>1839</v>
      </c>
      <c r="F606" s="218" t="s">
        <v>1840</v>
      </c>
      <c r="G606" s="218" t="s">
        <v>1841</v>
      </c>
    </row>
    <row r="607" spans="1:7" x14ac:dyDescent="0.15">
      <c r="A607" s="218" t="s">
        <v>3299</v>
      </c>
      <c r="B607" s="218" t="s">
        <v>3300</v>
      </c>
      <c r="C607" s="218" t="s">
        <v>1982</v>
      </c>
      <c r="D607" s="218" t="s">
        <v>3301</v>
      </c>
      <c r="E607" s="218" t="s">
        <v>1839</v>
      </c>
      <c r="F607" s="218" t="s">
        <v>1840</v>
      </c>
      <c r="G607" s="218" t="s">
        <v>1841</v>
      </c>
    </row>
    <row r="608" spans="1:7" x14ac:dyDescent="0.15">
      <c r="A608" s="218" t="s">
        <v>9205</v>
      </c>
      <c r="B608" s="218" t="s">
        <v>9206</v>
      </c>
      <c r="C608" s="218" t="s">
        <v>1982</v>
      </c>
      <c r="D608" s="218" t="s">
        <v>9207</v>
      </c>
      <c r="E608" s="218" t="s">
        <v>1839</v>
      </c>
      <c r="F608" s="218" t="s">
        <v>1840</v>
      </c>
      <c r="G608" s="218" t="s">
        <v>1841</v>
      </c>
    </row>
    <row r="609" spans="1:7" x14ac:dyDescent="0.15">
      <c r="A609" s="218" t="s">
        <v>9208</v>
      </c>
      <c r="B609" s="218" t="s">
        <v>9209</v>
      </c>
      <c r="C609" s="218" t="s">
        <v>1982</v>
      </c>
      <c r="D609" s="218" t="s">
        <v>9210</v>
      </c>
      <c r="E609" s="218" t="s">
        <v>1839</v>
      </c>
      <c r="F609" s="218" t="s">
        <v>1840</v>
      </c>
      <c r="G609" s="218" t="s">
        <v>1841</v>
      </c>
    </row>
    <row r="610" spans="1:7" x14ac:dyDescent="0.15">
      <c r="A610" s="218" t="s">
        <v>3302</v>
      </c>
      <c r="B610" s="218" t="s">
        <v>3303</v>
      </c>
      <c r="C610" s="218" t="s">
        <v>1982</v>
      </c>
      <c r="D610" s="218" t="s">
        <v>3304</v>
      </c>
      <c r="E610" s="218" t="s">
        <v>1839</v>
      </c>
      <c r="F610" s="218" t="s">
        <v>1840</v>
      </c>
      <c r="G610" s="218" t="s">
        <v>1841</v>
      </c>
    </row>
    <row r="611" spans="1:7" x14ac:dyDescent="0.15">
      <c r="A611" s="218" t="s">
        <v>3305</v>
      </c>
      <c r="B611" s="218" t="s">
        <v>3306</v>
      </c>
      <c r="C611" s="218" t="s">
        <v>1982</v>
      </c>
      <c r="D611" s="218" t="s">
        <v>3307</v>
      </c>
      <c r="E611" s="218" t="s">
        <v>1839</v>
      </c>
      <c r="F611" s="218" t="s">
        <v>1840</v>
      </c>
      <c r="G611" s="218" t="s">
        <v>1841</v>
      </c>
    </row>
    <row r="612" spans="1:7" x14ac:dyDescent="0.15">
      <c r="A612" s="218" t="s">
        <v>536</v>
      </c>
      <c r="B612" s="218" t="s">
        <v>535</v>
      </c>
      <c r="C612" s="218" t="s">
        <v>1982</v>
      </c>
      <c r="D612" s="218" t="s">
        <v>3308</v>
      </c>
      <c r="E612" s="218" t="s">
        <v>1839</v>
      </c>
      <c r="F612" s="218" t="s">
        <v>1840</v>
      </c>
      <c r="G612" s="218" t="s">
        <v>1841</v>
      </c>
    </row>
    <row r="613" spans="1:7" x14ac:dyDescent="0.15">
      <c r="A613" s="218" t="s">
        <v>3309</v>
      </c>
      <c r="B613" s="218" t="s">
        <v>3310</v>
      </c>
      <c r="C613" s="218" t="s">
        <v>1982</v>
      </c>
      <c r="D613" s="218" t="s">
        <v>3311</v>
      </c>
      <c r="E613" s="218" t="s">
        <v>1839</v>
      </c>
      <c r="F613" s="218" t="s">
        <v>1840</v>
      </c>
      <c r="G613" s="218" t="s">
        <v>1841</v>
      </c>
    </row>
    <row r="614" spans="1:7" x14ac:dyDescent="0.15">
      <c r="A614" s="218" t="s">
        <v>3312</v>
      </c>
      <c r="B614" s="218" t="s">
        <v>3313</v>
      </c>
      <c r="C614" s="218" t="s">
        <v>1982</v>
      </c>
      <c r="D614" s="218" t="s">
        <v>3314</v>
      </c>
      <c r="E614" s="218" t="s">
        <v>1839</v>
      </c>
      <c r="F614" s="218" t="s">
        <v>1840</v>
      </c>
      <c r="G614" s="218" t="s">
        <v>1841</v>
      </c>
    </row>
    <row r="615" spans="1:7" x14ac:dyDescent="0.15">
      <c r="A615" s="218" t="s">
        <v>6312</v>
      </c>
      <c r="B615" s="218" t="s">
        <v>6313</v>
      </c>
      <c r="C615" s="218" t="s">
        <v>1982</v>
      </c>
      <c r="D615" s="218" t="s">
        <v>6314</v>
      </c>
      <c r="E615" s="218" t="s">
        <v>1839</v>
      </c>
      <c r="F615" s="218" t="s">
        <v>1840</v>
      </c>
      <c r="G615" s="218" t="s">
        <v>1841</v>
      </c>
    </row>
    <row r="616" spans="1:7" x14ac:dyDescent="0.15">
      <c r="A616" s="218" t="s">
        <v>3315</v>
      </c>
      <c r="B616" s="218" t="s">
        <v>3316</v>
      </c>
      <c r="C616" s="218" t="s">
        <v>1982</v>
      </c>
      <c r="D616" s="218" t="s">
        <v>3317</v>
      </c>
      <c r="E616" s="218" t="s">
        <v>1839</v>
      </c>
      <c r="F616" s="218" t="s">
        <v>1840</v>
      </c>
      <c r="G616" s="218" t="s">
        <v>1841</v>
      </c>
    </row>
    <row r="617" spans="1:7" x14ac:dyDescent="0.15">
      <c r="A617" s="218" t="s">
        <v>11218</v>
      </c>
      <c r="B617" s="218" t="s">
        <v>11219</v>
      </c>
      <c r="C617" s="218" t="s">
        <v>1982</v>
      </c>
      <c r="D617" s="218" t="s">
        <v>11220</v>
      </c>
      <c r="E617" s="218" t="s">
        <v>1839</v>
      </c>
      <c r="F617" s="218" t="s">
        <v>1840</v>
      </c>
      <c r="G617" s="218" t="s">
        <v>1841</v>
      </c>
    </row>
    <row r="618" spans="1:7" x14ac:dyDescent="0.15">
      <c r="A618" s="218" t="s">
        <v>3318</v>
      </c>
      <c r="B618" s="218" t="s">
        <v>3319</v>
      </c>
      <c r="C618" s="218" t="s">
        <v>1982</v>
      </c>
      <c r="D618" s="218" t="s">
        <v>3320</v>
      </c>
      <c r="E618" s="218" t="s">
        <v>1839</v>
      </c>
      <c r="F618" s="218" t="s">
        <v>1840</v>
      </c>
      <c r="G618" s="218" t="s">
        <v>1841</v>
      </c>
    </row>
    <row r="619" spans="1:7" x14ac:dyDescent="0.15">
      <c r="A619" s="218" t="s">
        <v>11231</v>
      </c>
      <c r="B619" s="218" t="s">
        <v>11232</v>
      </c>
      <c r="C619" s="218" t="s">
        <v>1982</v>
      </c>
      <c r="D619" s="218" t="s">
        <v>11233</v>
      </c>
      <c r="E619" s="218" t="s">
        <v>1839</v>
      </c>
      <c r="F619" s="218" t="s">
        <v>1840</v>
      </c>
      <c r="G619" s="218" t="s">
        <v>1841</v>
      </c>
    </row>
    <row r="620" spans="1:7" x14ac:dyDescent="0.15">
      <c r="A620" s="218" t="s">
        <v>3321</v>
      </c>
      <c r="B620" s="218" t="s">
        <v>3322</v>
      </c>
      <c r="C620" s="218" t="s">
        <v>1982</v>
      </c>
      <c r="D620" s="218" t="s">
        <v>3323</v>
      </c>
      <c r="E620" s="218" t="s">
        <v>1839</v>
      </c>
      <c r="F620" s="218" t="s">
        <v>1840</v>
      </c>
      <c r="G620" s="218" t="s">
        <v>1841</v>
      </c>
    </row>
    <row r="621" spans="1:7" x14ac:dyDescent="0.15">
      <c r="A621" s="218" t="s">
        <v>3324</v>
      </c>
      <c r="B621" s="218" t="s">
        <v>3325</v>
      </c>
      <c r="C621" s="218" t="s">
        <v>1982</v>
      </c>
      <c r="D621" s="218" t="s">
        <v>3326</v>
      </c>
      <c r="E621" s="218" t="s">
        <v>1839</v>
      </c>
      <c r="F621" s="218" t="s">
        <v>1840</v>
      </c>
      <c r="G621" s="218" t="s">
        <v>1841</v>
      </c>
    </row>
    <row r="622" spans="1:7" x14ac:dyDescent="0.15">
      <c r="A622" s="218" t="s">
        <v>6360</v>
      </c>
      <c r="B622" s="218" t="s">
        <v>6361</v>
      </c>
      <c r="C622" s="218" t="s">
        <v>1982</v>
      </c>
      <c r="D622" s="218" t="s">
        <v>6362</v>
      </c>
      <c r="E622" s="218" t="s">
        <v>1839</v>
      </c>
      <c r="F622" s="218" t="s">
        <v>1840</v>
      </c>
      <c r="G622" s="218" t="s">
        <v>1841</v>
      </c>
    </row>
    <row r="623" spans="1:7" x14ac:dyDescent="0.15">
      <c r="A623" s="218" t="s">
        <v>3327</v>
      </c>
      <c r="B623" s="218" t="s">
        <v>3328</v>
      </c>
      <c r="C623" s="218" t="s">
        <v>1982</v>
      </c>
      <c r="D623" s="218" t="s">
        <v>3329</v>
      </c>
      <c r="E623" s="218" t="s">
        <v>1839</v>
      </c>
      <c r="F623" s="218" t="s">
        <v>1840</v>
      </c>
      <c r="G623" s="218" t="s">
        <v>1841</v>
      </c>
    </row>
    <row r="624" spans="1:7" x14ac:dyDescent="0.15">
      <c r="A624" s="218" t="s">
        <v>3330</v>
      </c>
      <c r="B624" s="218" t="s">
        <v>3331</v>
      </c>
      <c r="C624" s="218" t="s">
        <v>1982</v>
      </c>
      <c r="D624" s="218" t="s">
        <v>3332</v>
      </c>
      <c r="E624" s="218" t="s">
        <v>1839</v>
      </c>
      <c r="F624" s="218" t="s">
        <v>1840</v>
      </c>
      <c r="G624" s="218" t="s">
        <v>1841</v>
      </c>
    </row>
    <row r="625" spans="1:7" x14ac:dyDescent="0.15">
      <c r="A625" s="218" t="s">
        <v>3333</v>
      </c>
      <c r="B625" s="218" t="s">
        <v>3334</v>
      </c>
      <c r="C625" s="218" t="s">
        <v>1982</v>
      </c>
      <c r="D625" s="218" t="s">
        <v>3335</v>
      </c>
      <c r="E625" s="218" t="s">
        <v>1839</v>
      </c>
      <c r="F625" s="218" t="s">
        <v>1840</v>
      </c>
      <c r="G625" s="218" t="s">
        <v>1841</v>
      </c>
    </row>
    <row r="626" spans="1:7" x14ac:dyDescent="0.15">
      <c r="A626" s="218" t="s">
        <v>3336</v>
      </c>
      <c r="B626" s="218" t="s">
        <v>3337</v>
      </c>
      <c r="C626" s="218" t="s">
        <v>1982</v>
      </c>
      <c r="D626" s="218" t="s">
        <v>3338</v>
      </c>
      <c r="E626" s="218" t="s">
        <v>1839</v>
      </c>
      <c r="F626" s="218" t="s">
        <v>1840</v>
      </c>
      <c r="G626" s="218" t="s">
        <v>1841</v>
      </c>
    </row>
    <row r="627" spans="1:7" x14ac:dyDescent="0.15">
      <c r="A627" s="218" t="s">
        <v>3339</v>
      </c>
      <c r="B627" s="218" t="s">
        <v>3340</v>
      </c>
      <c r="C627" s="218" t="s">
        <v>1982</v>
      </c>
      <c r="D627" s="218" t="s">
        <v>3341</v>
      </c>
      <c r="E627" s="218" t="s">
        <v>1839</v>
      </c>
      <c r="F627" s="218" t="s">
        <v>1840</v>
      </c>
      <c r="G627" s="218" t="s">
        <v>1841</v>
      </c>
    </row>
    <row r="628" spans="1:7" x14ac:dyDescent="0.15">
      <c r="A628" s="218" t="s">
        <v>3342</v>
      </c>
      <c r="B628" s="218" t="s">
        <v>3343</v>
      </c>
      <c r="C628" s="218" t="s">
        <v>1982</v>
      </c>
      <c r="D628" s="218" t="s">
        <v>3344</v>
      </c>
      <c r="E628" s="218" t="s">
        <v>1839</v>
      </c>
      <c r="F628" s="218" t="s">
        <v>1840</v>
      </c>
      <c r="G628" s="218" t="s">
        <v>1841</v>
      </c>
    </row>
    <row r="629" spans="1:7" x14ac:dyDescent="0.15">
      <c r="A629" s="218" t="s">
        <v>3345</v>
      </c>
      <c r="B629" s="218" t="s">
        <v>3346</v>
      </c>
      <c r="C629" s="218" t="s">
        <v>1982</v>
      </c>
      <c r="D629" s="218" t="s">
        <v>3347</v>
      </c>
      <c r="E629" s="218" t="s">
        <v>1839</v>
      </c>
      <c r="F629" s="218" t="s">
        <v>1840</v>
      </c>
      <c r="G629" s="218" t="s">
        <v>1841</v>
      </c>
    </row>
    <row r="630" spans="1:7" x14ac:dyDescent="0.15">
      <c r="A630" s="218" t="s">
        <v>3348</v>
      </c>
      <c r="B630" s="218" t="s">
        <v>3349</v>
      </c>
      <c r="C630" s="218" t="s">
        <v>1982</v>
      </c>
      <c r="D630" s="218" t="s">
        <v>3350</v>
      </c>
      <c r="E630" s="218" t="s">
        <v>1839</v>
      </c>
      <c r="F630" s="218" t="s">
        <v>1840</v>
      </c>
      <c r="G630" s="218" t="s">
        <v>1841</v>
      </c>
    </row>
    <row r="631" spans="1:7" x14ac:dyDescent="0.15">
      <c r="A631" s="218" t="s">
        <v>3351</v>
      </c>
      <c r="B631" s="218" t="s">
        <v>3352</v>
      </c>
      <c r="C631" s="218" t="s">
        <v>1982</v>
      </c>
      <c r="D631" s="218" t="s">
        <v>3353</v>
      </c>
      <c r="E631" s="218" t="s">
        <v>1839</v>
      </c>
      <c r="F631" s="218" t="s">
        <v>1840</v>
      </c>
      <c r="G631" s="218" t="s">
        <v>1841</v>
      </c>
    </row>
    <row r="632" spans="1:7" x14ac:dyDescent="0.15">
      <c r="A632" s="218" t="s">
        <v>3354</v>
      </c>
      <c r="B632" s="218" t="s">
        <v>3355</v>
      </c>
      <c r="C632" s="218" t="s">
        <v>1982</v>
      </c>
      <c r="D632" s="218" t="s">
        <v>3356</v>
      </c>
      <c r="E632" s="218" t="s">
        <v>1839</v>
      </c>
      <c r="F632" s="218" t="s">
        <v>1840</v>
      </c>
      <c r="G632" s="218" t="s">
        <v>1841</v>
      </c>
    </row>
    <row r="633" spans="1:7" x14ac:dyDescent="0.15">
      <c r="A633" s="218" t="s">
        <v>3357</v>
      </c>
      <c r="B633" s="218" t="s">
        <v>3358</v>
      </c>
      <c r="C633" s="218" t="s">
        <v>1982</v>
      </c>
      <c r="D633" s="218" t="s">
        <v>3359</v>
      </c>
      <c r="E633" s="218" t="s">
        <v>1935</v>
      </c>
      <c r="F633" s="218" t="s">
        <v>1840</v>
      </c>
      <c r="G633" s="218" t="s">
        <v>1841</v>
      </c>
    </row>
    <row r="634" spans="1:7" x14ac:dyDescent="0.15">
      <c r="A634" s="218" t="s">
        <v>3360</v>
      </c>
      <c r="B634" s="218" t="s">
        <v>3361</v>
      </c>
      <c r="C634" s="218" t="s">
        <v>1982</v>
      </c>
      <c r="D634" s="218" t="s">
        <v>3362</v>
      </c>
      <c r="E634" s="218" t="s">
        <v>1839</v>
      </c>
      <c r="F634" s="218" t="s">
        <v>1840</v>
      </c>
      <c r="G634" s="218" t="s">
        <v>1841</v>
      </c>
    </row>
    <row r="635" spans="1:7" x14ac:dyDescent="0.15">
      <c r="A635" s="218" t="s">
        <v>3363</v>
      </c>
      <c r="B635" s="218" t="s">
        <v>3364</v>
      </c>
      <c r="C635" s="218" t="s">
        <v>1982</v>
      </c>
      <c r="D635" s="218" t="s">
        <v>3365</v>
      </c>
      <c r="E635" s="218" t="s">
        <v>1839</v>
      </c>
      <c r="F635" s="218" t="s">
        <v>1840</v>
      </c>
      <c r="G635" s="218" t="s">
        <v>1841</v>
      </c>
    </row>
    <row r="636" spans="1:7" x14ac:dyDescent="0.15">
      <c r="A636" s="218" t="s">
        <v>3366</v>
      </c>
      <c r="B636" s="218" t="s">
        <v>560</v>
      </c>
      <c r="C636" s="218" t="s">
        <v>1982</v>
      </c>
      <c r="D636" s="218" t="s">
        <v>3367</v>
      </c>
      <c r="E636" s="218" t="s">
        <v>1839</v>
      </c>
      <c r="F636" s="218" t="s">
        <v>1840</v>
      </c>
      <c r="G636" s="218" t="s">
        <v>1841</v>
      </c>
    </row>
    <row r="637" spans="1:7" x14ac:dyDescent="0.15">
      <c r="A637" s="218" t="s">
        <v>3368</v>
      </c>
      <c r="B637" s="218" t="s">
        <v>3369</v>
      </c>
      <c r="C637" s="218" t="s">
        <v>1982</v>
      </c>
      <c r="D637" s="218" t="s">
        <v>3370</v>
      </c>
      <c r="E637" s="218" t="s">
        <v>1839</v>
      </c>
      <c r="F637" s="218" t="s">
        <v>1840</v>
      </c>
      <c r="G637" s="218" t="s">
        <v>1841</v>
      </c>
    </row>
    <row r="638" spans="1:7" x14ac:dyDescent="0.15">
      <c r="A638" s="218" t="s">
        <v>3371</v>
      </c>
      <c r="B638" s="218" t="s">
        <v>3372</v>
      </c>
      <c r="C638" s="218" t="s">
        <v>1982</v>
      </c>
      <c r="D638" s="218" t="s">
        <v>3373</v>
      </c>
      <c r="E638" s="218" t="s">
        <v>1839</v>
      </c>
      <c r="F638" s="218" t="s">
        <v>1840</v>
      </c>
      <c r="G638" s="218" t="s">
        <v>1841</v>
      </c>
    </row>
    <row r="639" spans="1:7" x14ac:dyDescent="0.15">
      <c r="A639" s="218" t="s">
        <v>3374</v>
      </c>
      <c r="B639" s="218" t="s">
        <v>3375</v>
      </c>
      <c r="C639" s="218" t="s">
        <v>1982</v>
      </c>
      <c r="D639" s="218" t="s">
        <v>3376</v>
      </c>
      <c r="E639" s="218" t="s">
        <v>1839</v>
      </c>
      <c r="F639" s="218" t="s">
        <v>1840</v>
      </c>
      <c r="G639" s="218" t="s">
        <v>1841</v>
      </c>
    </row>
    <row r="640" spans="1:7" x14ac:dyDescent="0.15">
      <c r="A640" s="218" t="s">
        <v>3377</v>
      </c>
      <c r="B640" s="218" t="s">
        <v>3378</v>
      </c>
      <c r="C640" s="218" t="s">
        <v>1982</v>
      </c>
      <c r="D640" s="218" t="s">
        <v>3379</v>
      </c>
      <c r="E640" s="218" t="s">
        <v>1839</v>
      </c>
      <c r="F640" s="218" t="s">
        <v>1840</v>
      </c>
      <c r="G640" s="218" t="s">
        <v>1841</v>
      </c>
    </row>
    <row r="641" spans="1:7" x14ac:dyDescent="0.15">
      <c r="A641" s="218" t="s">
        <v>6482</v>
      </c>
      <c r="B641" s="218" t="s">
        <v>6483</v>
      </c>
      <c r="C641" s="218" t="s">
        <v>1982</v>
      </c>
      <c r="D641" s="218" t="s">
        <v>6484</v>
      </c>
      <c r="E641" s="218" t="s">
        <v>1839</v>
      </c>
      <c r="F641" s="218" t="s">
        <v>1840</v>
      </c>
      <c r="G641" s="218" t="s">
        <v>1841</v>
      </c>
    </row>
    <row r="642" spans="1:7" x14ac:dyDescent="0.15">
      <c r="A642" s="218" t="s">
        <v>3380</v>
      </c>
      <c r="B642" s="218" t="s">
        <v>3381</v>
      </c>
      <c r="C642" s="218" t="s">
        <v>1982</v>
      </c>
      <c r="D642" s="218" t="s">
        <v>3382</v>
      </c>
      <c r="E642" s="218" t="s">
        <v>1839</v>
      </c>
      <c r="F642" s="218" t="s">
        <v>1840</v>
      </c>
      <c r="G642" s="218" t="s">
        <v>1841</v>
      </c>
    </row>
    <row r="643" spans="1:7" x14ac:dyDescent="0.15">
      <c r="A643" s="218" t="s">
        <v>3383</v>
      </c>
      <c r="B643" s="218" t="s">
        <v>3384</v>
      </c>
      <c r="C643" s="218" t="s">
        <v>1982</v>
      </c>
      <c r="D643" s="218" t="s">
        <v>3385</v>
      </c>
      <c r="E643" s="218" t="s">
        <v>1839</v>
      </c>
      <c r="F643" s="218" t="s">
        <v>1840</v>
      </c>
      <c r="G643" s="218" t="s">
        <v>1841</v>
      </c>
    </row>
    <row r="644" spans="1:7" x14ac:dyDescent="0.15">
      <c r="A644" s="218" t="s">
        <v>6509</v>
      </c>
      <c r="B644" s="218" t="s">
        <v>6510</v>
      </c>
      <c r="C644" s="218" t="s">
        <v>1982</v>
      </c>
      <c r="D644" s="218" t="s">
        <v>6511</v>
      </c>
      <c r="E644" s="218" t="s">
        <v>1839</v>
      </c>
      <c r="F644" s="218" t="s">
        <v>1840</v>
      </c>
      <c r="G644" s="218" t="s">
        <v>1841</v>
      </c>
    </row>
    <row r="645" spans="1:7" x14ac:dyDescent="0.15">
      <c r="A645" s="218" t="s">
        <v>9211</v>
      </c>
      <c r="B645" s="218" t="s">
        <v>9212</v>
      </c>
      <c r="C645" s="218" t="s">
        <v>1982</v>
      </c>
      <c r="D645" s="218" t="s">
        <v>9213</v>
      </c>
      <c r="E645" s="218" t="s">
        <v>1839</v>
      </c>
      <c r="F645" s="218" t="s">
        <v>1840</v>
      </c>
      <c r="G645" s="218" t="s">
        <v>1841</v>
      </c>
    </row>
    <row r="646" spans="1:7" x14ac:dyDescent="0.15">
      <c r="A646" s="218" t="s">
        <v>3386</v>
      </c>
      <c r="B646" s="218" t="s">
        <v>3387</v>
      </c>
      <c r="C646" s="218" t="s">
        <v>1982</v>
      </c>
      <c r="D646" s="218" t="s">
        <v>3388</v>
      </c>
      <c r="E646" s="218" t="s">
        <v>1839</v>
      </c>
      <c r="F646" s="218" t="s">
        <v>1840</v>
      </c>
      <c r="G646" s="218" t="s">
        <v>1841</v>
      </c>
    </row>
    <row r="647" spans="1:7" x14ac:dyDescent="0.15">
      <c r="A647" s="218" t="s">
        <v>3389</v>
      </c>
      <c r="B647" s="218" t="s">
        <v>3390</v>
      </c>
      <c r="C647" s="218" t="s">
        <v>1982</v>
      </c>
      <c r="D647" s="218" t="s">
        <v>3391</v>
      </c>
      <c r="E647" s="218" t="s">
        <v>1839</v>
      </c>
      <c r="F647" s="218" t="s">
        <v>1840</v>
      </c>
      <c r="G647" s="218" t="s">
        <v>1841</v>
      </c>
    </row>
    <row r="648" spans="1:7" x14ac:dyDescent="0.15">
      <c r="A648" s="218" t="s">
        <v>3392</v>
      </c>
      <c r="B648" s="218" t="s">
        <v>3393</v>
      </c>
      <c r="C648" s="218" t="s">
        <v>1982</v>
      </c>
      <c r="D648" s="218" t="s">
        <v>3394</v>
      </c>
      <c r="E648" s="218" t="s">
        <v>1839</v>
      </c>
      <c r="F648" s="218" t="s">
        <v>1840</v>
      </c>
      <c r="G648" s="218" t="s">
        <v>1841</v>
      </c>
    </row>
    <row r="649" spans="1:7" x14ac:dyDescent="0.15">
      <c r="A649" s="218" t="s">
        <v>3395</v>
      </c>
      <c r="B649" s="218" t="s">
        <v>3396</v>
      </c>
      <c r="C649" s="218" t="s">
        <v>1982</v>
      </c>
      <c r="D649" s="218" t="s">
        <v>3397</v>
      </c>
      <c r="E649" s="218" t="s">
        <v>1839</v>
      </c>
      <c r="F649" s="218" t="s">
        <v>1840</v>
      </c>
      <c r="G649" s="218" t="s">
        <v>1841</v>
      </c>
    </row>
    <row r="650" spans="1:7" x14ac:dyDescent="0.15">
      <c r="A650" s="218" t="s">
        <v>3398</v>
      </c>
      <c r="B650" s="218" t="s">
        <v>3399</v>
      </c>
      <c r="C650" s="218" t="s">
        <v>1982</v>
      </c>
      <c r="D650" s="218" t="s">
        <v>3400</v>
      </c>
      <c r="E650" s="218" t="s">
        <v>1839</v>
      </c>
      <c r="F650" s="218" t="s">
        <v>1840</v>
      </c>
      <c r="G650" s="218" t="s">
        <v>1841</v>
      </c>
    </row>
    <row r="651" spans="1:7" x14ac:dyDescent="0.15">
      <c r="A651" s="218" t="s">
        <v>3401</v>
      </c>
      <c r="B651" s="218" t="s">
        <v>3402</v>
      </c>
      <c r="C651" s="218" t="s">
        <v>1982</v>
      </c>
      <c r="D651" s="218" t="s">
        <v>3403</v>
      </c>
      <c r="E651" s="218" t="s">
        <v>1839</v>
      </c>
      <c r="F651" s="218" t="s">
        <v>1840</v>
      </c>
      <c r="G651" s="218" t="s">
        <v>1841</v>
      </c>
    </row>
    <row r="652" spans="1:7" x14ac:dyDescent="0.15">
      <c r="A652" s="218" t="s">
        <v>3404</v>
      </c>
      <c r="B652" s="218" t="s">
        <v>3405</v>
      </c>
      <c r="C652" s="218" t="s">
        <v>1982</v>
      </c>
      <c r="D652" s="218" t="s">
        <v>3406</v>
      </c>
      <c r="E652" s="218" t="s">
        <v>1839</v>
      </c>
      <c r="F652" s="218" t="s">
        <v>1840</v>
      </c>
      <c r="G652" s="218" t="s">
        <v>1841</v>
      </c>
    </row>
    <row r="653" spans="1:7" x14ac:dyDescent="0.15">
      <c r="A653" s="218" t="s">
        <v>3407</v>
      </c>
      <c r="B653" s="218" t="s">
        <v>3408</v>
      </c>
      <c r="C653" s="218" t="s">
        <v>1982</v>
      </c>
      <c r="D653" s="218" t="s">
        <v>3409</v>
      </c>
      <c r="E653" s="218" t="s">
        <v>1839</v>
      </c>
      <c r="F653" s="218" t="s">
        <v>1840</v>
      </c>
      <c r="G653" s="218" t="s">
        <v>1841</v>
      </c>
    </row>
    <row r="654" spans="1:7" x14ac:dyDescent="0.15">
      <c r="A654" s="218" t="s">
        <v>6533</v>
      </c>
      <c r="B654" s="218" t="s">
        <v>6534</v>
      </c>
      <c r="C654" s="218" t="s">
        <v>1982</v>
      </c>
      <c r="D654" s="218" t="s">
        <v>6535</v>
      </c>
      <c r="E654" s="218" t="s">
        <v>1839</v>
      </c>
      <c r="F654" s="218" t="s">
        <v>1840</v>
      </c>
      <c r="G654" s="218" t="s">
        <v>1841</v>
      </c>
    </row>
    <row r="655" spans="1:7" x14ac:dyDescent="0.15">
      <c r="A655" s="218" t="s">
        <v>9214</v>
      </c>
      <c r="B655" s="218" t="s">
        <v>9215</v>
      </c>
      <c r="C655" s="218" t="s">
        <v>1982</v>
      </c>
      <c r="D655" s="218" t="s">
        <v>9216</v>
      </c>
      <c r="E655" s="218" t="s">
        <v>1839</v>
      </c>
      <c r="F655" s="218" t="s">
        <v>1840</v>
      </c>
      <c r="G655" s="218" t="s">
        <v>1841</v>
      </c>
    </row>
    <row r="656" spans="1:7" x14ac:dyDescent="0.15">
      <c r="A656" s="218" t="s">
        <v>3410</v>
      </c>
      <c r="B656" s="218" t="s">
        <v>3411</v>
      </c>
      <c r="C656" s="218" t="s">
        <v>1982</v>
      </c>
      <c r="D656" s="218" t="s">
        <v>3412</v>
      </c>
      <c r="E656" s="218" t="s">
        <v>1839</v>
      </c>
      <c r="F656" s="218" t="s">
        <v>1840</v>
      </c>
      <c r="G656" s="218" t="s">
        <v>1841</v>
      </c>
    </row>
    <row r="657" spans="1:7" x14ac:dyDescent="0.15">
      <c r="A657" s="218" t="s">
        <v>3413</v>
      </c>
      <c r="B657" s="218" t="s">
        <v>3414</v>
      </c>
      <c r="C657" s="218" t="s">
        <v>1982</v>
      </c>
      <c r="D657" s="218" t="s">
        <v>3415</v>
      </c>
      <c r="E657" s="218" t="s">
        <v>1839</v>
      </c>
      <c r="F657" s="218" t="s">
        <v>1840</v>
      </c>
      <c r="G657" s="218" t="s">
        <v>1841</v>
      </c>
    </row>
    <row r="658" spans="1:7" x14ac:dyDescent="0.15">
      <c r="A658" s="218" t="s">
        <v>562</v>
      </c>
      <c r="B658" s="218" t="s">
        <v>561</v>
      </c>
      <c r="C658" s="218" t="s">
        <v>1982</v>
      </c>
      <c r="D658" s="218" t="s">
        <v>3416</v>
      </c>
      <c r="E658" s="218" t="s">
        <v>1839</v>
      </c>
      <c r="F658" s="218" t="s">
        <v>1840</v>
      </c>
      <c r="G658" s="218" t="s">
        <v>1841</v>
      </c>
    </row>
    <row r="659" spans="1:7" x14ac:dyDescent="0.15">
      <c r="A659" s="218" t="s">
        <v>3417</v>
      </c>
      <c r="B659" s="218" t="s">
        <v>3418</v>
      </c>
      <c r="C659" s="218" t="s">
        <v>1982</v>
      </c>
      <c r="D659" s="218" t="s">
        <v>3419</v>
      </c>
      <c r="E659" s="218" t="s">
        <v>1839</v>
      </c>
      <c r="F659" s="218" t="s">
        <v>1840</v>
      </c>
      <c r="G659" s="218" t="s">
        <v>1841</v>
      </c>
    </row>
    <row r="660" spans="1:7" x14ac:dyDescent="0.15">
      <c r="A660" s="218" t="s">
        <v>3420</v>
      </c>
      <c r="B660" s="218" t="s">
        <v>3421</v>
      </c>
      <c r="C660" s="218" t="s">
        <v>1982</v>
      </c>
      <c r="D660" s="218" t="s">
        <v>3422</v>
      </c>
      <c r="E660" s="218" t="s">
        <v>1839</v>
      </c>
      <c r="F660" s="218" t="s">
        <v>1840</v>
      </c>
      <c r="G660" s="218" t="s">
        <v>1841</v>
      </c>
    </row>
    <row r="661" spans="1:7" x14ac:dyDescent="0.15">
      <c r="A661" s="218" t="s">
        <v>3423</v>
      </c>
      <c r="B661" s="218" t="s">
        <v>3424</v>
      </c>
      <c r="C661" s="218" t="s">
        <v>1982</v>
      </c>
      <c r="D661" s="218" t="s">
        <v>3425</v>
      </c>
      <c r="E661" s="218" t="s">
        <v>1839</v>
      </c>
      <c r="F661" s="218" t="s">
        <v>1840</v>
      </c>
      <c r="G661" s="218" t="s">
        <v>1841</v>
      </c>
    </row>
    <row r="662" spans="1:7" x14ac:dyDescent="0.15">
      <c r="A662" s="218" t="s">
        <v>6588</v>
      </c>
      <c r="B662" s="218" t="s">
        <v>6589</v>
      </c>
      <c r="C662" s="218" t="s">
        <v>1982</v>
      </c>
      <c r="D662" s="218" t="s">
        <v>6590</v>
      </c>
      <c r="E662" s="218" t="s">
        <v>1839</v>
      </c>
      <c r="F662" s="218" t="s">
        <v>1840</v>
      </c>
      <c r="G662" s="218" t="s">
        <v>1841</v>
      </c>
    </row>
    <row r="663" spans="1:7" x14ac:dyDescent="0.15">
      <c r="A663" s="218" t="s">
        <v>6600</v>
      </c>
      <c r="B663" s="218" t="s">
        <v>6601</v>
      </c>
      <c r="C663" s="218" t="s">
        <v>1982</v>
      </c>
      <c r="D663" s="218" t="s">
        <v>6602</v>
      </c>
      <c r="E663" s="218" t="s">
        <v>1839</v>
      </c>
      <c r="F663" s="218" t="s">
        <v>1840</v>
      </c>
      <c r="G663" s="218" t="s">
        <v>1841</v>
      </c>
    </row>
    <row r="664" spans="1:7" x14ac:dyDescent="0.15">
      <c r="A664" s="218" t="s">
        <v>3426</v>
      </c>
      <c r="B664" s="218" t="s">
        <v>3427</v>
      </c>
      <c r="C664" s="218" t="s">
        <v>1982</v>
      </c>
      <c r="D664" s="218" t="s">
        <v>3428</v>
      </c>
      <c r="E664" s="218" t="s">
        <v>1839</v>
      </c>
      <c r="F664" s="218" t="s">
        <v>1840</v>
      </c>
      <c r="G664" s="218" t="s">
        <v>1841</v>
      </c>
    </row>
    <row r="665" spans="1:7" x14ac:dyDescent="0.15">
      <c r="A665" s="218" t="s">
        <v>3429</v>
      </c>
      <c r="B665" s="218" t="s">
        <v>3430</v>
      </c>
      <c r="C665" s="218" t="s">
        <v>1982</v>
      </c>
      <c r="D665" s="218" t="s">
        <v>3431</v>
      </c>
      <c r="E665" s="218" t="s">
        <v>1839</v>
      </c>
      <c r="F665" s="218" t="s">
        <v>1840</v>
      </c>
      <c r="G665" s="218" t="s">
        <v>1841</v>
      </c>
    </row>
    <row r="666" spans="1:7" x14ac:dyDescent="0.15">
      <c r="A666" s="218" t="s">
        <v>3432</v>
      </c>
      <c r="B666" s="218" t="s">
        <v>3433</v>
      </c>
      <c r="C666" s="218" t="s">
        <v>1982</v>
      </c>
      <c r="D666" s="218" t="s">
        <v>3434</v>
      </c>
      <c r="E666" s="218" t="s">
        <v>1839</v>
      </c>
      <c r="F666" s="218" t="s">
        <v>1840</v>
      </c>
      <c r="G666" s="218" t="s">
        <v>1841</v>
      </c>
    </row>
    <row r="667" spans="1:7" x14ac:dyDescent="0.15">
      <c r="A667" s="218" t="s">
        <v>3435</v>
      </c>
      <c r="B667" s="218" t="s">
        <v>3436</v>
      </c>
      <c r="C667" s="218" t="s">
        <v>1982</v>
      </c>
      <c r="D667" s="218" t="s">
        <v>3437</v>
      </c>
      <c r="E667" s="218" t="s">
        <v>1839</v>
      </c>
      <c r="F667" s="218" t="s">
        <v>1840</v>
      </c>
      <c r="G667" s="218" t="s">
        <v>1841</v>
      </c>
    </row>
    <row r="668" spans="1:7" x14ac:dyDescent="0.15">
      <c r="A668" s="218" t="s">
        <v>3438</v>
      </c>
      <c r="B668" s="218" t="s">
        <v>3439</v>
      </c>
      <c r="C668" s="218" t="s">
        <v>1982</v>
      </c>
      <c r="D668" s="218" t="s">
        <v>3440</v>
      </c>
      <c r="E668" s="218" t="s">
        <v>1839</v>
      </c>
      <c r="F668" s="218" t="s">
        <v>1840</v>
      </c>
      <c r="G668" s="218" t="s">
        <v>1841</v>
      </c>
    </row>
    <row r="669" spans="1:7" x14ac:dyDescent="0.15">
      <c r="A669" s="218" t="s">
        <v>593</v>
      </c>
      <c r="B669" s="218" t="s">
        <v>592</v>
      </c>
      <c r="C669" s="218" t="s">
        <v>1982</v>
      </c>
      <c r="D669" s="218" t="s">
        <v>3441</v>
      </c>
      <c r="E669" s="218" t="s">
        <v>1839</v>
      </c>
      <c r="F669" s="218" t="s">
        <v>1840</v>
      </c>
      <c r="G669" s="218" t="s">
        <v>1841</v>
      </c>
    </row>
    <row r="670" spans="1:7" x14ac:dyDescent="0.15">
      <c r="A670" s="218" t="s">
        <v>3442</v>
      </c>
      <c r="B670" s="218" t="s">
        <v>3443</v>
      </c>
      <c r="C670" s="218" t="s">
        <v>1982</v>
      </c>
      <c r="D670" s="218" t="s">
        <v>3444</v>
      </c>
      <c r="E670" s="218" t="s">
        <v>1839</v>
      </c>
      <c r="F670" s="218" t="s">
        <v>1840</v>
      </c>
      <c r="G670" s="218" t="s">
        <v>1841</v>
      </c>
    </row>
    <row r="671" spans="1:7" x14ac:dyDescent="0.15">
      <c r="A671" s="218" t="s">
        <v>6633</v>
      </c>
      <c r="B671" s="218" t="s">
        <v>6634</v>
      </c>
      <c r="C671" s="218" t="s">
        <v>1982</v>
      </c>
      <c r="D671" s="218" t="s">
        <v>6635</v>
      </c>
      <c r="E671" s="218" t="s">
        <v>1839</v>
      </c>
      <c r="F671" s="218" t="s">
        <v>1840</v>
      </c>
      <c r="G671" s="218" t="s">
        <v>1841</v>
      </c>
    </row>
    <row r="672" spans="1:7" x14ac:dyDescent="0.15">
      <c r="A672" s="218" t="s">
        <v>3445</v>
      </c>
      <c r="B672" s="218" t="s">
        <v>3446</v>
      </c>
      <c r="C672" s="218" t="s">
        <v>1982</v>
      </c>
      <c r="D672" s="218" t="s">
        <v>3447</v>
      </c>
      <c r="E672" s="218" t="s">
        <v>1839</v>
      </c>
      <c r="F672" s="218" t="s">
        <v>1840</v>
      </c>
      <c r="G672" s="218" t="s">
        <v>1841</v>
      </c>
    </row>
    <row r="673" spans="1:7" x14ac:dyDescent="0.15">
      <c r="A673" s="218" t="s">
        <v>3448</v>
      </c>
      <c r="B673" s="218" t="s">
        <v>3449</v>
      </c>
      <c r="C673" s="218" t="s">
        <v>1982</v>
      </c>
      <c r="D673" s="218" t="s">
        <v>3450</v>
      </c>
      <c r="E673" s="218" t="s">
        <v>1839</v>
      </c>
      <c r="F673" s="218" t="s">
        <v>1840</v>
      </c>
      <c r="G673" s="218" t="s">
        <v>1841</v>
      </c>
    </row>
    <row r="674" spans="1:7" x14ac:dyDescent="0.15">
      <c r="A674" s="218" t="s">
        <v>3451</v>
      </c>
      <c r="B674" s="218" t="s">
        <v>3452</v>
      </c>
      <c r="C674" s="218" t="s">
        <v>1982</v>
      </c>
      <c r="D674" s="218" t="s">
        <v>3453</v>
      </c>
      <c r="E674" s="218" t="s">
        <v>1839</v>
      </c>
      <c r="F674" s="218" t="s">
        <v>1840</v>
      </c>
      <c r="G674" s="218" t="s">
        <v>1841</v>
      </c>
    </row>
    <row r="675" spans="1:7" x14ac:dyDescent="0.15">
      <c r="A675" s="218" t="s">
        <v>9217</v>
      </c>
      <c r="B675" s="218" t="s">
        <v>9218</v>
      </c>
      <c r="C675" s="218" t="s">
        <v>1982</v>
      </c>
      <c r="D675" s="218" t="s">
        <v>9219</v>
      </c>
      <c r="E675" s="218" t="s">
        <v>1839</v>
      </c>
      <c r="F675" s="218" t="s">
        <v>1840</v>
      </c>
      <c r="G675" s="218" t="s">
        <v>1841</v>
      </c>
    </row>
    <row r="676" spans="1:7" x14ac:dyDescent="0.15">
      <c r="A676" s="218" t="s">
        <v>3454</v>
      </c>
      <c r="B676" s="218" t="s">
        <v>3455</v>
      </c>
      <c r="C676" s="218" t="s">
        <v>1982</v>
      </c>
      <c r="D676" s="218" t="s">
        <v>3456</v>
      </c>
      <c r="E676" s="218" t="s">
        <v>1839</v>
      </c>
      <c r="F676" s="218" t="s">
        <v>1840</v>
      </c>
      <c r="G676" s="218" t="s">
        <v>1841</v>
      </c>
    </row>
    <row r="677" spans="1:7" x14ac:dyDescent="0.15">
      <c r="A677" s="218" t="s">
        <v>3457</v>
      </c>
      <c r="B677" s="218" t="s">
        <v>3458</v>
      </c>
      <c r="C677" s="218" t="s">
        <v>1982</v>
      </c>
      <c r="D677" s="218" t="s">
        <v>3459</v>
      </c>
      <c r="E677" s="218" t="s">
        <v>1839</v>
      </c>
      <c r="F677" s="218" t="s">
        <v>1840</v>
      </c>
      <c r="G677" s="218" t="s">
        <v>1841</v>
      </c>
    </row>
    <row r="678" spans="1:7" x14ac:dyDescent="0.15">
      <c r="A678" s="218" t="s">
        <v>9220</v>
      </c>
      <c r="B678" s="218" t="s">
        <v>9221</v>
      </c>
      <c r="C678" s="218" t="s">
        <v>1982</v>
      </c>
      <c r="D678" s="218" t="s">
        <v>3460</v>
      </c>
      <c r="E678" s="218" t="s">
        <v>1839</v>
      </c>
      <c r="F678" s="218" t="s">
        <v>1840</v>
      </c>
      <c r="G678" s="218" t="s">
        <v>1841</v>
      </c>
    </row>
    <row r="679" spans="1:7" x14ac:dyDescent="0.15">
      <c r="A679" s="218" t="s">
        <v>3461</v>
      </c>
      <c r="B679" s="218" t="s">
        <v>3462</v>
      </c>
      <c r="C679" s="218" t="s">
        <v>1982</v>
      </c>
      <c r="D679" s="218" t="s">
        <v>3463</v>
      </c>
      <c r="E679" s="218" t="s">
        <v>1839</v>
      </c>
      <c r="F679" s="218" t="s">
        <v>1840</v>
      </c>
      <c r="G679" s="218" t="s">
        <v>1841</v>
      </c>
    </row>
    <row r="680" spans="1:7" x14ac:dyDescent="0.15">
      <c r="A680" s="218" t="s">
        <v>3464</v>
      </c>
      <c r="B680" s="218" t="s">
        <v>3465</v>
      </c>
      <c r="C680" s="218" t="s">
        <v>1982</v>
      </c>
      <c r="D680" s="218" t="s">
        <v>3466</v>
      </c>
      <c r="E680" s="218" t="s">
        <v>1839</v>
      </c>
      <c r="F680" s="218" t="s">
        <v>1840</v>
      </c>
      <c r="G680" s="218" t="s">
        <v>1841</v>
      </c>
    </row>
    <row r="681" spans="1:7" x14ac:dyDescent="0.15">
      <c r="A681" s="218" t="s">
        <v>3467</v>
      </c>
      <c r="B681" s="218" t="s">
        <v>3468</v>
      </c>
      <c r="C681" s="218" t="s">
        <v>1982</v>
      </c>
      <c r="D681" s="218" t="s">
        <v>3469</v>
      </c>
      <c r="E681" s="218" t="s">
        <v>1839</v>
      </c>
      <c r="F681" s="218" t="s">
        <v>1840</v>
      </c>
      <c r="G681" s="218" t="s">
        <v>1841</v>
      </c>
    </row>
    <row r="682" spans="1:7" x14ac:dyDescent="0.15">
      <c r="A682" s="218" t="s">
        <v>11440</v>
      </c>
      <c r="B682" s="218" t="s">
        <v>11441</v>
      </c>
      <c r="C682" s="218" t="s">
        <v>1982</v>
      </c>
      <c r="D682" s="218" t="s">
        <v>6670</v>
      </c>
      <c r="E682" s="218" t="s">
        <v>1839</v>
      </c>
      <c r="F682" s="218" t="s">
        <v>1840</v>
      </c>
      <c r="G682" s="218" t="s">
        <v>1841</v>
      </c>
    </row>
    <row r="683" spans="1:7" x14ac:dyDescent="0.15">
      <c r="A683" s="218" t="s">
        <v>3470</v>
      </c>
      <c r="B683" s="218" t="s">
        <v>3471</v>
      </c>
      <c r="C683" s="218" t="s">
        <v>1982</v>
      </c>
      <c r="D683" s="218" t="s">
        <v>3472</v>
      </c>
      <c r="E683" s="218" t="s">
        <v>1839</v>
      </c>
      <c r="F683" s="218" t="s">
        <v>1840</v>
      </c>
      <c r="G683" s="218" t="s">
        <v>1841</v>
      </c>
    </row>
    <row r="684" spans="1:7" x14ac:dyDescent="0.15">
      <c r="A684" s="218" t="s">
        <v>3473</v>
      </c>
      <c r="B684" s="218" t="s">
        <v>3474</v>
      </c>
      <c r="C684" s="218" t="s">
        <v>1982</v>
      </c>
      <c r="D684" s="218" t="s">
        <v>3475</v>
      </c>
      <c r="E684" s="218" t="s">
        <v>1839</v>
      </c>
      <c r="F684" s="218" t="s">
        <v>1840</v>
      </c>
      <c r="G684" s="218" t="s">
        <v>1841</v>
      </c>
    </row>
    <row r="685" spans="1:7" x14ac:dyDescent="0.15">
      <c r="A685" s="218" t="s">
        <v>3476</v>
      </c>
      <c r="B685" s="218" t="s">
        <v>3477</v>
      </c>
      <c r="C685" s="218" t="s">
        <v>1982</v>
      </c>
      <c r="D685" s="218" t="s">
        <v>3478</v>
      </c>
      <c r="E685" s="218" t="s">
        <v>1839</v>
      </c>
      <c r="F685" s="218" t="s">
        <v>1840</v>
      </c>
      <c r="G685" s="218" t="s">
        <v>1841</v>
      </c>
    </row>
    <row r="686" spans="1:7" x14ac:dyDescent="0.15">
      <c r="A686" s="218" t="s">
        <v>3479</v>
      </c>
      <c r="B686" s="218" t="s">
        <v>3480</v>
      </c>
      <c r="C686" s="218" t="s">
        <v>1982</v>
      </c>
      <c r="D686" s="218" t="s">
        <v>3481</v>
      </c>
      <c r="E686" s="218" t="s">
        <v>1839</v>
      </c>
      <c r="F686" s="218" t="s">
        <v>1840</v>
      </c>
      <c r="G686" s="218" t="s">
        <v>1841</v>
      </c>
    </row>
    <row r="687" spans="1:7" x14ac:dyDescent="0.15">
      <c r="A687" s="218" t="s">
        <v>3482</v>
      </c>
      <c r="B687" s="218" t="s">
        <v>3483</v>
      </c>
      <c r="C687" s="218" t="s">
        <v>1982</v>
      </c>
      <c r="D687" s="218" t="s">
        <v>3484</v>
      </c>
      <c r="E687" s="218" t="s">
        <v>1839</v>
      </c>
      <c r="F687" s="218" t="s">
        <v>1840</v>
      </c>
      <c r="G687" s="218" t="s">
        <v>1841</v>
      </c>
    </row>
    <row r="688" spans="1:7" x14ac:dyDescent="0.15">
      <c r="A688" s="218" t="s">
        <v>9222</v>
      </c>
      <c r="B688" s="218" t="s">
        <v>9223</v>
      </c>
      <c r="C688" s="218" t="s">
        <v>1982</v>
      </c>
      <c r="D688" s="218" t="s">
        <v>9224</v>
      </c>
      <c r="E688" s="218" t="s">
        <v>1839</v>
      </c>
      <c r="F688" s="218" t="s">
        <v>1840</v>
      </c>
      <c r="G688" s="218" t="s">
        <v>1841</v>
      </c>
    </row>
    <row r="689" spans="1:7" x14ac:dyDescent="0.15">
      <c r="A689" s="218" t="s">
        <v>596</v>
      </c>
      <c r="B689" s="218" t="s">
        <v>595</v>
      </c>
      <c r="C689" s="218" t="s">
        <v>1982</v>
      </c>
      <c r="D689" s="218" t="s">
        <v>3485</v>
      </c>
      <c r="E689" s="218" t="s">
        <v>1839</v>
      </c>
      <c r="F689" s="218" t="s">
        <v>1840</v>
      </c>
      <c r="G689" s="218" t="s">
        <v>1841</v>
      </c>
    </row>
    <row r="690" spans="1:7" x14ac:dyDescent="0.15">
      <c r="A690" s="218" t="s">
        <v>6722</v>
      </c>
      <c r="B690" s="218" t="s">
        <v>6723</v>
      </c>
      <c r="C690" s="218" t="s">
        <v>1982</v>
      </c>
      <c r="D690" s="218" t="s">
        <v>6724</v>
      </c>
      <c r="E690" s="218" t="s">
        <v>1839</v>
      </c>
      <c r="F690" s="218" t="s">
        <v>1840</v>
      </c>
      <c r="G690" s="218" t="s">
        <v>1841</v>
      </c>
    </row>
    <row r="691" spans="1:7" x14ac:dyDescent="0.15">
      <c r="A691" s="218" t="s">
        <v>3486</v>
      </c>
      <c r="B691" s="218" t="s">
        <v>3487</v>
      </c>
      <c r="C691" s="218" t="s">
        <v>1982</v>
      </c>
      <c r="D691" s="218" t="s">
        <v>3488</v>
      </c>
      <c r="E691" s="218" t="s">
        <v>1839</v>
      </c>
      <c r="F691" s="218" t="s">
        <v>1840</v>
      </c>
      <c r="G691" s="218" t="s">
        <v>1841</v>
      </c>
    </row>
    <row r="692" spans="1:7" x14ac:dyDescent="0.15">
      <c r="A692" s="218" t="s">
        <v>3489</v>
      </c>
      <c r="B692" s="218" t="s">
        <v>3490</v>
      </c>
      <c r="C692" s="218" t="s">
        <v>1982</v>
      </c>
      <c r="D692" s="218" t="s">
        <v>3491</v>
      </c>
      <c r="E692" s="218" t="s">
        <v>1839</v>
      </c>
      <c r="F692" s="218" t="s">
        <v>1840</v>
      </c>
      <c r="G692" s="218" t="s">
        <v>1841</v>
      </c>
    </row>
    <row r="693" spans="1:7" x14ac:dyDescent="0.15">
      <c r="A693" s="218" t="s">
        <v>6737</v>
      </c>
      <c r="B693" s="218" t="s">
        <v>6738</v>
      </c>
      <c r="C693" s="218" t="s">
        <v>1982</v>
      </c>
      <c r="D693" s="218" t="s">
        <v>6739</v>
      </c>
      <c r="E693" s="218" t="s">
        <v>1839</v>
      </c>
      <c r="F693" s="218" t="s">
        <v>1840</v>
      </c>
      <c r="G693" s="218" t="s">
        <v>1841</v>
      </c>
    </row>
    <row r="694" spans="1:7" x14ac:dyDescent="0.15">
      <c r="A694" s="218" t="s">
        <v>3492</v>
      </c>
      <c r="B694" s="218" t="s">
        <v>3493</v>
      </c>
      <c r="C694" s="218" t="s">
        <v>1982</v>
      </c>
      <c r="D694" s="218" t="s">
        <v>3494</v>
      </c>
      <c r="E694" s="218" t="s">
        <v>1839</v>
      </c>
      <c r="F694" s="218" t="s">
        <v>1840</v>
      </c>
      <c r="G694" s="218" t="s">
        <v>1841</v>
      </c>
    </row>
    <row r="695" spans="1:7" x14ac:dyDescent="0.15">
      <c r="A695" s="218" t="s">
        <v>3495</v>
      </c>
      <c r="B695" s="218" t="s">
        <v>3496</v>
      </c>
      <c r="C695" s="218" t="s">
        <v>1982</v>
      </c>
      <c r="D695" s="218" t="s">
        <v>3497</v>
      </c>
      <c r="E695" s="218" t="s">
        <v>1839</v>
      </c>
      <c r="F695" s="218" t="s">
        <v>1840</v>
      </c>
      <c r="G695" s="218" t="s">
        <v>1841</v>
      </c>
    </row>
    <row r="696" spans="1:7" x14ac:dyDescent="0.15">
      <c r="A696" s="218" t="s">
        <v>3498</v>
      </c>
      <c r="B696" s="218" t="s">
        <v>3499</v>
      </c>
      <c r="C696" s="218" t="s">
        <v>1982</v>
      </c>
      <c r="D696" s="218" t="s">
        <v>3500</v>
      </c>
      <c r="E696" s="218" t="s">
        <v>1839</v>
      </c>
      <c r="F696" s="218" t="s">
        <v>1840</v>
      </c>
      <c r="G696" s="218" t="s">
        <v>1841</v>
      </c>
    </row>
    <row r="697" spans="1:7" x14ac:dyDescent="0.15">
      <c r="A697" s="218" t="s">
        <v>3501</v>
      </c>
      <c r="B697" s="218" t="s">
        <v>3502</v>
      </c>
      <c r="C697" s="218" t="s">
        <v>1982</v>
      </c>
      <c r="D697" s="218" t="s">
        <v>3503</v>
      </c>
      <c r="E697" s="218" t="s">
        <v>1839</v>
      </c>
      <c r="F697" s="218" t="s">
        <v>1840</v>
      </c>
      <c r="G697" s="218" t="s">
        <v>1841</v>
      </c>
    </row>
    <row r="698" spans="1:7" x14ac:dyDescent="0.15">
      <c r="A698" s="218" t="s">
        <v>3504</v>
      </c>
      <c r="B698" s="218" t="s">
        <v>3505</v>
      </c>
      <c r="C698" s="218" t="s">
        <v>1982</v>
      </c>
      <c r="D698" s="218" t="s">
        <v>3506</v>
      </c>
      <c r="E698" s="218" t="s">
        <v>1935</v>
      </c>
      <c r="F698" s="218" t="s">
        <v>1840</v>
      </c>
      <c r="G698" s="218" t="s">
        <v>1841</v>
      </c>
    </row>
    <row r="699" spans="1:7" x14ac:dyDescent="0.15">
      <c r="A699" s="218" t="s">
        <v>3507</v>
      </c>
      <c r="B699" s="218" t="s">
        <v>3508</v>
      </c>
      <c r="C699" s="218" t="s">
        <v>1982</v>
      </c>
      <c r="D699" s="218" t="s">
        <v>3509</v>
      </c>
      <c r="E699" s="218" t="s">
        <v>1839</v>
      </c>
      <c r="F699" s="218" t="s">
        <v>1840</v>
      </c>
      <c r="G699" s="218" t="s">
        <v>1841</v>
      </c>
    </row>
    <row r="700" spans="1:7" x14ac:dyDescent="0.15">
      <c r="A700" s="218" t="s">
        <v>3510</v>
      </c>
      <c r="B700" s="218" t="s">
        <v>3511</v>
      </c>
      <c r="C700" s="218" t="s">
        <v>1982</v>
      </c>
      <c r="D700" s="218" t="s">
        <v>3512</v>
      </c>
      <c r="E700" s="218" t="s">
        <v>1839</v>
      </c>
      <c r="F700" s="218" t="s">
        <v>1840</v>
      </c>
      <c r="G700" s="218" t="s">
        <v>1841</v>
      </c>
    </row>
    <row r="701" spans="1:7" x14ac:dyDescent="0.15">
      <c r="A701" s="218" t="s">
        <v>11538</v>
      </c>
      <c r="B701" s="218" t="s">
        <v>11539</v>
      </c>
      <c r="C701" s="218" t="s">
        <v>1982</v>
      </c>
      <c r="D701" s="218" t="s">
        <v>11540</v>
      </c>
      <c r="E701" s="218" t="s">
        <v>1839</v>
      </c>
      <c r="F701" s="218" t="s">
        <v>1840</v>
      </c>
      <c r="G701" s="218" t="s">
        <v>1841</v>
      </c>
    </row>
    <row r="702" spans="1:7" x14ac:dyDescent="0.15">
      <c r="A702" s="218" t="s">
        <v>3513</v>
      </c>
      <c r="B702" s="218" t="s">
        <v>3514</v>
      </c>
      <c r="C702" s="218" t="s">
        <v>1982</v>
      </c>
      <c r="D702" s="218" t="s">
        <v>3515</v>
      </c>
      <c r="E702" s="218" t="s">
        <v>1839</v>
      </c>
      <c r="F702" s="218" t="s">
        <v>1840</v>
      </c>
      <c r="G702" s="218" t="s">
        <v>1841</v>
      </c>
    </row>
    <row r="703" spans="1:7" x14ac:dyDescent="0.15">
      <c r="A703" s="218" t="s">
        <v>3516</v>
      </c>
      <c r="B703" s="218" t="s">
        <v>3517</v>
      </c>
      <c r="C703" s="218" t="s">
        <v>1982</v>
      </c>
      <c r="D703" s="218" t="s">
        <v>3518</v>
      </c>
      <c r="E703" s="218" t="s">
        <v>1839</v>
      </c>
      <c r="F703" s="218" t="s">
        <v>1840</v>
      </c>
      <c r="G703" s="218" t="s">
        <v>1841</v>
      </c>
    </row>
    <row r="704" spans="1:7" x14ac:dyDescent="0.15">
      <c r="A704" s="218" t="s">
        <v>3519</v>
      </c>
      <c r="B704" s="218" t="s">
        <v>3520</v>
      </c>
      <c r="C704" s="218" t="s">
        <v>1982</v>
      </c>
      <c r="D704" s="218" t="s">
        <v>3521</v>
      </c>
      <c r="E704" s="218" t="s">
        <v>1839</v>
      </c>
      <c r="F704" s="218" t="s">
        <v>1840</v>
      </c>
      <c r="G704" s="218" t="s">
        <v>1841</v>
      </c>
    </row>
    <row r="705" spans="1:7" x14ac:dyDescent="0.15">
      <c r="A705" s="218" t="s">
        <v>3522</v>
      </c>
      <c r="B705" s="218" t="s">
        <v>3523</v>
      </c>
      <c r="C705" s="218" t="s">
        <v>1982</v>
      </c>
      <c r="D705" s="218" t="s">
        <v>3524</v>
      </c>
      <c r="E705" s="218" t="s">
        <v>1839</v>
      </c>
      <c r="F705" s="218" t="s">
        <v>1840</v>
      </c>
      <c r="G705" s="218" t="s">
        <v>1841</v>
      </c>
    </row>
    <row r="706" spans="1:7" x14ac:dyDescent="0.15">
      <c r="A706" s="218" t="s">
        <v>3525</v>
      </c>
      <c r="B706" s="218" t="s">
        <v>3526</v>
      </c>
      <c r="C706" s="218" t="s">
        <v>1982</v>
      </c>
      <c r="D706" s="218" t="s">
        <v>3527</v>
      </c>
      <c r="E706" s="218" t="s">
        <v>1839</v>
      </c>
      <c r="F706" s="218" t="s">
        <v>1840</v>
      </c>
      <c r="G706" s="218" t="s">
        <v>1841</v>
      </c>
    </row>
    <row r="707" spans="1:7" x14ac:dyDescent="0.15">
      <c r="A707" s="218" t="s">
        <v>3528</v>
      </c>
      <c r="B707" s="218" t="s">
        <v>3529</v>
      </c>
      <c r="C707" s="218" t="s">
        <v>1982</v>
      </c>
      <c r="D707" s="218" t="s">
        <v>3530</v>
      </c>
      <c r="E707" s="218" t="s">
        <v>1839</v>
      </c>
      <c r="F707" s="218" t="s">
        <v>1840</v>
      </c>
      <c r="G707" s="218" t="s">
        <v>1841</v>
      </c>
    </row>
    <row r="708" spans="1:7" x14ac:dyDescent="0.15">
      <c r="A708" s="218" t="s">
        <v>3531</v>
      </c>
      <c r="B708" s="218" t="s">
        <v>3532</v>
      </c>
      <c r="C708" s="218" t="s">
        <v>1982</v>
      </c>
      <c r="D708" s="218" t="s">
        <v>3533</v>
      </c>
      <c r="E708" s="218" t="s">
        <v>1839</v>
      </c>
      <c r="F708" s="218" t="s">
        <v>1840</v>
      </c>
      <c r="G708" s="218" t="s">
        <v>1841</v>
      </c>
    </row>
    <row r="709" spans="1:7" x14ac:dyDescent="0.15">
      <c r="A709" s="218" t="s">
        <v>9225</v>
      </c>
      <c r="B709" s="218" t="s">
        <v>1189</v>
      </c>
      <c r="C709" s="218" t="s">
        <v>3534</v>
      </c>
      <c r="D709" s="218" t="s">
        <v>1190</v>
      </c>
      <c r="E709" s="218" t="s">
        <v>1839</v>
      </c>
      <c r="F709" s="218" t="s">
        <v>1840</v>
      </c>
      <c r="G709" s="218" t="s">
        <v>1841</v>
      </c>
    </row>
    <row r="710" spans="1:7" x14ac:dyDescent="0.15">
      <c r="A710" s="218" t="s">
        <v>11563</v>
      </c>
      <c r="B710" s="218" t="s">
        <v>11564</v>
      </c>
      <c r="C710" s="218" t="s">
        <v>3534</v>
      </c>
      <c r="D710" s="218" t="s">
        <v>11564</v>
      </c>
      <c r="E710" s="218" t="s">
        <v>1839</v>
      </c>
      <c r="F710" s="218" t="s">
        <v>1840</v>
      </c>
      <c r="G710" s="218" t="s">
        <v>1841</v>
      </c>
    </row>
    <row r="711" spans="1:7" x14ac:dyDescent="0.15">
      <c r="A711" s="218" t="s">
        <v>9226</v>
      </c>
      <c r="B711" s="218" t="s">
        <v>1310</v>
      </c>
      <c r="C711" s="218" t="s">
        <v>3534</v>
      </c>
      <c r="D711" s="218" t="s">
        <v>1311</v>
      </c>
      <c r="E711" s="218" t="s">
        <v>1839</v>
      </c>
      <c r="F711" s="218" t="s">
        <v>1840</v>
      </c>
      <c r="G711" s="218" t="s">
        <v>1841</v>
      </c>
    </row>
    <row r="712" spans="1:7" x14ac:dyDescent="0.15">
      <c r="A712" s="218" t="s">
        <v>9227</v>
      </c>
      <c r="B712" s="218" t="s">
        <v>1327</v>
      </c>
      <c r="C712" s="218" t="s">
        <v>3534</v>
      </c>
      <c r="D712" s="218" t="s">
        <v>1328</v>
      </c>
      <c r="E712" s="218" t="s">
        <v>1839</v>
      </c>
      <c r="F712" s="218" t="s">
        <v>1840</v>
      </c>
      <c r="G712" s="218" t="s">
        <v>1841</v>
      </c>
    </row>
    <row r="713" spans="1:7" x14ac:dyDescent="0.15">
      <c r="A713" s="218" t="s">
        <v>3535</v>
      </c>
      <c r="B713" s="218" t="s">
        <v>3536</v>
      </c>
      <c r="C713" s="218" t="s">
        <v>3534</v>
      </c>
      <c r="D713" s="218" t="s">
        <v>3537</v>
      </c>
      <c r="E713" s="218" t="s">
        <v>1839</v>
      </c>
      <c r="F713" s="218" t="s">
        <v>1840</v>
      </c>
      <c r="G713" s="218" t="s">
        <v>1841</v>
      </c>
    </row>
    <row r="714" spans="1:7" x14ac:dyDescent="0.15">
      <c r="A714" s="218" t="s">
        <v>3538</v>
      </c>
      <c r="B714" s="218" t="s">
        <v>3539</v>
      </c>
      <c r="C714" s="218" t="s">
        <v>3534</v>
      </c>
      <c r="D714" s="218" t="s">
        <v>3540</v>
      </c>
      <c r="E714" s="218" t="s">
        <v>1839</v>
      </c>
      <c r="F714" s="218" t="s">
        <v>1840</v>
      </c>
      <c r="G714" s="218" t="s">
        <v>1841</v>
      </c>
    </row>
    <row r="715" spans="1:7" x14ac:dyDescent="0.15">
      <c r="A715" s="218" t="s">
        <v>9228</v>
      </c>
      <c r="B715" s="218" t="s">
        <v>9229</v>
      </c>
      <c r="C715" s="218" t="s">
        <v>3534</v>
      </c>
      <c r="D715" s="218" t="s">
        <v>9230</v>
      </c>
      <c r="E715" s="218" t="s">
        <v>1839</v>
      </c>
      <c r="F715" s="218" t="s">
        <v>1840</v>
      </c>
      <c r="G715" s="218" t="s">
        <v>1841</v>
      </c>
    </row>
    <row r="716" spans="1:7" x14ac:dyDescent="0.15">
      <c r="A716" s="218" t="s">
        <v>9231</v>
      </c>
      <c r="B716" s="218" t="s">
        <v>1722</v>
      </c>
      <c r="C716" s="218" t="s">
        <v>3534</v>
      </c>
      <c r="D716" s="218" t="s">
        <v>1723</v>
      </c>
      <c r="E716" s="218" t="s">
        <v>1839</v>
      </c>
      <c r="F716" s="218" t="s">
        <v>1840</v>
      </c>
      <c r="G716" s="218" t="s">
        <v>1841</v>
      </c>
    </row>
    <row r="717" spans="1:7" x14ac:dyDescent="0.15">
      <c r="A717" s="218" t="s">
        <v>3541</v>
      </c>
      <c r="B717" s="218" t="s">
        <v>3542</v>
      </c>
      <c r="C717" s="218" t="s">
        <v>3534</v>
      </c>
      <c r="D717" s="218" t="s">
        <v>3543</v>
      </c>
      <c r="E717" s="218" t="s">
        <v>1839</v>
      </c>
      <c r="F717" s="218" t="s">
        <v>1840</v>
      </c>
      <c r="G717" s="218" t="s">
        <v>1841</v>
      </c>
    </row>
    <row r="718" spans="1:7" x14ac:dyDescent="0.15">
      <c r="A718" s="218" t="s">
        <v>9232</v>
      </c>
      <c r="B718" s="218" t="s">
        <v>9233</v>
      </c>
      <c r="C718" s="218" t="s">
        <v>3534</v>
      </c>
      <c r="D718" s="218" t="s">
        <v>9234</v>
      </c>
      <c r="E718" s="218" t="s">
        <v>1839</v>
      </c>
      <c r="F718" s="218" t="s">
        <v>1840</v>
      </c>
      <c r="G718" s="218" t="s">
        <v>1841</v>
      </c>
    </row>
    <row r="719" spans="1:7" x14ac:dyDescent="0.15">
      <c r="A719" s="218" t="s">
        <v>3544</v>
      </c>
      <c r="B719" s="218" t="s">
        <v>3545</v>
      </c>
      <c r="C719" s="218" t="s">
        <v>3534</v>
      </c>
      <c r="D719" s="218" t="s">
        <v>3546</v>
      </c>
      <c r="E719" s="218" t="s">
        <v>1839</v>
      </c>
      <c r="F719" s="218" t="s">
        <v>1840</v>
      </c>
      <c r="G719" s="218" t="s">
        <v>1841</v>
      </c>
    </row>
    <row r="720" spans="1:7" x14ac:dyDescent="0.15">
      <c r="A720" s="218" t="s">
        <v>3550</v>
      </c>
      <c r="B720" s="218" t="s">
        <v>3551</v>
      </c>
      <c r="C720" s="218" t="s">
        <v>3534</v>
      </c>
      <c r="D720" s="218" t="s">
        <v>3552</v>
      </c>
      <c r="E720" s="218" t="s">
        <v>1839</v>
      </c>
      <c r="F720" s="218" t="s">
        <v>1840</v>
      </c>
      <c r="G720" s="218" t="s">
        <v>1841</v>
      </c>
    </row>
    <row r="721" spans="1:7" x14ac:dyDescent="0.15">
      <c r="A721" s="218" t="s">
        <v>9235</v>
      </c>
      <c r="B721" s="218" t="s">
        <v>9236</v>
      </c>
      <c r="C721" s="218" t="s">
        <v>3534</v>
      </c>
      <c r="D721" s="218" t="s">
        <v>9237</v>
      </c>
      <c r="E721" s="218" t="s">
        <v>1839</v>
      </c>
      <c r="F721" s="218" t="s">
        <v>1840</v>
      </c>
      <c r="G721" s="218" t="s">
        <v>1841</v>
      </c>
    </row>
    <row r="722" spans="1:7" x14ac:dyDescent="0.15">
      <c r="A722" s="218" t="s">
        <v>3553</v>
      </c>
      <c r="B722" s="218" t="s">
        <v>3554</v>
      </c>
      <c r="C722" s="218" t="s">
        <v>3534</v>
      </c>
      <c r="D722" s="218" t="s">
        <v>3555</v>
      </c>
      <c r="E722" s="218" t="s">
        <v>1839</v>
      </c>
      <c r="F722" s="218" t="s">
        <v>1840</v>
      </c>
      <c r="G722" s="218" t="s">
        <v>1841</v>
      </c>
    </row>
    <row r="723" spans="1:7" x14ac:dyDescent="0.15">
      <c r="A723" s="218" t="s">
        <v>9238</v>
      </c>
      <c r="B723" s="218" t="s">
        <v>9239</v>
      </c>
      <c r="C723" s="218" t="s">
        <v>3534</v>
      </c>
      <c r="D723" s="218" t="s">
        <v>9240</v>
      </c>
      <c r="E723" s="218" t="s">
        <v>1839</v>
      </c>
      <c r="F723" s="218" t="s">
        <v>1840</v>
      </c>
      <c r="G723" s="218" t="s">
        <v>1841</v>
      </c>
    </row>
    <row r="724" spans="1:7" x14ac:dyDescent="0.15">
      <c r="A724" s="218" t="s">
        <v>3556</v>
      </c>
      <c r="B724" s="218" t="s">
        <v>3557</v>
      </c>
      <c r="C724" s="218" t="s">
        <v>3534</v>
      </c>
      <c r="D724" s="218" t="s">
        <v>3558</v>
      </c>
      <c r="E724" s="218" t="s">
        <v>1839</v>
      </c>
      <c r="F724" s="218" t="s">
        <v>1840</v>
      </c>
      <c r="G724" s="218" t="s">
        <v>1841</v>
      </c>
    </row>
    <row r="725" spans="1:7" x14ac:dyDescent="0.15">
      <c r="A725" s="218" t="s">
        <v>3559</v>
      </c>
      <c r="B725" s="218" t="s">
        <v>3560</v>
      </c>
      <c r="C725" s="218" t="s">
        <v>3534</v>
      </c>
      <c r="D725" s="218" t="s">
        <v>3561</v>
      </c>
      <c r="E725" s="218" t="s">
        <v>1935</v>
      </c>
      <c r="F725" s="218" t="s">
        <v>1840</v>
      </c>
      <c r="G725" s="218" t="s">
        <v>1841</v>
      </c>
    </row>
    <row r="726" spans="1:7" x14ac:dyDescent="0.15">
      <c r="A726" s="218" t="s">
        <v>3562</v>
      </c>
      <c r="B726" s="218" t="s">
        <v>3563</v>
      </c>
      <c r="C726" s="218" t="s">
        <v>3534</v>
      </c>
      <c r="D726" s="218" t="s">
        <v>3564</v>
      </c>
      <c r="E726" s="218" t="s">
        <v>1839</v>
      </c>
      <c r="F726" s="218" t="s">
        <v>1840</v>
      </c>
      <c r="G726" s="218" t="s">
        <v>1841</v>
      </c>
    </row>
    <row r="727" spans="1:7" x14ac:dyDescent="0.15">
      <c r="A727" s="218" t="s">
        <v>9241</v>
      </c>
      <c r="B727" s="218" t="s">
        <v>1593</v>
      </c>
      <c r="C727" s="218" t="s">
        <v>3534</v>
      </c>
      <c r="D727" s="218" t="s">
        <v>1594</v>
      </c>
      <c r="E727" s="218" t="s">
        <v>1839</v>
      </c>
      <c r="F727" s="218" t="s">
        <v>1840</v>
      </c>
      <c r="G727" s="218" t="s">
        <v>1841</v>
      </c>
    </row>
    <row r="728" spans="1:7" x14ac:dyDescent="0.15">
      <c r="A728" s="218" t="s">
        <v>3565</v>
      </c>
      <c r="B728" s="218" t="s">
        <v>3566</v>
      </c>
      <c r="C728" s="218" t="s">
        <v>3534</v>
      </c>
      <c r="D728" s="218" t="s">
        <v>3567</v>
      </c>
      <c r="E728" s="218" t="s">
        <v>1839</v>
      </c>
      <c r="F728" s="218" t="s">
        <v>1840</v>
      </c>
      <c r="G728" s="218" t="s">
        <v>1841</v>
      </c>
    </row>
    <row r="729" spans="1:7" x14ac:dyDescent="0.15">
      <c r="A729" s="218" t="s">
        <v>9242</v>
      </c>
      <c r="B729" s="218" t="s">
        <v>9243</v>
      </c>
      <c r="C729" s="218" t="s">
        <v>3534</v>
      </c>
      <c r="D729" s="218" t="s">
        <v>9244</v>
      </c>
      <c r="E729" s="218" t="s">
        <v>1839</v>
      </c>
      <c r="F729" s="218" t="s">
        <v>1840</v>
      </c>
      <c r="G729" s="218" t="s">
        <v>1841</v>
      </c>
    </row>
    <row r="730" spans="1:7" x14ac:dyDescent="0.15">
      <c r="A730" s="218" t="s">
        <v>9245</v>
      </c>
      <c r="B730" s="218" t="s">
        <v>9246</v>
      </c>
      <c r="C730" s="218" t="s">
        <v>3534</v>
      </c>
      <c r="D730" s="218" t="s">
        <v>9247</v>
      </c>
      <c r="E730" s="218" t="s">
        <v>1839</v>
      </c>
      <c r="F730" s="218" t="s">
        <v>1840</v>
      </c>
      <c r="G730" s="218" t="s">
        <v>1841</v>
      </c>
    </row>
    <row r="731" spans="1:7" x14ac:dyDescent="0.15">
      <c r="A731" s="218" t="s">
        <v>3568</v>
      </c>
      <c r="B731" s="218" t="s">
        <v>3569</v>
      </c>
      <c r="C731" s="218" t="s">
        <v>3534</v>
      </c>
      <c r="D731" s="218" t="s">
        <v>3570</v>
      </c>
      <c r="E731" s="218" t="s">
        <v>1839</v>
      </c>
      <c r="F731" s="218" t="s">
        <v>1840</v>
      </c>
      <c r="G731" s="218" t="s">
        <v>1841</v>
      </c>
    </row>
    <row r="732" spans="1:7" x14ac:dyDescent="0.15">
      <c r="A732" s="218" t="s">
        <v>9248</v>
      </c>
      <c r="B732" s="218" t="s">
        <v>9249</v>
      </c>
      <c r="C732" s="218" t="s">
        <v>3534</v>
      </c>
      <c r="D732" s="218" t="s">
        <v>9250</v>
      </c>
      <c r="E732" s="218" t="s">
        <v>1839</v>
      </c>
      <c r="F732" s="218" t="s">
        <v>1840</v>
      </c>
      <c r="G732" s="218" t="s">
        <v>1841</v>
      </c>
    </row>
    <row r="733" spans="1:7" x14ac:dyDescent="0.15">
      <c r="A733" s="218" t="s">
        <v>9251</v>
      </c>
      <c r="B733" s="218" t="s">
        <v>7705</v>
      </c>
      <c r="C733" s="218" t="s">
        <v>3534</v>
      </c>
      <c r="D733" s="218" t="s">
        <v>7706</v>
      </c>
      <c r="E733" s="218" t="s">
        <v>1839</v>
      </c>
      <c r="F733" s="218" t="s">
        <v>1840</v>
      </c>
      <c r="G733" s="218" t="s">
        <v>1841</v>
      </c>
    </row>
    <row r="734" spans="1:7" x14ac:dyDescent="0.15">
      <c r="A734" s="218" t="s">
        <v>3571</v>
      </c>
      <c r="B734" s="218" t="s">
        <v>3572</v>
      </c>
      <c r="C734" s="218" t="s">
        <v>3534</v>
      </c>
      <c r="D734" s="218" t="s">
        <v>3573</v>
      </c>
      <c r="E734" s="218" t="s">
        <v>1839</v>
      </c>
      <c r="F734" s="218" t="s">
        <v>1840</v>
      </c>
      <c r="G734" s="218" t="s">
        <v>1841</v>
      </c>
    </row>
    <row r="735" spans="1:7" x14ac:dyDescent="0.15">
      <c r="A735" s="218" t="s">
        <v>3574</v>
      </c>
      <c r="B735" s="218" t="s">
        <v>3575</v>
      </c>
      <c r="C735" s="218" t="s">
        <v>3534</v>
      </c>
      <c r="D735" s="218" t="s">
        <v>3576</v>
      </c>
      <c r="E735" s="218" t="s">
        <v>1839</v>
      </c>
      <c r="F735" s="218" t="s">
        <v>1840</v>
      </c>
      <c r="G735" s="218" t="s">
        <v>1841</v>
      </c>
    </row>
    <row r="736" spans="1:7" x14ac:dyDescent="0.15">
      <c r="A736" s="218" t="s">
        <v>3577</v>
      </c>
      <c r="B736" s="218" t="s">
        <v>3578</v>
      </c>
      <c r="C736" s="218" t="s">
        <v>3534</v>
      </c>
      <c r="D736" s="218" t="s">
        <v>3579</v>
      </c>
      <c r="E736" s="218" t="s">
        <v>1839</v>
      </c>
      <c r="F736" s="218" t="s">
        <v>1840</v>
      </c>
      <c r="G736" s="218" t="s">
        <v>1841</v>
      </c>
    </row>
    <row r="737" spans="1:7" x14ac:dyDescent="0.15">
      <c r="A737" s="218" t="s">
        <v>9252</v>
      </c>
      <c r="B737" s="218" t="s">
        <v>9253</v>
      </c>
      <c r="C737" s="218" t="s">
        <v>3534</v>
      </c>
      <c r="D737" s="218" t="s">
        <v>3579</v>
      </c>
      <c r="E737" s="218" t="s">
        <v>1839</v>
      </c>
      <c r="F737" s="218" t="s">
        <v>1840</v>
      </c>
      <c r="G737" s="218" t="s">
        <v>1841</v>
      </c>
    </row>
    <row r="738" spans="1:7" x14ac:dyDescent="0.15">
      <c r="A738" s="218" t="s">
        <v>3580</v>
      </c>
      <c r="B738" s="218" t="s">
        <v>3581</v>
      </c>
      <c r="C738" s="218" t="s">
        <v>3534</v>
      </c>
      <c r="D738" s="218" t="s">
        <v>3582</v>
      </c>
      <c r="E738" s="218" t="s">
        <v>1839</v>
      </c>
      <c r="F738" s="218" t="s">
        <v>1840</v>
      </c>
      <c r="G738" s="218" t="s">
        <v>1841</v>
      </c>
    </row>
    <row r="739" spans="1:7" x14ac:dyDescent="0.15">
      <c r="A739" s="218" t="s">
        <v>9254</v>
      </c>
      <c r="B739" s="218" t="s">
        <v>1427</v>
      </c>
      <c r="C739" s="218" t="s">
        <v>3534</v>
      </c>
      <c r="D739" s="218" t="s">
        <v>1428</v>
      </c>
      <c r="E739" s="218" t="s">
        <v>1839</v>
      </c>
      <c r="F739" s="218" t="s">
        <v>1840</v>
      </c>
      <c r="G739" s="218" t="s">
        <v>1841</v>
      </c>
    </row>
    <row r="740" spans="1:7" x14ac:dyDescent="0.15">
      <c r="A740" s="218" t="s">
        <v>3583</v>
      </c>
      <c r="B740" s="218" t="s">
        <v>3584</v>
      </c>
      <c r="C740" s="218" t="s">
        <v>3534</v>
      </c>
      <c r="D740" s="218" t="s">
        <v>3585</v>
      </c>
      <c r="E740" s="218" t="s">
        <v>1839</v>
      </c>
      <c r="F740" s="218" t="s">
        <v>1840</v>
      </c>
      <c r="G740" s="218" t="s">
        <v>1841</v>
      </c>
    </row>
    <row r="741" spans="1:7" x14ac:dyDescent="0.15">
      <c r="A741" s="218" t="s">
        <v>9255</v>
      </c>
      <c r="B741" s="218" t="s">
        <v>1113</v>
      </c>
      <c r="C741" s="218" t="s">
        <v>3534</v>
      </c>
      <c r="D741" s="218" t="s">
        <v>1114</v>
      </c>
      <c r="E741" s="218" t="s">
        <v>1839</v>
      </c>
      <c r="F741" s="218" t="s">
        <v>1840</v>
      </c>
      <c r="G741" s="218" t="s">
        <v>1841</v>
      </c>
    </row>
    <row r="742" spans="1:7" x14ac:dyDescent="0.15">
      <c r="A742" s="218" t="s">
        <v>3586</v>
      </c>
      <c r="B742" s="218" t="s">
        <v>3587</v>
      </c>
      <c r="C742" s="218" t="s">
        <v>3534</v>
      </c>
      <c r="D742" s="218" t="s">
        <v>3588</v>
      </c>
      <c r="E742" s="218" t="s">
        <v>1839</v>
      </c>
      <c r="F742" s="218" t="s">
        <v>1840</v>
      </c>
      <c r="G742" s="218" t="s">
        <v>1841</v>
      </c>
    </row>
    <row r="743" spans="1:7" x14ac:dyDescent="0.15">
      <c r="A743" s="218" t="s">
        <v>9256</v>
      </c>
      <c r="B743" s="218" t="s">
        <v>744</v>
      </c>
      <c r="C743" s="218" t="s">
        <v>3534</v>
      </c>
      <c r="D743" s="218" t="s">
        <v>745</v>
      </c>
      <c r="E743" s="218" t="s">
        <v>1839</v>
      </c>
      <c r="F743" s="218" t="s">
        <v>1840</v>
      </c>
      <c r="G743" s="218" t="s">
        <v>1841</v>
      </c>
    </row>
    <row r="744" spans="1:7" x14ac:dyDescent="0.15">
      <c r="A744" s="218" t="s">
        <v>3589</v>
      </c>
      <c r="B744" s="218" t="s">
        <v>3590</v>
      </c>
      <c r="C744" s="218" t="s">
        <v>3534</v>
      </c>
      <c r="D744" s="218" t="s">
        <v>3591</v>
      </c>
      <c r="E744" s="218" t="s">
        <v>1839</v>
      </c>
      <c r="F744" s="218" t="s">
        <v>1840</v>
      </c>
      <c r="G744" s="218" t="s">
        <v>1841</v>
      </c>
    </row>
    <row r="745" spans="1:7" x14ac:dyDescent="0.15">
      <c r="A745" s="218" t="s">
        <v>9257</v>
      </c>
      <c r="B745" s="218" t="s">
        <v>1437</v>
      </c>
      <c r="C745" s="218" t="s">
        <v>3534</v>
      </c>
      <c r="D745" s="218" t="s">
        <v>1438</v>
      </c>
      <c r="E745" s="218" t="s">
        <v>1839</v>
      </c>
      <c r="F745" s="218" t="s">
        <v>1840</v>
      </c>
      <c r="G745" s="218" t="s">
        <v>1841</v>
      </c>
    </row>
    <row r="746" spans="1:7" x14ac:dyDescent="0.15">
      <c r="A746" s="218" t="s">
        <v>9258</v>
      </c>
      <c r="B746" s="218" t="s">
        <v>1543</v>
      </c>
      <c r="C746" s="218" t="s">
        <v>3534</v>
      </c>
      <c r="D746" s="218" t="s">
        <v>1544</v>
      </c>
      <c r="E746" s="218" t="s">
        <v>1839</v>
      </c>
      <c r="F746" s="218" t="s">
        <v>1840</v>
      </c>
      <c r="G746" s="218" t="s">
        <v>1841</v>
      </c>
    </row>
    <row r="747" spans="1:7" x14ac:dyDescent="0.15">
      <c r="A747" s="218" t="s">
        <v>9259</v>
      </c>
      <c r="B747" s="218" t="s">
        <v>9260</v>
      </c>
      <c r="C747" s="218" t="s">
        <v>3534</v>
      </c>
      <c r="D747" s="218" t="s">
        <v>9261</v>
      </c>
      <c r="E747" s="218" t="s">
        <v>1839</v>
      </c>
      <c r="F747" s="218" t="s">
        <v>1840</v>
      </c>
      <c r="G747" s="218" t="s">
        <v>1841</v>
      </c>
    </row>
    <row r="748" spans="1:7" x14ac:dyDescent="0.15">
      <c r="A748" s="218" t="s">
        <v>9262</v>
      </c>
      <c r="B748" s="218" t="s">
        <v>1513</v>
      </c>
      <c r="C748" s="218" t="s">
        <v>3534</v>
      </c>
      <c r="D748" s="218" t="s">
        <v>1514</v>
      </c>
      <c r="E748" s="218" t="s">
        <v>1839</v>
      </c>
      <c r="F748" s="218" t="s">
        <v>1840</v>
      </c>
      <c r="G748" s="218" t="s">
        <v>1841</v>
      </c>
    </row>
    <row r="749" spans="1:7" x14ac:dyDescent="0.15">
      <c r="A749" s="218" t="s">
        <v>9263</v>
      </c>
      <c r="B749" s="218" t="s">
        <v>9264</v>
      </c>
      <c r="C749" s="218" t="s">
        <v>3534</v>
      </c>
      <c r="D749" s="218" t="s">
        <v>9265</v>
      </c>
      <c r="E749" s="218" t="s">
        <v>1839</v>
      </c>
      <c r="F749" s="218" t="s">
        <v>1840</v>
      </c>
      <c r="G749" s="218" t="s">
        <v>1841</v>
      </c>
    </row>
    <row r="750" spans="1:7" x14ac:dyDescent="0.15">
      <c r="A750" s="218" t="s">
        <v>3592</v>
      </c>
      <c r="B750" s="218" t="s">
        <v>3593</v>
      </c>
      <c r="C750" s="218" t="s">
        <v>3534</v>
      </c>
      <c r="D750" s="218" t="s">
        <v>3594</v>
      </c>
      <c r="E750" s="218" t="s">
        <v>1839</v>
      </c>
      <c r="F750" s="218" t="s">
        <v>1840</v>
      </c>
      <c r="G750" s="218" t="s">
        <v>1841</v>
      </c>
    </row>
    <row r="751" spans="1:7" x14ac:dyDescent="0.15">
      <c r="A751" s="218" t="s">
        <v>3595</v>
      </c>
      <c r="B751" s="218" t="s">
        <v>3596</v>
      </c>
      <c r="C751" s="218" t="s">
        <v>3534</v>
      </c>
      <c r="D751" s="218" t="s">
        <v>3597</v>
      </c>
      <c r="E751" s="218" t="s">
        <v>1839</v>
      </c>
      <c r="F751" s="218" t="s">
        <v>1840</v>
      </c>
      <c r="G751" s="218" t="s">
        <v>1841</v>
      </c>
    </row>
    <row r="752" spans="1:7" x14ac:dyDescent="0.15">
      <c r="A752" s="218" t="s">
        <v>3598</v>
      </c>
      <c r="B752" s="218" t="s">
        <v>3599</v>
      </c>
      <c r="C752" s="218" t="s">
        <v>3534</v>
      </c>
      <c r="D752" s="218" t="s">
        <v>3600</v>
      </c>
      <c r="E752" s="218" t="s">
        <v>1839</v>
      </c>
      <c r="F752" s="218" t="s">
        <v>1840</v>
      </c>
      <c r="G752" s="218" t="s">
        <v>1841</v>
      </c>
    </row>
    <row r="753" spans="1:7" x14ac:dyDescent="0.15">
      <c r="A753" s="218" t="s">
        <v>11565</v>
      </c>
      <c r="B753" s="218" t="s">
        <v>11566</v>
      </c>
      <c r="C753" s="218" t="s">
        <v>3534</v>
      </c>
      <c r="D753" s="218" t="s">
        <v>11567</v>
      </c>
      <c r="E753" s="218" t="s">
        <v>1935</v>
      </c>
      <c r="F753" s="218" t="s">
        <v>1840</v>
      </c>
      <c r="G753" s="218" t="s">
        <v>1841</v>
      </c>
    </row>
    <row r="754" spans="1:7" x14ac:dyDescent="0.15">
      <c r="A754" s="218" t="s">
        <v>9266</v>
      </c>
      <c r="B754" s="218" t="s">
        <v>9267</v>
      </c>
      <c r="C754" s="218" t="s">
        <v>3534</v>
      </c>
      <c r="D754" s="218" t="s">
        <v>9268</v>
      </c>
      <c r="E754" s="218" t="s">
        <v>1839</v>
      </c>
      <c r="F754" s="218" t="s">
        <v>1840</v>
      </c>
      <c r="G754" s="218" t="s">
        <v>1841</v>
      </c>
    </row>
    <row r="755" spans="1:7" x14ac:dyDescent="0.15">
      <c r="A755" s="218" t="s">
        <v>3601</v>
      </c>
      <c r="B755" s="218" t="s">
        <v>3602</v>
      </c>
      <c r="C755" s="218" t="s">
        <v>3534</v>
      </c>
      <c r="D755" s="218" t="s">
        <v>3603</v>
      </c>
      <c r="E755" s="218" t="s">
        <v>1839</v>
      </c>
      <c r="F755" s="218" t="s">
        <v>1840</v>
      </c>
      <c r="G755" s="218" t="s">
        <v>1841</v>
      </c>
    </row>
    <row r="756" spans="1:7" x14ac:dyDescent="0.15">
      <c r="A756" s="218" t="s">
        <v>3604</v>
      </c>
      <c r="B756" s="218" t="s">
        <v>3605</v>
      </c>
      <c r="C756" s="218" t="s">
        <v>3534</v>
      </c>
      <c r="D756" s="218" t="s">
        <v>3606</v>
      </c>
      <c r="E756" s="218" t="s">
        <v>1839</v>
      </c>
      <c r="F756" s="218" t="s">
        <v>1840</v>
      </c>
      <c r="G756" s="218" t="s">
        <v>1841</v>
      </c>
    </row>
    <row r="757" spans="1:7" x14ac:dyDescent="0.15">
      <c r="A757" s="218" t="s">
        <v>3607</v>
      </c>
      <c r="B757" s="218" t="s">
        <v>3608</v>
      </c>
      <c r="C757" s="218" t="s">
        <v>3534</v>
      </c>
      <c r="D757" s="218" t="s">
        <v>3609</v>
      </c>
      <c r="E757" s="218" t="s">
        <v>1839</v>
      </c>
      <c r="F757" s="218" t="s">
        <v>1840</v>
      </c>
      <c r="G757" s="218" t="s">
        <v>1841</v>
      </c>
    </row>
    <row r="758" spans="1:7" x14ac:dyDescent="0.15">
      <c r="A758" s="218" t="s">
        <v>3610</v>
      </c>
      <c r="B758" s="218" t="s">
        <v>3611</v>
      </c>
      <c r="C758" s="218" t="s">
        <v>3534</v>
      </c>
      <c r="D758" s="218" t="s">
        <v>3612</v>
      </c>
      <c r="E758" s="218" t="s">
        <v>1839</v>
      </c>
      <c r="F758" s="218" t="s">
        <v>1840</v>
      </c>
      <c r="G758" s="218" t="s">
        <v>1841</v>
      </c>
    </row>
    <row r="759" spans="1:7" x14ac:dyDescent="0.15">
      <c r="A759" s="218" t="s">
        <v>3613</v>
      </c>
      <c r="B759" s="218" t="s">
        <v>3614</v>
      </c>
      <c r="C759" s="218" t="s">
        <v>3534</v>
      </c>
      <c r="D759" s="218" t="s">
        <v>3615</v>
      </c>
      <c r="E759" s="218" t="s">
        <v>1839</v>
      </c>
      <c r="F759" s="218" t="s">
        <v>1840</v>
      </c>
      <c r="G759" s="218" t="s">
        <v>1841</v>
      </c>
    </row>
    <row r="760" spans="1:7" x14ac:dyDescent="0.15">
      <c r="A760" s="218" t="s">
        <v>9269</v>
      </c>
      <c r="B760" s="218" t="s">
        <v>920</v>
      </c>
      <c r="C760" s="218" t="s">
        <v>3534</v>
      </c>
      <c r="D760" s="218" t="s">
        <v>921</v>
      </c>
      <c r="E760" s="218" t="s">
        <v>1839</v>
      </c>
      <c r="F760" s="218" t="s">
        <v>1840</v>
      </c>
      <c r="G760" s="218" t="s">
        <v>1841</v>
      </c>
    </row>
    <row r="761" spans="1:7" x14ac:dyDescent="0.15">
      <c r="A761" s="218" t="s">
        <v>3616</v>
      </c>
      <c r="B761" s="218" t="s">
        <v>3617</v>
      </c>
      <c r="C761" s="218" t="s">
        <v>3534</v>
      </c>
      <c r="D761" s="218" t="s">
        <v>1209</v>
      </c>
      <c r="E761" s="218" t="s">
        <v>1839</v>
      </c>
      <c r="F761" s="218" t="s">
        <v>1840</v>
      </c>
      <c r="G761" s="218" t="s">
        <v>1841</v>
      </c>
    </row>
    <row r="762" spans="1:7" x14ac:dyDescent="0.15">
      <c r="A762" s="218" t="s">
        <v>3618</v>
      </c>
      <c r="B762" s="218" t="s">
        <v>3619</v>
      </c>
      <c r="C762" s="218" t="s">
        <v>3534</v>
      </c>
      <c r="D762" s="218" t="s">
        <v>3620</v>
      </c>
      <c r="E762" s="218" t="s">
        <v>1839</v>
      </c>
      <c r="F762" s="218" t="s">
        <v>1840</v>
      </c>
      <c r="G762" s="218" t="s">
        <v>1841</v>
      </c>
    </row>
    <row r="763" spans="1:7" x14ac:dyDescent="0.15">
      <c r="A763" s="218" t="s">
        <v>3621</v>
      </c>
      <c r="B763" s="218" t="s">
        <v>3622</v>
      </c>
      <c r="C763" s="218" t="s">
        <v>3534</v>
      </c>
      <c r="D763" s="218" t="s">
        <v>3623</v>
      </c>
      <c r="E763" s="218" t="s">
        <v>1839</v>
      </c>
      <c r="F763" s="218" t="s">
        <v>1840</v>
      </c>
      <c r="G763" s="218" t="s">
        <v>1841</v>
      </c>
    </row>
    <row r="764" spans="1:7" x14ac:dyDescent="0.15">
      <c r="A764" s="218" t="s">
        <v>9270</v>
      </c>
      <c r="B764" s="218" t="s">
        <v>9271</v>
      </c>
      <c r="C764" s="218" t="s">
        <v>3534</v>
      </c>
      <c r="D764" s="218" t="s">
        <v>9272</v>
      </c>
      <c r="E764" s="218" t="s">
        <v>1935</v>
      </c>
      <c r="F764" s="218" t="s">
        <v>1840</v>
      </c>
      <c r="G764" s="218" t="s">
        <v>1841</v>
      </c>
    </row>
    <row r="765" spans="1:7" x14ac:dyDescent="0.15">
      <c r="A765" s="218" t="s">
        <v>3624</v>
      </c>
      <c r="B765" s="218" t="s">
        <v>3625</v>
      </c>
      <c r="C765" s="218" t="s">
        <v>3534</v>
      </c>
      <c r="D765" s="218" t="s">
        <v>3626</v>
      </c>
      <c r="E765" s="218" t="s">
        <v>1839</v>
      </c>
      <c r="F765" s="218" t="s">
        <v>1840</v>
      </c>
      <c r="G765" s="218" t="s">
        <v>1841</v>
      </c>
    </row>
    <row r="766" spans="1:7" x14ac:dyDescent="0.15">
      <c r="A766" s="218" t="s">
        <v>3627</v>
      </c>
      <c r="B766" s="218" t="s">
        <v>3628</v>
      </c>
      <c r="C766" s="218" t="s">
        <v>3534</v>
      </c>
      <c r="D766" s="218" t="s">
        <v>3629</v>
      </c>
      <c r="E766" s="218" t="s">
        <v>1839</v>
      </c>
      <c r="F766" s="218" t="s">
        <v>1840</v>
      </c>
      <c r="G766" s="218" t="s">
        <v>1841</v>
      </c>
    </row>
    <row r="767" spans="1:7" x14ac:dyDescent="0.15">
      <c r="A767" s="218" t="s">
        <v>3630</v>
      </c>
      <c r="B767" s="218" t="s">
        <v>3631</v>
      </c>
      <c r="C767" s="218" t="s">
        <v>3534</v>
      </c>
      <c r="D767" s="218" t="s">
        <v>3632</v>
      </c>
      <c r="E767" s="218" t="s">
        <v>1839</v>
      </c>
      <c r="F767" s="218" t="s">
        <v>1840</v>
      </c>
      <c r="G767" s="218" t="s">
        <v>1841</v>
      </c>
    </row>
    <row r="768" spans="1:7" x14ac:dyDescent="0.15">
      <c r="A768" s="218" t="s">
        <v>9273</v>
      </c>
      <c r="B768" s="218" t="s">
        <v>9274</v>
      </c>
      <c r="C768" s="218" t="s">
        <v>3534</v>
      </c>
      <c r="D768" s="218" t="s">
        <v>9275</v>
      </c>
      <c r="E768" s="218" t="s">
        <v>1839</v>
      </c>
      <c r="F768" s="218" t="s">
        <v>1840</v>
      </c>
      <c r="G768" s="218" t="s">
        <v>1841</v>
      </c>
    </row>
    <row r="769" spans="1:7" x14ac:dyDescent="0.15">
      <c r="A769" s="218" t="s">
        <v>9276</v>
      </c>
      <c r="B769" s="218" t="s">
        <v>9277</v>
      </c>
      <c r="C769" s="218" t="s">
        <v>3534</v>
      </c>
      <c r="D769" s="218" t="s">
        <v>9278</v>
      </c>
      <c r="E769" s="218" t="s">
        <v>1839</v>
      </c>
      <c r="F769" s="218" t="s">
        <v>1840</v>
      </c>
      <c r="G769" s="218" t="s">
        <v>1841</v>
      </c>
    </row>
    <row r="770" spans="1:7" x14ac:dyDescent="0.15">
      <c r="A770" s="218" t="s">
        <v>9279</v>
      </c>
      <c r="B770" s="218" t="s">
        <v>1522</v>
      </c>
      <c r="C770" s="218" t="s">
        <v>3534</v>
      </c>
      <c r="D770" s="218" t="s">
        <v>1523</v>
      </c>
      <c r="E770" s="218" t="s">
        <v>1839</v>
      </c>
      <c r="F770" s="218" t="s">
        <v>1840</v>
      </c>
      <c r="G770" s="218" t="s">
        <v>1841</v>
      </c>
    </row>
    <row r="771" spans="1:7" x14ac:dyDescent="0.15">
      <c r="A771" s="218" t="s">
        <v>3633</v>
      </c>
      <c r="B771" s="218" t="s">
        <v>3634</v>
      </c>
      <c r="C771" s="218" t="s">
        <v>3534</v>
      </c>
      <c r="D771" s="218" t="s">
        <v>3635</v>
      </c>
      <c r="E771" s="218" t="s">
        <v>1839</v>
      </c>
      <c r="F771" s="218" t="s">
        <v>1840</v>
      </c>
      <c r="G771" s="218" t="s">
        <v>1841</v>
      </c>
    </row>
    <row r="772" spans="1:7" x14ac:dyDescent="0.15">
      <c r="A772" s="218" t="s">
        <v>9280</v>
      </c>
      <c r="B772" s="218" t="s">
        <v>9281</v>
      </c>
      <c r="C772" s="218" t="s">
        <v>3534</v>
      </c>
      <c r="D772" s="218" t="s">
        <v>9282</v>
      </c>
      <c r="E772" s="218" t="s">
        <v>1839</v>
      </c>
      <c r="F772" s="218" t="s">
        <v>1840</v>
      </c>
      <c r="G772" s="218" t="s">
        <v>1841</v>
      </c>
    </row>
    <row r="773" spans="1:7" x14ac:dyDescent="0.15">
      <c r="A773" s="218" t="s">
        <v>9283</v>
      </c>
      <c r="B773" s="218" t="s">
        <v>9284</v>
      </c>
      <c r="C773" s="218" t="s">
        <v>3534</v>
      </c>
      <c r="D773" s="218" t="s">
        <v>9285</v>
      </c>
      <c r="E773" s="218" t="s">
        <v>1839</v>
      </c>
      <c r="F773" s="218" t="s">
        <v>1840</v>
      </c>
      <c r="G773" s="218" t="s">
        <v>1841</v>
      </c>
    </row>
    <row r="774" spans="1:7" x14ac:dyDescent="0.15">
      <c r="A774" s="218" t="s">
        <v>3639</v>
      </c>
      <c r="B774" s="218" t="s">
        <v>3640</v>
      </c>
      <c r="C774" s="218" t="s">
        <v>3534</v>
      </c>
      <c r="D774" s="218" t="s">
        <v>3641</v>
      </c>
      <c r="E774" s="218" t="s">
        <v>1839</v>
      </c>
      <c r="F774" s="218" t="s">
        <v>1840</v>
      </c>
      <c r="G774" s="218" t="s">
        <v>1841</v>
      </c>
    </row>
    <row r="775" spans="1:7" x14ac:dyDescent="0.15">
      <c r="A775" s="218" t="s">
        <v>11568</v>
      </c>
      <c r="B775" s="218" t="s">
        <v>11569</v>
      </c>
      <c r="C775" s="218" t="s">
        <v>3534</v>
      </c>
      <c r="D775" s="218" t="s">
        <v>11570</v>
      </c>
      <c r="E775" s="218" t="s">
        <v>1839</v>
      </c>
      <c r="F775" s="218" t="s">
        <v>1840</v>
      </c>
      <c r="G775" s="218" t="s">
        <v>1841</v>
      </c>
    </row>
    <row r="776" spans="1:7" x14ac:dyDescent="0.15">
      <c r="A776" s="218" t="s">
        <v>9286</v>
      </c>
      <c r="B776" s="218" t="s">
        <v>676</v>
      </c>
      <c r="C776" s="218" t="s">
        <v>3534</v>
      </c>
      <c r="D776" s="218" t="s">
        <v>677</v>
      </c>
      <c r="E776" s="218" t="s">
        <v>1839</v>
      </c>
      <c r="F776" s="218" t="s">
        <v>1840</v>
      </c>
      <c r="G776" s="218" t="s">
        <v>1841</v>
      </c>
    </row>
    <row r="777" spans="1:7" x14ac:dyDescent="0.15">
      <c r="A777" s="218" t="s">
        <v>11571</v>
      </c>
      <c r="B777" s="218" t="s">
        <v>11572</v>
      </c>
      <c r="C777" s="218" t="s">
        <v>3534</v>
      </c>
      <c r="D777" s="218" t="s">
        <v>11573</v>
      </c>
      <c r="E777" s="218" t="s">
        <v>1935</v>
      </c>
      <c r="F777" s="218" t="s">
        <v>1840</v>
      </c>
      <c r="G777" s="218" t="s">
        <v>1841</v>
      </c>
    </row>
    <row r="778" spans="1:7" x14ac:dyDescent="0.15">
      <c r="A778" s="218" t="s">
        <v>3642</v>
      </c>
      <c r="B778" s="218" t="s">
        <v>3643</v>
      </c>
      <c r="C778" s="218" t="s">
        <v>3534</v>
      </c>
      <c r="D778" s="218" t="s">
        <v>3644</v>
      </c>
      <c r="E778" s="218" t="s">
        <v>1839</v>
      </c>
      <c r="F778" s="218" t="s">
        <v>1840</v>
      </c>
      <c r="G778" s="218" t="s">
        <v>1841</v>
      </c>
    </row>
    <row r="779" spans="1:7" x14ac:dyDescent="0.15">
      <c r="A779" s="218" t="s">
        <v>3645</v>
      </c>
      <c r="B779" s="218" t="s">
        <v>3646</v>
      </c>
      <c r="C779" s="218" t="s">
        <v>3534</v>
      </c>
      <c r="D779" s="218" t="s">
        <v>3647</v>
      </c>
      <c r="E779" s="218" t="s">
        <v>1839</v>
      </c>
      <c r="F779" s="218" t="s">
        <v>1840</v>
      </c>
      <c r="G779" s="218" t="s">
        <v>1841</v>
      </c>
    </row>
    <row r="780" spans="1:7" x14ac:dyDescent="0.15">
      <c r="A780" s="218" t="s">
        <v>9287</v>
      </c>
      <c r="B780" s="218" t="s">
        <v>9288</v>
      </c>
      <c r="C780" s="218" t="s">
        <v>3534</v>
      </c>
      <c r="D780" s="218" t="s">
        <v>9289</v>
      </c>
      <c r="E780" s="218" t="s">
        <v>1839</v>
      </c>
      <c r="F780" s="218" t="s">
        <v>1840</v>
      </c>
      <c r="G780" s="218" t="s">
        <v>1841</v>
      </c>
    </row>
    <row r="781" spans="1:7" x14ac:dyDescent="0.15">
      <c r="A781" s="218" t="s">
        <v>3651</v>
      </c>
      <c r="B781" s="218" t="s">
        <v>3652</v>
      </c>
      <c r="C781" s="218" t="s">
        <v>3534</v>
      </c>
      <c r="D781" s="218" t="s">
        <v>3653</v>
      </c>
      <c r="E781" s="218" t="s">
        <v>1839</v>
      </c>
      <c r="F781" s="218" t="s">
        <v>1840</v>
      </c>
      <c r="G781" s="218" t="s">
        <v>1841</v>
      </c>
    </row>
    <row r="782" spans="1:7" x14ac:dyDescent="0.15">
      <c r="A782" s="218" t="s">
        <v>3654</v>
      </c>
      <c r="B782" s="218" t="s">
        <v>3655</v>
      </c>
      <c r="C782" s="218" t="s">
        <v>3534</v>
      </c>
      <c r="D782" s="218" t="s">
        <v>3656</v>
      </c>
      <c r="E782" s="218" t="s">
        <v>1839</v>
      </c>
      <c r="F782" s="218" t="s">
        <v>1840</v>
      </c>
      <c r="G782" s="218" t="s">
        <v>1841</v>
      </c>
    </row>
    <row r="783" spans="1:7" x14ac:dyDescent="0.15">
      <c r="A783" s="218" t="s">
        <v>9290</v>
      </c>
      <c r="B783" s="218" t="s">
        <v>9291</v>
      </c>
      <c r="C783" s="218" t="s">
        <v>3534</v>
      </c>
      <c r="D783" s="218" t="s">
        <v>9292</v>
      </c>
      <c r="E783" s="218" t="s">
        <v>1839</v>
      </c>
      <c r="F783" s="218" t="s">
        <v>1840</v>
      </c>
      <c r="G783" s="218" t="s">
        <v>1841</v>
      </c>
    </row>
    <row r="784" spans="1:7" x14ac:dyDescent="0.15">
      <c r="A784" s="218" t="s">
        <v>3657</v>
      </c>
      <c r="B784" s="218" t="s">
        <v>3658</v>
      </c>
      <c r="C784" s="218" t="s">
        <v>3534</v>
      </c>
      <c r="D784" s="218" t="s">
        <v>3659</v>
      </c>
      <c r="E784" s="218" t="s">
        <v>1839</v>
      </c>
      <c r="F784" s="218" t="s">
        <v>1840</v>
      </c>
      <c r="G784" s="218" t="s">
        <v>1841</v>
      </c>
    </row>
    <row r="785" spans="1:7" x14ac:dyDescent="0.15">
      <c r="A785" s="218" t="s">
        <v>9293</v>
      </c>
      <c r="B785" s="218" t="s">
        <v>9294</v>
      </c>
      <c r="C785" s="218" t="s">
        <v>3534</v>
      </c>
      <c r="D785" s="218" t="s">
        <v>9295</v>
      </c>
      <c r="E785" s="218" t="s">
        <v>1839</v>
      </c>
      <c r="F785" s="218" t="s">
        <v>1840</v>
      </c>
      <c r="G785" s="218" t="s">
        <v>1841</v>
      </c>
    </row>
    <row r="786" spans="1:7" x14ac:dyDescent="0.15">
      <c r="A786" s="218" t="s">
        <v>9296</v>
      </c>
      <c r="B786" s="218" t="s">
        <v>3660</v>
      </c>
      <c r="C786" s="218" t="s">
        <v>3534</v>
      </c>
      <c r="D786" s="218" t="s">
        <v>3661</v>
      </c>
      <c r="E786" s="218" t="s">
        <v>1839</v>
      </c>
      <c r="F786" s="218" t="s">
        <v>1840</v>
      </c>
      <c r="G786" s="218" t="s">
        <v>1841</v>
      </c>
    </row>
    <row r="787" spans="1:7" x14ac:dyDescent="0.15">
      <c r="A787" s="218" t="s">
        <v>9297</v>
      </c>
      <c r="B787" s="218" t="s">
        <v>9298</v>
      </c>
      <c r="C787" s="218" t="s">
        <v>3534</v>
      </c>
      <c r="D787" s="218" t="s">
        <v>9299</v>
      </c>
      <c r="E787" s="218" t="s">
        <v>1839</v>
      </c>
      <c r="F787" s="218" t="s">
        <v>1840</v>
      </c>
      <c r="G787" s="218" t="s">
        <v>1841</v>
      </c>
    </row>
    <row r="788" spans="1:7" x14ac:dyDescent="0.15">
      <c r="A788" s="218" t="s">
        <v>3662</v>
      </c>
      <c r="B788" s="218" t="s">
        <v>3663</v>
      </c>
      <c r="C788" s="218" t="s">
        <v>3534</v>
      </c>
      <c r="D788" s="218" t="s">
        <v>3664</v>
      </c>
      <c r="E788" s="218" t="s">
        <v>1839</v>
      </c>
      <c r="F788" s="218" t="s">
        <v>1840</v>
      </c>
      <c r="G788" s="218" t="s">
        <v>1841</v>
      </c>
    </row>
    <row r="789" spans="1:7" x14ac:dyDescent="0.15">
      <c r="A789" s="218" t="s">
        <v>9300</v>
      </c>
      <c r="B789" s="218" t="s">
        <v>9301</v>
      </c>
      <c r="C789" s="218" t="s">
        <v>3534</v>
      </c>
      <c r="D789" s="218" t="s">
        <v>9302</v>
      </c>
      <c r="E789" s="218" t="s">
        <v>1839</v>
      </c>
      <c r="F789" s="218" t="s">
        <v>1840</v>
      </c>
      <c r="G789" s="218" t="s">
        <v>1841</v>
      </c>
    </row>
    <row r="790" spans="1:7" x14ac:dyDescent="0.15">
      <c r="A790" s="218" t="s">
        <v>9303</v>
      </c>
      <c r="B790" s="218" t="s">
        <v>9304</v>
      </c>
      <c r="C790" s="218" t="s">
        <v>3534</v>
      </c>
      <c r="D790" s="218" t="s">
        <v>9305</v>
      </c>
      <c r="E790" s="218" t="s">
        <v>1839</v>
      </c>
      <c r="F790" s="218" t="s">
        <v>1840</v>
      </c>
      <c r="G790" s="218" t="s">
        <v>1841</v>
      </c>
    </row>
    <row r="791" spans="1:7" x14ac:dyDescent="0.15">
      <c r="A791" s="218" t="s">
        <v>3666</v>
      </c>
      <c r="B791" s="218" t="s">
        <v>3667</v>
      </c>
      <c r="C791" s="218" t="s">
        <v>3534</v>
      </c>
      <c r="D791" s="218" t="s">
        <v>3665</v>
      </c>
      <c r="E791" s="218" t="s">
        <v>1839</v>
      </c>
      <c r="F791" s="218" t="s">
        <v>1840</v>
      </c>
      <c r="G791" s="218" t="s">
        <v>1841</v>
      </c>
    </row>
    <row r="792" spans="1:7" x14ac:dyDescent="0.15">
      <c r="A792" s="218" t="s">
        <v>3668</v>
      </c>
      <c r="B792" s="218" t="s">
        <v>3669</v>
      </c>
      <c r="C792" s="218" t="s">
        <v>3534</v>
      </c>
      <c r="D792" s="218" t="s">
        <v>3670</v>
      </c>
      <c r="E792" s="218" t="s">
        <v>1839</v>
      </c>
      <c r="F792" s="218" t="s">
        <v>1840</v>
      </c>
      <c r="G792" s="218" t="s">
        <v>1841</v>
      </c>
    </row>
    <row r="793" spans="1:7" x14ac:dyDescent="0.15">
      <c r="A793" s="218" t="s">
        <v>9306</v>
      </c>
      <c r="B793" s="218" t="s">
        <v>9307</v>
      </c>
      <c r="C793" s="218" t="s">
        <v>3534</v>
      </c>
      <c r="D793" s="218" t="s">
        <v>1180</v>
      </c>
      <c r="E793" s="218" t="s">
        <v>1839</v>
      </c>
      <c r="F793" s="218" t="s">
        <v>1840</v>
      </c>
      <c r="G793" s="218" t="s">
        <v>1841</v>
      </c>
    </row>
    <row r="794" spans="1:7" x14ac:dyDescent="0.15">
      <c r="A794" s="218" t="s">
        <v>3674</v>
      </c>
      <c r="B794" s="218" t="s">
        <v>3675</v>
      </c>
      <c r="C794" s="218" t="s">
        <v>3534</v>
      </c>
      <c r="D794" s="218" t="s">
        <v>3676</v>
      </c>
      <c r="E794" s="218" t="s">
        <v>1935</v>
      </c>
      <c r="F794" s="218" t="s">
        <v>1840</v>
      </c>
      <c r="G794" s="218" t="s">
        <v>1841</v>
      </c>
    </row>
    <row r="795" spans="1:7" x14ac:dyDescent="0.15">
      <c r="A795" s="218" t="s">
        <v>9308</v>
      </c>
      <c r="B795" s="218" t="s">
        <v>1071</v>
      </c>
      <c r="C795" s="218" t="s">
        <v>3534</v>
      </c>
      <c r="D795" s="218" t="s">
        <v>1072</v>
      </c>
      <c r="E795" s="218" t="s">
        <v>1839</v>
      </c>
      <c r="F795" s="218" t="s">
        <v>1840</v>
      </c>
      <c r="G795" s="218" t="s">
        <v>1841</v>
      </c>
    </row>
    <row r="796" spans="1:7" x14ac:dyDescent="0.15">
      <c r="A796" s="218" t="s">
        <v>3677</v>
      </c>
      <c r="B796" s="218" t="s">
        <v>3678</v>
      </c>
      <c r="C796" s="218" t="s">
        <v>3534</v>
      </c>
      <c r="D796" s="218" t="s">
        <v>3679</v>
      </c>
      <c r="E796" s="218" t="s">
        <v>1839</v>
      </c>
      <c r="F796" s="218" t="s">
        <v>1840</v>
      </c>
      <c r="G796" s="218" t="s">
        <v>1841</v>
      </c>
    </row>
    <row r="797" spans="1:7" x14ac:dyDescent="0.15">
      <c r="A797" s="218" t="s">
        <v>3680</v>
      </c>
      <c r="B797" s="218" t="s">
        <v>3681</v>
      </c>
      <c r="C797" s="218" t="s">
        <v>3534</v>
      </c>
      <c r="D797" s="218" t="s">
        <v>1533</v>
      </c>
      <c r="E797" s="218" t="s">
        <v>1839</v>
      </c>
      <c r="F797" s="218" t="s">
        <v>1840</v>
      </c>
      <c r="G797" s="218" t="s">
        <v>1841</v>
      </c>
    </row>
    <row r="798" spans="1:7" x14ac:dyDescent="0.15">
      <c r="A798" s="218" t="s">
        <v>9311</v>
      </c>
      <c r="B798" s="218" t="s">
        <v>9312</v>
      </c>
      <c r="C798" s="218" t="s">
        <v>3534</v>
      </c>
      <c r="D798" s="218" t="s">
        <v>9313</v>
      </c>
      <c r="E798" s="218" t="s">
        <v>1839</v>
      </c>
      <c r="F798" s="218" t="s">
        <v>1840</v>
      </c>
      <c r="G798" s="218" t="s">
        <v>1841</v>
      </c>
    </row>
    <row r="799" spans="1:7" x14ac:dyDescent="0.15">
      <c r="A799" s="218" t="s">
        <v>3682</v>
      </c>
      <c r="B799" s="218" t="s">
        <v>3683</v>
      </c>
      <c r="C799" s="218" t="s">
        <v>3534</v>
      </c>
      <c r="D799" s="218" t="s">
        <v>3684</v>
      </c>
      <c r="E799" s="218" t="s">
        <v>1839</v>
      </c>
      <c r="F799" s="218" t="s">
        <v>1840</v>
      </c>
      <c r="G799" s="218" t="s">
        <v>1841</v>
      </c>
    </row>
    <row r="800" spans="1:7" x14ac:dyDescent="0.15">
      <c r="A800" s="218" t="s">
        <v>9314</v>
      </c>
      <c r="B800" s="218" t="s">
        <v>9315</v>
      </c>
      <c r="C800" s="218" t="s">
        <v>3534</v>
      </c>
      <c r="D800" s="218" t="s">
        <v>9316</v>
      </c>
      <c r="E800" s="218" t="s">
        <v>1839</v>
      </c>
      <c r="F800" s="218" t="s">
        <v>1840</v>
      </c>
      <c r="G800" s="218" t="s">
        <v>1841</v>
      </c>
    </row>
    <row r="801" spans="1:7" x14ac:dyDescent="0.15">
      <c r="A801" s="218" t="s">
        <v>9317</v>
      </c>
      <c r="B801" s="218" t="s">
        <v>9318</v>
      </c>
      <c r="C801" s="218" t="s">
        <v>3534</v>
      </c>
      <c r="D801" s="218" t="s">
        <v>9319</v>
      </c>
      <c r="E801" s="218" t="s">
        <v>1839</v>
      </c>
      <c r="F801" s="218" t="s">
        <v>1840</v>
      </c>
      <c r="G801" s="218" t="s">
        <v>1841</v>
      </c>
    </row>
    <row r="802" spans="1:7" x14ac:dyDescent="0.15">
      <c r="A802" s="218" t="s">
        <v>3685</v>
      </c>
      <c r="B802" s="218" t="s">
        <v>3686</v>
      </c>
      <c r="C802" s="218" t="s">
        <v>3534</v>
      </c>
      <c r="D802" s="218" t="s">
        <v>3687</v>
      </c>
      <c r="E802" s="218" t="s">
        <v>1839</v>
      </c>
      <c r="F802" s="218" t="s">
        <v>1840</v>
      </c>
      <c r="G802" s="218" t="s">
        <v>1841</v>
      </c>
    </row>
    <row r="803" spans="1:7" x14ac:dyDescent="0.15">
      <c r="A803" s="218" t="s">
        <v>9320</v>
      </c>
      <c r="B803" s="218" t="s">
        <v>9321</v>
      </c>
      <c r="C803" s="218" t="s">
        <v>3534</v>
      </c>
      <c r="D803" s="218" t="s">
        <v>9322</v>
      </c>
      <c r="E803" s="218" t="s">
        <v>1839</v>
      </c>
      <c r="F803" s="218" t="s">
        <v>1840</v>
      </c>
      <c r="G803" s="218" t="s">
        <v>1841</v>
      </c>
    </row>
    <row r="804" spans="1:7" x14ac:dyDescent="0.15">
      <c r="A804" s="218" t="s">
        <v>3688</v>
      </c>
      <c r="B804" s="218" t="s">
        <v>3689</v>
      </c>
      <c r="C804" s="218" t="s">
        <v>3534</v>
      </c>
      <c r="D804" s="218" t="s">
        <v>3690</v>
      </c>
      <c r="E804" s="218" t="s">
        <v>1839</v>
      </c>
      <c r="F804" s="218" t="s">
        <v>1840</v>
      </c>
      <c r="G804" s="218" t="s">
        <v>1841</v>
      </c>
    </row>
    <row r="805" spans="1:7" x14ac:dyDescent="0.15">
      <c r="A805" s="218" t="s">
        <v>3691</v>
      </c>
      <c r="B805" s="218" t="s">
        <v>3692</v>
      </c>
      <c r="C805" s="218" t="s">
        <v>3534</v>
      </c>
      <c r="D805" s="218" t="s">
        <v>3693</v>
      </c>
      <c r="E805" s="218" t="s">
        <v>1839</v>
      </c>
      <c r="F805" s="218" t="s">
        <v>1840</v>
      </c>
      <c r="G805" s="218" t="s">
        <v>1841</v>
      </c>
    </row>
    <row r="806" spans="1:7" x14ac:dyDescent="0.15">
      <c r="A806" s="218" t="s">
        <v>3694</v>
      </c>
      <c r="B806" s="218" t="s">
        <v>3695</v>
      </c>
      <c r="C806" s="218" t="s">
        <v>3534</v>
      </c>
      <c r="D806" s="218" t="s">
        <v>3696</v>
      </c>
      <c r="E806" s="218" t="s">
        <v>1839</v>
      </c>
      <c r="F806" s="218" t="s">
        <v>1840</v>
      </c>
      <c r="G806" s="218" t="s">
        <v>1841</v>
      </c>
    </row>
    <row r="807" spans="1:7" x14ac:dyDescent="0.15">
      <c r="A807" s="218" t="s">
        <v>3697</v>
      </c>
      <c r="B807" s="218" t="s">
        <v>3698</v>
      </c>
      <c r="C807" s="218" t="s">
        <v>3534</v>
      </c>
      <c r="D807" s="218" t="s">
        <v>3699</v>
      </c>
      <c r="E807" s="218" t="s">
        <v>1839</v>
      </c>
      <c r="F807" s="218" t="s">
        <v>1840</v>
      </c>
      <c r="G807" s="218" t="s">
        <v>1841</v>
      </c>
    </row>
    <row r="808" spans="1:7" x14ac:dyDescent="0.15">
      <c r="A808" s="218" t="s">
        <v>9323</v>
      </c>
      <c r="B808" s="218" t="s">
        <v>9324</v>
      </c>
      <c r="C808" s="218" t="s">
        <v>3534</v>
      </c>
      <c r="D808" s="218" t="s">
        <v>9325</v>
      </c>
      <c r="E808" s="218" t="s">
        <v>1839</v>
      </c>
      <c r="F808" s="218" t="s">
        <v>1840</v>
      </c>
      <c r="G808" s="218" t="s">
        <v>1841</v>
      </c>
    </row>
    <row r="809" spans="1:7" x14ac:dyDescent="0.15">
      <c r="A809" s="218" t="s">
        <v>3700</v>
      </c>
      <c r="B809" s="218" t="s">
        <v>3701</v>
      </c>
      <c r="C809" s="218" t="s">
        <v>3534</v>
      </c>
      <c r="D809" s="218" t="s">
        <v>3702</v>
      </c>
      <c r="E809" s="218" t="s">
        <v>1839</v>
      </c>
      <c r="F809" s="218" t="s">
        <v>1840</v>
      </c>
      <c r="G809" s="218" t="s">
        <v>1841</v>
      </c>
    </row>
    <row r="810" spans="1:7" x14ac:dyDescent="0.15">
      <c r="A810" s="218" t="s">
        <v>3703</v>
      </c>
      <c r="B810" s="218" t="s">
        <v>3704</v>
      </c>
      <c r="C810" s="218" t="s">
        <v>3534</v>
      </c>
      <c r="D810" s="218" t="s">
        <v>3705</v>
      </c>
      <c r="E810" s="218" t="s">
        <v>1935</v>
      </c>
      <c r="F810" s="218" t="s">
        <v>1840</v>
      </c>
      <c r="G810" s="218" t="s">
        <v>1841</v>
      </c>
    </row>
    <row r="811" spans="1:7" x14ac:dyDescent="0.15">
      <c r="A811" s="218" t="s">
        <v>3706</v>
      </c>
      <c r="B811" s="218" t="s">
        <v>3707</v>
      </c>
      <c r="C811" s="218" t="s">
        <v>3534</v>
      </c>
      <c r="D811" s="218" t="s">
        <v>3708</v>
      </c>
      <c r="E811" s="218" t="s">
        <v>1839</v>
      </c>
      <c r="F811" s="218" t="s">
        <v>1840</v>
      </c>
      <c r="G811" s="218" t="s">
        <v>1841</v>
      </c>
    </row>
    <row r="812" spans="1:7" x14ac:dyDescent="0.15">
      <c r="A812" s="218" t="s">
        <v>3709</v>
      </c>
      <c r="B812" s="218" t="s">
        <v>3710</v>
      </c>
      <c r="C812" s="218" t="s">
        <v>3534</v>
      </c>
      <c r="D812" s="218" t="s">
        <v>3711</v>
      </c>
      <c r="E812" s="218" t="s">
        <v>1839</v>
      </c>
      <c r="F812" s="218" t="s">
        <v>1840</v>
      </c>
      <c r="G812" s="218" t="s">
        <v>1841</v>
      </c>
    </row>
    <row r="813" spans="1:7" x14ac:dyDescent="0.15">
      <c r="A813" s="218" t="s">
        <v>3712</v>
      </c>
      <c r="B813" s="218" t="s">
        <v>3713</v>
      </c>
      <c r="C813" s="218" t="s">
        <v>3534</v>
      </c>
      <c r="D813" s="218" t="s">
        <v>3714</v>
      </c>
      <c r="E813" s="218" t="s">
        <v>1839</v>
      </c>
      <c r="F813" s="218" t="s">
        <v>1840</v>
      </c>
      <c r="G813" s="218" t="s">
        <v>1841</v>
      </c>
    </row>
    <row r="814" spans="1:7" x14ac:dyDescent="0.15">
      <c r="A814" s="218" t="s">
        <v>9326</v>
      </c>
      <c r="B814" s="218" t="s">
        <v>9327</v>
      </c>
      <c r="C814" s="218" t="s">
        <v>3534</v>
      </c>
      <c r="D814" s="218" t="s">
        <v>9328</v>
      </c>
      <c r="E814" s="218" t="s">
        <v>1839</v>
      </c>
      <c r="F814" s="218" t="s">
        <v>1840</v>
      </c>
      <c r="G814" s="218" t="s">
        <v>1841</v>
      </c>
    </row>
    <row r="815" spans="1:7" x14ac:dyDescent="0.15">
      <c r="A815" s="218" t="s">
        <v>3715</v>
      </c>
      <c r="B815" s="218" t="s">
        <v>3716</v>
      </c>
      <c r="C815" s="218" t="s">
        <v>3534</v>
      </c>
      <c r="D815" s="218" t="s">
        <v>3717</v>
      </c>
      <c r="E815" s="218" t="s">
        <v>1839</v>
      </c>
      <c r="F815" s="218" t="s">
        <v>1840</v>
      </c>
      <c r="G815" s="218" t="s">
        <v>1841</v>
      </c>
    </row>
    <row r="816" spans="1:7" x14ac:dyDescent="0.15">
      <c r="A816" s="218" t="s">
        <v>3718</v>
      </c>
      <c r="B816" s="218" t="s">
        <v>3719</v>
      </c>
      <c r="C816" s="218" t="s">
        <v>3534</v>
      </c>
      <c r="D816" s="218" t="s">
        <v>3720</v>
      </c>
      <c r="E816" s="218" t="s">
        <v>1839</v>
      </c>
      <c r="F816" s="218" t="s">
        <v>1840</v>
      </c>
      <c r="G816" s="218" t="s">
        <v>1841</v>
      </c>
    </row>
    <row r="817" spans="1:7" x14ac:dyDescent="0.15">
      <c r="A817" s="218" t="s">
        <v>3721</v>
      </c>
      <c r="B817" s="218" t="s">
        <v>3722</v>
      </c>
      <c r="C817" s="218" t="s">
        <v>3534</v>
      </c>
      <c r="D817" s="218" t="s">
        <v>3723</v>
      </c>
      <c r="E817" s="218" t="s">
        <v>1839</v>
      </c>
      <c r="F817" s="218" t="s">
        <v>1840</v>
      </c>
      <c r="G817" s="218" t="s">
        <v>1841</v>
      </c>
    </row>
    <row r="818" spans="1:7" x14ac:dyDescent="0.15">
      <c r="A818" s="218" t="s">
        <v>3727</v>
      </c>
      <c r="B818" s="218" t="s">
        <v>3728</v>
      </c>
      <c r="C818" s="218" t="s">
        <v>3534</v>
      </c>
      <c r="D818" s="218" t="s">
        <v>3729</v>
      </c>
      <c r="E818" s="218" t="s">
        <v>1839</v>
      </c>
      <c r="F818" s="218" t="s">
        <v>1840</v>
      </c>
      <c r="G818" s="218" t="s">
        <v>1841</v>
      </c>
    </row>
    <row r="819" spans="1:7" x14ac:dyDescent="0.15">
      <c r="A819" s="218" t="s">
        <v>9329</v>
      </c>
      <c r="B819" s="218" t="s">
        <v>1316</v>
      </c>
      <c r="C819" s="218" t="s">
        <v>3534</v>
      </c>
      <c r="D819" s="218" t="s">
        <v>1317</v>
      </c>
      <c r="E819" s="218" t="s">
        <v>1839</v>
      </c>
      <c r="F819" s="218" t="s">
        <v>1840</v>
      </c>
      <c r="G819" s="218" t="s">
        <v>1841</v>
      </c>
    </row>
    <row r="820" spans="1:7" x14ac:dyDescent="0.15">
      <c r="A820" s="218" t="s">
        <v>3730</v>
      </c>
      <c r="B820" s="218" t="s">
        <v>3731</v>
      </c>
      <c r="C820" s="218" t="s">
        <v>3534</v>
      </c>
      <c r="D820" s="218" t="s">
        <v>3732</v>
      </c>
      <c r="E820" s="218" t="s">
        <v>1839</v>
      </c>
      <c r="F820" s="218" t="s">
        <v>1840</v>
      </c>
      <c r="G820" s="218" t="s">
        <v>1841</v>
      </c>
    </row>
    <row r="821" spans="1:7" x14ac:dyDescent="0.15">
      <c r="A821" s="218" t="s">
        <v>9330</v>
      </c>
      <c r="B821" s="218" t="s">
        <v>1219</v>
      </c>
      <c r="C821" s="218" t="s">
        <v>3534</v>
      </c>
      <c r="D821" s="218" t="s">
        <v>1220</v>
      </c>
      <c r="E821" s="218" t="s">
        <v>1839</v>
      </c>
      <c r="F821" s="218" t="s">
        <v>1840</v>
      </c>
      <c r="G821" s="218" t="s">
        <v>1841</v>
      </c>
    </row>
    <row r="822" spans="1:7" x14ac:dyDescent="0.15">
      <c r="A822" s="218" t="s">
        <v>9331</v>
      </c>
      <c r="B822" s="218" t="s">
        <v>1187</v>
      </c>
      <c r="C822" s="218" t="s">
        <v>3534</v>
      </c>
      <c r="D822" s="218" t="s">
        <v>1188</v>
      </c>
      <c r="E822" s="218" t="s">
        <v>1839</v>
      </c>
      <c r="F822" s="218" t="s">
        <v>1840</v>
      </c>
      <c r="G822" s="218" t="s">
        <v>1841</v>
      </c>
    </row>
    <row r="823" spans="1:7" x14ac:dyDescent="0.15">
      <c r="A823" s="218" t="s">
        <v>3733</v>
      </c>
      <c r="B823" s="218" t="s">
        <v>3734</v>
      </c>
      <c r="C823" s="218" t="s">
        <v>3534</v>
      </c>
      <c r="D823" s="218" t="s">
        <v>3735</v>
      </c>
      <c r="E823" s="218" t="s">
        <v>1839</v>
      </c>
      <c r="F823" s="218" t="s">
        <v>1840</v>
      </c>
      <c r="G823" s="218" t="s">
        <v>1841</v>
      </c>
    </row>
    <row r="824" spans="1:7" x14ac:dyDescent="0.15">
      <c r="A824" s="218" t="s">
        <v>9332</v>
      </c>
      <c r="B824" s="218" t="s">
        <v>9333</v>
      </c>
      <c r="C824" s="218" t="s">
        <v>3534</v>
      </c>
      <c r="D824" s="218" t="s">
        <v>9334</v>
      </c>
      <c r="E824" s="218" t="s">
        <v>1839</v>
      </c>
      <c r="F824" s="218" t="s">
        <v>1840</v>
      </c>
      <c r="G824" s="218" t="s">
        <v>1841</v>
      </c>
    </row>
    <row r="825" spans="1:7" x14ac:dyDescent="0.15">
      <c r="A825" s="218" t="s">
        <v>3736</v>
      </c>
      <c r="B825" s="218" t="s">
        <v>3737</v>
      </c>
      <c r="C825" s="218" t="s">
        <v>3534</v>
      </c>
      <c r="D825" s="218" t="s">
        <v>3738</v>
      </c>
      <c r="E825" s="218" t="s">
        <v>1839</v>
      </c>
      <c r="F825" s="218" t="s">
        <v>1840</v>
      </c>
      <c r="G825" s="218" t="s">
        <v>1841</v>
      </c>
    </row>
    <row r="826" spans="1:7" x14ac:dyDescent="0.15">
      <c r="A826" s="218" t="s">
        <v>3739</v>
      </c>
      <c r="B826" s="218" t="s">
        <v>3740</v>
      </c>
      <c r="C826" s="218" t="s">
        <v>3534</v>
      </c>
      <c r="D826" s="218" t="s">
        <v>3741</v>
      </c>
      <c r="E826" s="218" t="s">
        <v>1839</v>
      </c>
      <c r="F826" s="218" t="s">
        <v>1840</v>
      </c>
      <c r="G826" s="218" t="s">
        <v>1841</v>
      </c>
    </row>
    <row r="827" spans="1:7" x14ac:dyDescent="0.15">
      <c r="A827" s="218" t="s">
        <v>9335</v>
      </c>
      <c r="B827" s="218" t="s">
        <v>9336</v>
      </c>
      <c r="C827" s="218" t="s">
        <v>3534</v>
      </c>
      <c r="D827" s="218" t="s">
        <v>9337</v>
      </c>
      <c r="E827" s="218" t="s">
        <v>1839</v>
      </c>
      <c r="F827" s="218" t="s">
        <v>1840</v>
      </c>
      <c r="G827" s="218" t="s">
        <v>1841</v>
      </c>
    </row>
    <row r="828" spans="1:7" x14ac:dyDescent="0.15">
      <c r="A828" s="218" t="s">
        <v>9338</v>
      </c>
      <c r="B828" s="218" t="s">
        <v>9339</v>
      </c>
      <c r="C828" s="218" t="s">
        <v>3534</v>
      </c>
      <c r="D828" s="218" t="s">
        <v>9340</v>
      </c>
      <c r="E828" s="218" t="s">
        <v>1839</v>
      </c>
      <c r="F828" s="218" t="s">
        <v>1840</v>
      </c>
      <c r="G828" s="218" t="s">
        <v>1841</v>
      </c>
    </row>
    <row r="829" spans="1:7" x14ac:dyDescent="0.15">
      <c r="A829" s="218" t="s">
        <v>9341</v>
      </c>
      <c r="B829" s="218" t="s">
        <v>9342</v>
      </c>
      <c r="C829" s="218" t="s">
        <v>3534</v>
      </c>
      <c r="D829" s="218" t="s">
        <v>9343</v>
      </c>
      <c r="E829" s="218" t="s">
        <v>1839</v>
      </c>
      <c r="F829" s="218" t="s">
        <v>1840</v>
      </c>
      <c r="G829" s="218" t="s">
        <v>1841</v>
      </c>
    </row>
    <row r="830" spans="1:7" x14ac:dyDescent="0.15">
      <c r="A830" s="218" t="s">
        <v>3742</v>
      </c>
      <c r="B830" s="218" t="s">
        <v>3743</v>
      </c>
      <c r="C830" s="218" t="s">
        <v>3534</v>
      </c>
      <c r="D830" s="218" t="s">
        <v>3744</v>
      </c>
      <c r="E830" s="218" t="s">
        <v>1839</v>
      </c>
      <c r="F830" s="218" t="s">
        <v>1840</v>
      </c>
      <c r="G830" s="218" t="s">
        <v>1841</v>
      </c>
    </row>
    <row r="831" spans="1:7" x14ac:dyDescent="0.15">
      <c r="A831" s="218" t="s">
        <v>3745</v>
      </c>
      <c r="B831" s="218" t="s">
        <v>3746</v>
      </c>
      <c r="C831" s="218" t="s">
        <v>3534</v>
      </c>
      <c r="D831" s="218" t="s">
        <v>3747</v>
      </c>
      <c r="E831" s="218" t="s">
        <v>1935</v>
      </c>
      <c r="F831" s="218" t="s">
        <v>1840</v>
      </c>
      <c r="G831" s="218" t="s">
        <v>1841</v>
      </c>
    </row>
    <row r="832" spans="1:7" x14ac:dyDescent="0.15">
      <c r="A832" s="218" t="s">
        <v>3748</v>
      </c>
      <c r="B832" s="218" t="s">
        <v>3749</v>
      </c>
      <c r="C832" s="218" t="s">
        <v>3534</v>
      </c>
      <c r="D832" s="218" t="s">
        <v>3750</v>
      </c>
      <c r="E832" s="218" t="s">
        <v>1839</v>
      </c>
      <c r="F832" s="218" t="s">
        <v>1840</v>
      </c>
      <c r="G832" s="218" t="s">
        <v>1841</v>
      </c>
    </row>
    <row r="833" spans="1:7" x14ac:dyDescent="0.15">
      <c r="A833" s="218" t="s">
        <v>3751</v>
      </c>
      <c r="B833" s="218" t="s">
        <v>3752</v>
      </c>
      <c r="C833" s="218" t="s">
        <v>3534</v>
      </c>
      <c r="D833" s="218" t="s">
        <v>3753</v>
      </c>
      <c r="E833" s="218" t="s">
        <v>1839</v>
      </c>
      <c r="F833" s="218" t="s">
        <v>1840</v>
      </c>
      <c r="G833" s="218" t="s">
        <v>1841</v>
      </c>
    </row>
    <row r="834" spans="1:7" x14ac:dyDescent="0.15">
      <c r="A834" s="218" t="s">
        <v>3754</v>
      </c>
      <c r="B834" s="218" t="s">
        <v>3755</v>
      </c>
      <c r="C834" s="218" t="s">
        <v>3534</v>
      </c>
      <c r="D834" s="218" t="s">
        <v>3756</v>
      </c>
      <c r="E834" s="218" t="s">
        <v>1839</v>
      </c>
      <c r="F834" s="218" t="s">
        <v>1840</v>
      </c>
      <c r="G834" s="218" t="s">
        <v>1841</v>
      </c>
    </row>
    <row r="835" spans="1:7" x14ac:dyDescent="0.15">
      <c r="A835" s="218" t="s">
        <v>3757</v>
      </c>
      <c r="B835" s="218" t="s">
        <v>3758</v>
      </c>
      <c r="C835" s="218" t="s">
        <v>3534</v>
      </c>
      <c r="D835" s="218" t="s">
        <v>3759</v>
      </c>
      <c r="E835" s="218" t="s">
        <v>1839</v>
      </c>
      <c r="F835" s="218" t="s">
        <v>1840</v>
      </c>
      <c r="G835" s="218" t="s">
        <v>1841</v>
      </c>
    </row>
    <row r="836" spans="1:7" x14ac:dyDescent="0.15">
      <c r="A836" s="218" t="s">
        <v>3760</v>
      </c>
      <c r="B836" s="218" t="s">
        <v>3761</v>
      </c>
      <c r="C836" s="218" t="s">
        <v>3534</v>
      </c>
      <c r="D836" s="218" t="s">
        <v>3762</v>
      </c>
      <c r="E836" s="218" t="s">
        <v>1839</v>
      </c>
      <c r="F836" s="218" t="s">
        <v>1840</v>
      </c>
      <c r="G836" s="218" t="s">
        <v>1841</v>
      </c>
    </row>
    <row r="837" spans="1:7" x14ac:dyDescent="0.15">
      <c r="A837" s="218" t="s">
        <v>3763</v>
      </c>
      <c r="B837" s="218" t="s">
        <v>3764</v>
      </c>
      <c r="C837" s="218" t="s">
        <v>3534</v>
      </c>
      <c r="D837" s="218" t="s">
        <v>3765</v>
      </c>
      <c r="E837" s="218" t="s">
        <v>1839</v>
      </c>
      <c r="F837" s="218" t="s">
        <v>1840</v>
      </c>
      <c r="G837" s="218" t="s">
        <v>1841</v>
      </c>
    </row>
    <row r="838" spans="1:7" x14ac:dyDescent="0.15">
      <c r="A838" s="218" t="s">
        <v>11574</v>
      </c>
      <c r="B838" s="218" t="s">
        <v>11575</v>
      </c>
      <c r="C838" s="218" t="s">
        <v>3534</v>
      </c>
      <c r="D838" s="218" t="s">
        <v>11576</v>
      </c>
      <c r="E838" s="218" t="s">
        <v>1839</v>
      </c>
      <c r="F838" s="218" t="s">
        <v>1840</v>
      </c>
      <c r="G838" s="218" t="s">
        <v>1841</v>
      </c>
    </row>
    <row r="839" spans="1:7" x14ac:dyDescent="0.15">
      <c r="A839" s="218" t="s">
        <v>9344</v>
      </c>
      <c r="B839" s="218" t="s">
        <v>1678</v>
      </c>
      <c r="C839" s="218" t="s">
        <v>3534</v>
      </c>
      <c r="D839" s="218" t="s">
        <v>1679</v>
      </c>
      <c r="E839" s="218" t="s">
        <v>1839</v>
      </c>
      <c r="F839" s="218" t="s">
        <v>1840</v>
      </c>
      <c r="G839" s="218" t="s">
        <v>1841</v>
      </c>
    </row>
    <row r="840" spans="1:7" x14ac:dyDescent="0.15">
      <c r="A840" s="218" t="s">
        <v>9345</v>
      </c>
      <c r="B840" s="218" t="s">
        <v>9346</v>
      </c>
      <c r="C840" s="218" t="s">
        <v>3534</v>
      </c>
      <c r="D840" s="218" t="s">
        <v>9347</v>
      </c>
      <c r="E840" s="218" t="s">
        <v>1839</v>
      </c>
      <c r="F840" s="218" t="s">
        <v>1840</v>
      </c>
      <c r="G840" s="218" t="s">
        <v>1841</v>
      </c>
    </row>
    <row r="841" spans="1:7" x14ac:dyDescent="0.15">
      <c r="A841" s="218" t="s">
        <v>3766</v>
      </c>
      <c r="B841" s="218" t="s">
        <v>3767</v>
      </c>
      <c r="C841" s="218" t="s">
        <v>3534</v>
      </c>
      <c r="D841" s="218" t="s">
        <v>3768</v>
      </c>
      <c r="E841" s="218" t="s">
        <v>1839</v>
      </c>
      <c r="F841" s="218" t="s">
        <v>1840</v>
      </c>
      <c r="G841" s="218" t="s">
        <v>1841</v>
      </c>
    </row>
    <row r="842" spans="1:7" x14ac:dyDescent="0.15">
      <c r="A842" s="218" t="s">
        <v>9348</v>
      </c>
      <c r="B842" s="218" t="s">
        <v>1469</v>
      </c>
      <c r="C842" s="218" t="s">
        <v>3534</v>
      </c>
      <c r="D842" s="218" t="s">
        <v>1470</v>
      </c>
      <c r="E842" s="218" t="s">
        <v>1839</v>
      </c>
      <c r="F842" s="218" t="s">
        <v>1840</v>
      </c>
      <c r="G842" s="218" t="s">
        <v>1841</v>
      </c>
    </row>
    <row r="843" spans="1:7" x14ac:dyDescent="0.15">
      <c r="A843" s="218" t="s">
        <v>9349</v>
      </c>
      <c r="B843" s="218" t="s">
        <v>9350</v>
      </c>
      <c r="C843" s="218" t="s">
        <v>3534</v>
      </c>
      <c r="D843" s="218" t="s">
        <v>9351</v>
      </c>
      <c r="E843" s="218" t="s">
        <v>1839</v>
      </c>
      <c r="F843" s="218" t="s">
        <v>1840</v>
      </c>
      <c r="G843" s="218" t="s">
        <v>1841</v>
      </c>
    </row>
    <row r="844" spans="1:7" x14ac:dyDescent="0.15">
      <c r="A844" s="218" t="s">
        <v>9352</v>
      </c>
      <c r="B844" s="218" t="s">
        <v>9353</v>
      </c>
      <c r="C844" s="218" t="s">
        <v>3534</v>
      </c>
      <c r="D844" s="218" t="s">
        <v>9354</v>
      </c>
      <c r="E844" s="218" t="s">
        <v>1839</v>
      </c>
      <c r="F844" s="218" t="s">
        <v>1840</v>
      </c>
      <c r="G844" s="218" t="s">
        <v>1841</v>
      </c>
    </row>
    <row r="845" spans="1:7" x14ac:dyDescent="0.15">
      <c r="A845" s="218" t="s">
        <v>9355</v>
      </c>
      <c r="B845" s="218" t="s">
        <v>9356</v>
      </c>
      <c r="C845" s="218" t="s">
        <v>3534</v>
      </c>
      <c r="D845" s="218" t="s">
        <v>9357</v>
      </c>
      <c r="E845" s="218" t="s">
        <v>1839</v>
      </c>
      <c r="F845" s="218" t="s">
        <v>1840</v>
      </c>
      <c r="G845" s="218" t="s">
        <v>1841</v>
      </c>
    </row>
    <row r="846" spans="1:7" x14ac:dyDescent="0.15">
      <c r="A846" s="218" t="s">
        <v>9358</v>
      </c>
      <c r="B846" s="218" t="s">
        <v>9359</v>
      </c>
      <c r="C846" s="218" t="s">
        <v>3534</v>
      </c>
      <c r="D846" s="218" t="s">
        <v>9360</v>
      </c>
      <c r="E846" s="218" t="s">
        <v>1839</v>
      </c>
      <c r="F846" s="218" t="s">
        <v>1840</v>
      </c>
      <c r="G846" s="218" t="s">
        <v>1841</v>
      </c>
    </row>
    <row r="847" spans="1:7" x14ac:dyDescent="0.15">
      <c r="A847" s="218" t="s">
        <v>3769</v>
      </c>
      <c r="B847" s="218" t="s">
        <v>3770</v>
      </c>
      <c r="C847" s="218" t="s">
        <v>3534</v>
      </c>
      <c r="D847" s="218" t="s">
        <v>3771</v>
      </c>
      <c r="E847" s="218" t="s">
        <v>1839</v>
      </c>
      <c r="F847" s="218" t="s">
        <v>1840</v>
      </c>
      <c r="G847" s="218" t="s">
        <v>1841</v>
      </c>
    </row>
    <row r="848" spans="1:7" x14ac:dyDescent="0.15">
      <c r="A848" s="218" t="s">
        <v>9361</v>
      </c>
      <c r="B848" s="218" t="s">
        <v>9362</v>
      </c>
      <c r="C848" s="218" t="s">
        <v>3534</v>
      </c>
      <c r="D848" s="218" t="s">
        <v>9363</v>
      </c>
      <c r="E848" s="218" t="s">
        <v>1839</v>
      </c>
      <c r="F848" s="218" t="s">
        <v>1840</v>
      </c>
      <c r="G848" s="218" t="s">
        <v>1841</v>
      </c>
    </row>
    <row r="849" spans="1:7" x14ac:dyDescent="0.15">
      <c r="A849" s="218" t="s">
        <v>9364</v>
      </c>
      <c r="B849" s="218" t="s">
        <v>1390</v>
      </c>
      <c r="C849" s="218" t="s">
        <v>3534</v>
      </c>
      <c r="D849" s="218" t="s">
        <v>1391</v>
      </c>
      <c r="E849" s="218" t="s">
        <v>1839</v>
      </c>
      <c r="F849" s="218" t="s">
        <v>1840</v>
      </c>
      <c r="G849" s="218" t="s">
        <v>1841</v>
      </c>
    </row>
    <row r="850" spans="1:7" x14ac:dyDescent="0.15">
      <c r="A850" s="218" t="s">
        <v>9365</v>
      </c>
      <c r="B850" s="218" t="s">
        <v>9366</v>
      </c>
      <c r="C850" s="218" t="s">
        <v>3534</v>
      </c>
      <c r="D850" s="218" t="s">
        <v>9367</v>
      </c>
      <c r="E850" s="218" t="s">
        <v>1839</v>
      </c>
      <c r="F850" s="218" t="s">
        <v>1840</v>
      </c>
      <c r="G850" s="218" t="s">
        <v>1841</v>
      </c>
    </row>
    <row r="851" spans="1:7" x14ac:dyDescent="0.15">
      <c r="A851" s="218" t="s">
        <v>9368</v>
      </c>
      <c r="B851" s="218" t="s">
        <v>1680</v>
      </c>
      <c r="C851" s="218" t="s">
        <v>3534</v>
      </c>
      <c r="D851" s="218" t="s">
        <v>1681</v>
      </c>
      <c r="E851" s="218" t="s">
        <v>1839</v>
      </c>
      <c r="F851" s="218" t="s">
        <v>1840</v>
      </c>
      <c r="G851" s="218" t="s">
        <v>1841</v>
      </c>
    </row>
    <row r="852" spans="1:7" x14ac:dyDescent="0.15">
      <c r="A852" s="218" t="s">
        <v>3772</v>
      </c>
      <c r="B852" s="218" t="s">
        <v>3773</v>
      </c>
      <c r="C852" s="218" t="s">
        <v>3534</v>
      </c>
      <c r="D852" s="218" t="s">
        <v>3774</v>
      </c>
      <c r="E852" s="218" t="s">
        <v>1839</v>
      </c>
      <c r="F852" s="218" t="s">
        <v>1840</v>
      </c>
      <c r="G852" s="218" t="s">
        <v>1841</v>
      </c>
    </row>
    <row r="853" spans="1:7" x14ac:dyDescent="0.15">
      <c r="A853" s="218" t="s">
        <v>9369</v>
      </c>
      <c r="B853" s="218" t="s">
        <v>1502</v>
      </c>
      <c r="C853" s="218" t="s">
        <v>3534</v>
      </c>
      <c r="D853" s="218" t="s">
        <v>1503</v>
      </c>
      <c r="E853" s="218" t="s">
        <v>1839</v>
      </c>
      <c r="F853" s="218" t="s">
        <v>1840</v>
      </c>
      <c r="G853" s="218" t="s">
        <v>1841</v>
      </c>
    </row>
    <row r="854" spans="1:7" x14ac:dyDescent="0.15">
      <c r="A854" s="218" t="s">
        <v>3775</v>
      </c>
      <c r="B854" s="218" t="s">
        <v>3776</v>
      </c>
      <c r="C854" s="218" t="s">
        <v>3534</v>
      </c>
      <c r="D854" s="218" t="s">
        <v>3777</v>
      </c>
      <c r="E854" s="218" t="s">
        <v>1839</v>
      </c>
      <c r="F854" s="218" t="s">
        <v>1840</v>
      </c>
      <c r="G854" s="218" t="s">
        <v>1841</v>
      </c>
    </row>
    <row r="855" spans="1:7" x14ac:dyDescent="0.15">
      <c r="A855" s="218" t="s">
        <v>3778</v>
      </c>
      <c r="B855" s="218" t="s">
        <v>3779</v>
      </c>
      <c r="C855" s="218" t="s">
        <v>3534</v>
      </c>
      <c r="D855" s="218" t="s">
        <v>3780</v>
      </c>
      <c r="E855" s="218" t="s">
        <v>1839</v>
      </c>
      <c r="F855" s="218" t="s">
        <v>1840</v>
      </c>
      <c r="G855" s="218" t="s">
        <v>1841</v>
      </c>
    </row>
    <row r="856" spans="1:7" x14ac:dyDescent="0.15">
      <c r="A856" s="218" t="s">
        <v>9370</v>
      </c>
      <c r="B856" s="218" t="s">
        <v>1488</v>
      </c>
      <c r="C856" s="218" t="s">
        <v>3534</v>
      </c>
      <c r="D856" s="218" t="s">
        <v>1489</v>
      </c>
      <c r="E856" s="218" t="s">
        <v>1839</v>
      </c>
      <c r="F856" s="218" t="s">
        <v>1840</v>
      </c>
      <c r="G856" s="218" t="s">
        <v>1841</v>
      </c>
    </row>
    <row r="857" spans="1:7" x14ac:dyDescent="0.15">
      <c r="A857" s="218" t="s">
        <v>3781</v>
      </c>
      <c r="B857" s="218" t="s">
        <v>3782</v>
      </c>
      <c r="C857" s="218" t="s">
        <v>3534</v>
      </c>
      <c r="D857" s="218" t="s">
        <v>3783</v>
      </c>
      <c r="E857" s="218" t="s">
        <v>1839</v>
      </c>
      <c r="F857" s="218" t="s">
        <v>1840</v>
      </c>
      <c r="G857" s="218" t="s">
        <v>1841</v>
      </c>
    </row>
    <row r="858" spans="1:7" x14ac:dyDescent="0.15">
      <c r="A858" s="218" t="s">
        <v>3784</v>
      </c>
      <c r="B858" s="218" t="s">
        <v>3785</v>
      </c>
      <c r="C858" s="218" t="s">
        <v>3534</v>
      </c>
      <c r="D858" s="218" t="s">
        <v>3786</v>
      </c>
      <c r="E858" s="218" t="s">
        <v>1839</v>
      </c>
      <c r="F858" s="218" t="s">
        <v>1840</v>
      </c>
      <c r="G858" s="218" t="s">
        <v>1841</v>
      </c>
    </row>
    <row r="859" spans="1:7" x14ac:dyDescent="0.15">
      <c r="A859" s="218" t="s">
        <v>9371</v>
      </c>
      <c r="B859" s="218" t="s">
        <v>9372</v>
      </c>
      <c r="C859" s="218" t="s">
        <v>3534</v>
      </c>
      <c r="D859" s="218" t="s">
        <v>9373</v>
      </c>
      <c r="E859" s="218" t="s">
        <v>1839</v>
      </c>
      <c r="F859" s="218" t="s">
        <v>1840</v>
      </c>
      <c r="G859" s="218" t="s">
        <v>1841</v>
      </c>
    </row>
    <row r="860" spans="1:7" x14ac:dyDescent="0.15">
      <c r="A860" s="218" t="s">
        <v>3787</v>
      </c>
      <c r="B860" s="218" t="s">
        <v>3788</v>
      </c>
      <c r="C860" s="218" t="s">
        <v>3534</v>
      </c>
      <c r="D860" s="218" t="s">
        <v>3789</v>
      </c>
      <c r="E860" s="218" t="s">
        <v>1839</v>
      </c>
      <c r="F860" s="218" t="s">
        <v>1840</v>
      </c>
      <c r="G860" s="218" t="s">
        <v>1841</v>
      </c>
    </row>
    <row r="861" spans="1:7" x14ac:dyDescent="0.15">
      <c r="A861" s="218" t="s">
        <v>9374</v>
      </c>
      <c r="B861" s="218" t="s">
        <v>9375</v>
      </c>
      <c r="C861" s="218" t="s">
        <v>3534</v>
      </c>
      <c r="D861" s="218" t="s">
        <v>9376</v>
      </c>
      <c r="E861" s="218" t="s">
        <v>1839</v>
      </c>
      <c r="F861" s="218" t="s">
        <v>1840</v>
      </c>
      <c r="G861" s="218" t="s">
        <v>1841</v>
      </c>
    </row>
    <row r="862" spans="1:7" x14ac:dyDescent="0.15">
      <c r="A862" s="218" t="s">
        <v>9377</v>
      </c>
      <c r="B862" s="218" t="s">
        <v>9378</v>
      </c>
      <c r="C862" s="218" t="s">
        <v>3534</v>
      </c>
      <c r="D862" s="218" t="s">
        <v>9379</v>
      </c>
      <c r="E862" s="218" t="s">
        <v>1839</v>
      </c>
      <c r="F862" s="218" t="s">
        <v>1840</v>
      </c>
      <c r="G862" s="218" t="s">
        <v>1841</v>
      </c>
    </row>
    <row r="863" spans="1:7" x14ac:dyDescent="0.15">
      <c r="A863" s="218" t="s">
        <v>11577</v>
      </c>
      <c r="B863" s="218" t="s">
        <v>11578</v>
      </c>
      <c r="C863" s="218" t="s">
        <v>3534</v>
      </c>
      <c r="D863" s="218" t="s">
        <v>11579</v>
      </c>
      <c r="E863" s="218" t="s">
        <v>1839</v>
      </c>
      <c r="F863" s="218" t="s">
        <v>1840</v>
      </c>
      <c r="G863" s="218" t="s">
        <v>1841</v>
      </c>
    </row>
    <row r="864" spans="1:7" x14ac:dyDescent="0.15">
      <c r="A864" s="218" t="s">
        <v>9380</v>
      </c>
      <c r="B864" s="218" t="s">
        <v>9381</v>
      </c>
      <c r="C864" s="218" t="s">
        <v>3534</v>
      </c>
      <c r="D864" s="218" t="s">
        <v>9382</v>
      </c>
      <c r="E864" s="218" t="s">
        <v>1839</v>
      </c>
      <c r="F864" s="218" t="s">
        <v>1840</v>
      </c>
      <c r="G864" s="218" t="s">
        <v>1841</v>
      </c>
    </row>
    <row r="865" spans="1:7" x14ac:dyDescent="0.15">
      <c r="A865" s="218" t="s">
        <v>9383</v>
      </c>
      <c r="B865" s="218" t="s">
        <v>9384</v>
      </c>
      <c r="C865" s="218" t="s">
        <v>3534</v>
      </c>
      <c r="D865" s="218" t="s">
        <v>9385</v>
      </c>
      <c r="E865" s="218" t="s">
        <v>1839</v>
      </c>
      <c r="F865" s="218" t="s">
        <v>1840</v>
      </c>
      <c r="G865" s="218" t="s">
        <v>1841</v>
      </c>
    </row>
    <row r="866" spans="1:7" x14ac:dyDescent="0.15">
      <c r="A866" s="218" t="s">
        <v>3790</v>
      </c>
      <c r="B866" s="218" t="s">
        <v>3791</v>
      </c>
      <c r="C866" s="218" t="s">
        <v>3534</v>
      </c>
      <c r="D866" s="218" t="s">
        <v>3792</v>
      </c>
      <c r="E866" s="218" t="s">
        <v>1839</v>
      </c>
      <c r="F866" s="218" t="s">
        <v>1840</v>
      </c>
      <c r="G866" s="218" t="s">
        <v>1841</v>
      </c>
    </row>
    <row r="867" spans="1:7" x14ac:dyDescent="0.15">
      <c r="A867" s="218" t="s">
        <v>3793</v>
      </c>
      <c r="B867" s="218" t="s">
        <v>3794</v>
      </c>
      <c r="C867" s="218" t="s">
        <v>3534</v>
      </c>
      <c r="D867" s="218" t="s">
        <v>3795</v>
      </c>
      <c r="E867" s="218" t="s">
        <v>1839</v>
      </c>
      <c r="F867" s="218" t="s">
        <v>1840</v>
      </c>
      <c r="G867" s="218" t="s">
        <v>1841</v>
      </c>
    </row>
    <row r="868" spans="1:7" x14ac:dyDescent="0.15">
      <c r="A868" s="218" t="s">
        <v>11580</v>
      </c>
      <c r="B868" s="218" t="s">
        <v>11581</v>
      </c>
      <c r="C868" s="218" t="s">
        <v>3534</v>
      </c>
      <c r="D868" s="218" t="s">
        <v>11582</v>
      </c>
      <c r="E868" s="218" t="s">
        <v>1839</v>
      </c>
      <c r="F868" s="218" t="s">
        <v>1840</v>
      </c>
      <c r="G868" s="218" t="s">
        <v>1841</v>
      </c>
    </row>
    <row r="869" spans="1:7" x14ac:dyDescent="0.15">
      <c r="A869" s="218" t="s">
        <v>3796</v>
      </c>
      <c r="B869" s="218" t="s">
        <v>3797</v>
      </c>
      <c r="C869" s="218" t="s">
        <v>3534</v>
      </c>
      <c r="D869" s="218" t="s">
        <v>3798</v>
      </c>
      <c r="E869" s="218" t="s">
        <v>1839</v>
      </c>
      <c r="F869" s="218" t="s">
        <v>1840</v>
      </c>
      <c r="G869" s="218" t="s">
        <v>1841</v>
      </c>
    </row>
    <row r="870" spans="1:7" x14ac:dyDescent="0.15">
      <c r="A870" s="218" t="s">
        <v>9386</v>
      </c>
      <c r="B870" s="218" t="s">
        <v>9387</v>
      </c>
      <c r="C870" s="218" t="s">
        <v>3534</v>
      </c>
      <c r="D870" s="218" t="s">
        <v>9388</v>
      </c>
      <c r="E870" s="218" t="s">
        <v>1839</v>
      </c>
      <c r="F870" s="218" t="s">
        <v>1840</v>
      </c>
      <c r="G870" s="218" t="s">
        <v>1841</v>
      </c>
    </row>
    <row r="871" spans="1:7" x14ac:dyDescent="0.15">
      <c r="A871" s="218" t="s">
        <v>3799</v>
      </c>
      <c r="B871" s="218" t="s">
        <v>3800</v>
      </c>
      <c r="C871" s="218" t="s">
        <v>3534</v>
      </c>
      <c r="D871" s="218" t="s">
        <v>3801</v>
      </c>
      <c r="E871" s="218" t="s">
        <v>1839</v>
      </c>
      <c r="F871" s="218" t="s">
        <v>1840</v>
      </c>
      <c r="G871" s="218" t="s">
        <v>1841</v>
      </c>
    </row>
    <row r="872" spans="1:7" x14ac:dyDescent="0.15">
      <c r="A872" s="218" t="s">
        <v>9389</v>
      </c>
      <c r="B872" s="218" t="s">
        <v>9390</v>
      </c>
      <c r="C872" s="218" t="s">
        <v>3534</v>
      </c>
      <c r="D872" s="218" t="s">
        <v>9391</v>
      </c>
      <c r="E872" s="218" t="s">
        <v>1935</v>
      </c>
      <c r="F872" s="218" t="s">
        <v>1840</v>
      </c>
      <c r="G872" s="218" t="s">
        <v>1841</v>
      </c>
    </row>
    <row r="873" spans="1:7" x14ac:dyDescent="0.15">
      <c r="A873" s="218" t="s">
        <v>9392</v>
      </c>
      <c r="B873" s="218" t="s">
        <v>9393</v>
      </c>
      <c r="C873" s="218" t="s">
        <v>3534</v>
      </c>
      <c r="D873" s="218" t="s">
        <v>9394</v>
      </c>
      <c r="E873" s="218" t="s">
        <v>1839</v>
      </c>
      <c r="F873" s="218" t="s">
        <v>1840</v>
      </c>
      <c r="G873" s="218" t="s">
        <v>1841</v>
      </c>
    </row>
    <row r="874" spans="1:7" x14ac:dyDescent="0.15">
      <c r="A874" s="218" t="s">
        <v>9395</v>
      </c>
      <c r="B874" s="218" t="s">
        <v>1382</v>
      </c>
      <c r="C874" s="218" t="s">
        <v>3534</v>
      </c>
      <c r="D874" s="218" t="s">
        <v>1383</v>
      </c>
      <c r="E874" s="218" t="s">
        <v>1839</v>
      </c>
      <c r="F874" s="218" t="s">
        <v>1840</v>
      </c>
      <c r="G874" s="218" t="s">
        <v>1841</v>
      </c>
    </row>
    <row r="875" spans="1:7" x14ac:dyDescent="0.15">
      <c r="A875" s="218" t="s">
        <v>9396</v>
      </c>
      <c r="B875" s="218" t="s">
        <v>9397</v>
      </c>
      <c r="C875" s="218" t="s">
        <v>3534</v>
      </c>
      <c r="D875" s="218" t="s">
        <v>9398</v>
      </c>
      <c r="E875" s="218" t="s">
        <v>1935</v>
      </c>
      <c r="F875" s="218" t="s">
        <v>1840</v>
      </c>
      <c r="G875" s="218" t="s">
        <v>1841</v>
      </c>
    </row>
    <row r="876" spans="1:7" x14ac:dyDescent="0.15">
      <c r="A876" s="218" t="s">
        <v>9399</v>
      </c>
      <c r="B876" s="218" t="s">
        <v>9400</v>
      </c>
      <c r="C876" s="218" t="s">
        <v>3534</v>
      </c>
      <c r="D876" s="218" t="s">
        <v>9401</v>
      </c>
      <c r="E876" s="218" t="s">
        <v>1839</v>
      </c>
      <c r="F876" s="218" t="s">
        <v>1840</v>
      </c>
      <c r="G876" s="218" t="s">
        <v>1841</v>
      </c>
    </row>
    <row r="877" spans="1:7" x14ac:dyDescent="0.15">
      <c r="A877" s="218" t="s">
        <v>9402</v>
      </c>
      <c r="B877" s="218" t="s">
        <v>9403</v>
      </c>
      <c r="C877" s="218" t="s">
        <v>3534</v>
      </c>
      <c r="D877" s="218" t="s">
        <v>9404</v>
      </c>
      <c r="E877" s="218" t="s">
        <v>1839</v>
      </c>
      <c r="F877" s="218" t="s">
        <v>1840</v>
      </c>
      <c r="G877" s="218" t="s">
        <v>1841</v>
      </c>
    </row>
    <row r="878" spans="1:7" x14ac:dyDescent="0.15">
      <c r="A878" s="218" t="s">
        <v>3802</v>
      </c>
      <c r="B878" s="218" t="s">
        <v>3803</v>
      </c>
      <c r="C878" s="218" t="s">
        <v>3534</v>
      </c>
      <c r="D878" s="218" t="s">
        <v>3804</v>
      </c>
      <c r="E878" s="218" t="s">
        <v>1839</v>
      </c>
      <c r="F878" s="218" t="s">
        <v>1840</v>
      </c>
      <c r="G878" s="218" t="s">
        <v>1841</v>
      </c>
    </row>
    <row r="879" spans="1:7" x14ac:dyDescent="0.15">
      <c r="A879" s="218" t="s">
        <v>3805</v>
      </c>
      <c r="B879" s="218" t="s">
        <v>3806</v>
      </c>
      <c r="C879" s="218" t="s">
        <v>3534</v>
      </c>
      <c r="D879" s="218" t="s">
        <v>3807</v>
      </c>
      <c r="E879" s="218" t="s">
        <v>1839</v>
      </c>
      <c r="F879" s="218" t="s">
        <v>1840</v>
      </c>
      <c r="G879" s="218" t="s">
        <v>1841</v>
      </c>
    </row>
    <row r="880" spans="1:7" x14ac:dyDescent="0.15">
      <c r="A880" s="218" t="s">
        <v>9405</v>
      </c>
      <c r="B880" s="218" t="s">
        <v>9406</v>
      </c>
      <c r="C880" s="218" t="s">
        <v>3534</v>
      </c>
      <c r="D880" s="218" t="s">
        <v>9407</v>
      </c>
      <c r="E880" s="218" t="s">
        <v>1839</v>
      </c>
      <c r="F880" s="218" t="s">
        <v>1840</v>
      </c>
      <c r="G880" s="218" t="s">
        <v>1841</v>
      </c>
    </row>
    <row r="881" spans="1:7" x14ac:dyDescent="0.15">
      <c r="A881" s="218" t="s">
        <v>3811</v>
      </c>
      <c r="B881" s="218" t="s">
        <v>3812</v>
      </c>
      <c r="C881" s="218" t="s">
        <v>3534</v>
      </c>
      <c r="D881" s="218" t="s">
        <v>3813</v>
      </c>
      <c r="E881" s="218" t="s">
        <v>1839</v>
      </c>
      <c r="F881" s="218" t="s">
        <v>1840</v>
      </c>
      <c r="G881" s="218" t="s">
        <v>1841</v>
      </c>
    </row>
    <row r="882" spans="1:7" x14ac:dyDescent="0.15">
      <c r="A882" s="218" t="s">
        <v>3814</v>
      </c>
      <c r="B882" s="218" t="s">
        <v>3815</v>
      </c>
      <c r="C882" s="218" t="s">
        <v>3534</v>
      </c>
      <c r="D882" s="218" t="s">
        <v>3816</v>
      </c>
      <c r="E882" s="218" t="s">
        <v>1839</v>
      </c>
      <c r="F882" s="218" t="s">
        <v>1840</v>
      </c>
      <c r="G882" s="218" t="s">
        <v>1841</v>
      </c>
    </row>
    <row r="883" spans="1:7" x14ac:dyDescent="0.15">
      <c r="A883" s="218" t="s">
        <v>3817</v>
      </c>
      <c r="B883" s="218" t="s">
        <v>3818</v>
      </c>
      <c r="C883" s="218" t="s">
        <v>3534</v>
      </c>
      <c r="D883" s="218" t="s">
        <v>3819</v>
      </c>
      <c r="E883" s="218" t="s">
        <v>1839</v>
      </c>
      <c r="F883" s="218" t="s">
        <v>1840</v>
      </c>
      <c r="G883" s="218" t="s">
        <v>1841</v>
      </c>
    </row>
    <row r="884" spans="1:7" x14ac:dyDescent="0.15">
      <c r="A884" s="218" t="s">
        <v>9408</v>
      </c>
      <c r="B884" s="218" t="s">
        <v>1281</v>
      </c>
      <c r="C884" s="218" t="s">
        <v>3534</v>
      </c>
      <c r="D884" s="218" t="s">
        <v>1282</v>
      </c>
      <c r="E884" s="218" t="s">
        <v>1839</v>
      </c>
      <c r="F884" s="218" t="s">
        <v>1840</v>
      </c>
      <c r="G884" s="218" t="s">
        <v>1841</v>
      </c>
    </row>
    <row r="885" spans="1:7" x14ac:dyDescent="0.15">
      <c r="A885" s="218" t="s">
        <v>3820</v>
      </c>
      <c r="B885" s="218" t="s">
        <v>3821</v>
      </c>
      <c r="C885" s="218" t="s">
        <v>3534</v>
      </c>
      <c r="D885" s="218" t="s">
        <v>3822</v>
      </c>
      <c r="E885" s="218" t="s">
        <v>1839</v>
      </c>
      <c r="F885" s="218" t="s">
        <v>1840</v>
      </c>
      <c r="G885" s="218" t="s">
        <v>1841</v>
      </c>
    </row>
    <row r="886" spans="1:7" x14ac:dyDescent="0.15">
      <c r="A886" s="218" t="s">
        <v>3823</v>
      </c>
      <c r="B886" s="218" t="s">
        <v>3824</v>
      </c>
      <c r="C886" s="218" t="s">
        <v>3534</v>
      </c>
      <c r="D886" s="218" t="s">
        <v>3825</v>
      </c>
      <c r="E886" s="218" t="s">
        <v>1839</v>
      </c>
      <c r="F886" s="218" t="s">
        <v>1840</v>
      </c>
      <c r="G886" s="218" t="s">
        <v>1841</v>
      </c>
    </row>
    <row r="887" spans="1:7" x14ac:dyDescent="0.15">
      <c r="A887" s="218" t="s">
        <v>3826</v>
      </c>
      <c r="B887" s="218" t="s">
        <v>3827</v>
      </c>
      <c r="C887" s="218" t="s">
        <v>3534</v>
      </c>
      <c r="D887" s="218" t="s">
        <v>3828</v>
      </c>
      <c r="E887" s="218" t="s">
        <v>1839</v>
      </c>
      <c r="F887" s="218" t="s">
        <v>1840</v>
      </c>
      <c r="G887" s="218" t="s">
        <v>1841</v>
      </c>
    </row>
    <row r="888" spans="1:7" x14ac:dyDescent="0.15">
      <c r="A888" s="218" t="s">
        <v>3829</v>
      </c>
      <c r="B888" s="218" t="s">
        <v>3830</v>
      </c>
      <c r="C888" s="218" t="s">
        <v>3534</v>
      </c>
      <c r="D888" s="218" t="s">
        <v>3831</v>
      </c>
      <c r="E888" s="218" t="s">
        <v>1839</v>
      </c>
      <c r="F888" s="218" t="s">
        <v>1840</v>
      </c>
      <c r="G888" s="218" t="s">
        <v>1841</v>
      </c>
    </row>
    <row r="889" spans="1:7" x14ac:dyDescent="0.15">
      <c r="A889" s="218" t="s">
        <v>3832</v>
      </c>
      <c r="B889" s="218" t="s">
        <v>3833</v>
      </c>
      <c r="C889" s="218" t="s">
        <v>3534</v>
      </c>
      <c r="D889" s="218" t="s">
        <v>3834</v>
      </c>
      <c r="E889" s="218" t="s">
        <v>1839</v>
      </c>
      <c r="F889" s="218" t="s">
        <v>1840</v>
      </c>
      <c r="G889" s="218" t="s">
        <v>1841</v>
      </c>
    </row>
    <row r="890" spans="1:7" x14ac:dyDescent="0.15">
      <c r="A890" s="218" t="s">
        <v>9409</v>
      </c>
      <c r="B890" s="218" t="s">
        <v>9410</v>
      </c>
      <c r="C890" s="218" t="s">
        <v>3534</v>
      </c>
      <c r="D890" s="218" t="s">
        <v>9411</v>
      </c>
      <c r="E890" s="218" t="s">
        <v>1839</v>
      </c>
      <c r="F890" s="218" t="s">
        <v>1840</v>
      </c>
      <c r="G890" s="218" t="s">
        <v>1841</v>
      </c>
    </row>
    <row r="891" spans="1:7" x14ac:dyDescent="0.15">
      <c r="A891" s="218" t="s">
        <v>3835</v>
      </c>
      <c r="B891" s="218" t="s">
        <v>3836</v>
      </c>
      <c r="C891" s="218" t="s">
        <v>3534</v>
      </c>
      <c r="D891" s="218" t="s">
        <v>3837</v>
      </c>
      <c r="E891" s="218" t="s">
        <v>1839</v>
      </c>
      <c r="F891" s="218" t="s">
        <v>1840</v>
      </c>
      <c r="G891" s="218" t="s">
        <v>1841</v>
      </c>
    </row>
    <row r="892" spans="1:7" x14ac:dyDescent="0.15">
      <c r="A892" s="218" t="s">
        <v>9412</v>
      </c>
      <c r="B892" s="218" t="s">
        <v>9413</v>
      </c>
      <c r="C892" s="218" t="s">
        <v>3534</v>
      </c>
      <c r="D892" s="218" t="s">
        <v>9414</v>
      </c>
      <c r="E892" s="218" t="s">
        <v>1839</v>
      </c>
      <c r="F892" s="218" t="s">
        <v>1840</v>
      </c>
      <c r="G892" s="218" t="s">
        <v>1841</v>
      </c>
    </row>
    <row r="893" spans="1:7" x14ac:dyDescent="0.15">
      <c r="A893" s="218" t="s">
        <v>9415</v>
      </c>
      <c r="B893" s="218" t="s">
        <v>9416</v>
      </c>
      <c r="C893" s="218" t="s">
        <v>3534</v>
      </c>
      <c r="D893" s="218" t="s">
        <v>9417</v>
      </c>
      <c r="E893" s="218" t="s">
        <v>1839</v>
      </c>
      <c r="F893" s="218" t="s">
        <v>1840</v>
      </c>
      <c r="G893" s="218" t="s">
        <v>1841</v>
      </c>
    </row>
    <row r="894" spans="1:7" x14ac:dyDescent="0.15">
      <c r="A894" s="218" t="s">
        <v>3838</v>
      </c>
      <c r="B894" s="218" t="s">
        <v>3839</v>
      </c>
      <c r="C894" s="218" t="s">
        <v>3534</v>
      </c>
      <c r="D894" s="218" t="s">
        <v>3840</v>
      </c>
      <c r="E894" s="218" t="s">
        <v>1839</v>
      </c>
      <c r="F894" s="218" t="s">
        <v>1840</v>
      </c>
      <c r="G894" s="218" t="s">
        <v>1841</v>
      </c>
    </row>
    <row r="895" spans="1:7" x14ac:dyDescent="0.15">
      <c r="A895" s="218" t="s">
        <v>3841</v>
      </c>
      <c r="B895" s="218" t="s">
        <v>3842</v>
      </c>
      <c r="C895" s="218" t="s">
        <v>3534</v>
      </c>
      <c r="D895" s="218" t="s">
        <v>3843</v>
      </c>
      <c r="E895" s="218" t="s">
        <v>1839</v>
      </c>
      <c r="F895" s="218" t="s">
        <v>1840</v>
      </c>
      <c r="G895" s="218" t="s">
        <v>1841</v>
      </c>
    </row>
    <row r="896" spans="1:7" x14ac:dyDescent="0.15">
      <c r="A896" s="218" t="s">
        <v>9418</v>
      </c>
      <c r="B896" s="218" t="s">
        <v>9419</v>
      </c>
      <c r="C896" s="218" t="s">
        <v>3534</v>
      </c>
      <c r="D896" s="218" t="s">
        <v>9420</v>
      </c>
      <c r="E896" s="218" t="s">
        <v>1839</v>
      </c>
      <c r="F896" s="218" t="s">
        <v>1840</v>
      </c>
      <c r="G896" s="218" t="s">
        <v>1841</v>
      </c>
    </row>
    <row r="897" spans="1:7" x14ac:dyDescent="0.15">
      <c r="A897" s="218" t="s">
        <v>9421</v>
      </c>
      <c r="B897" s="218" t="s">
        <v>9422</v>
      </c>
      <c r="C897" s="218" t="s">
        <v>3534</v>
      </c>
      <c r="D897" s="218" t="s">
        <v>9423</v>
      </c>
      <c r="E897" s="218" t="s">
        <v>1839</v>
      </c>
      <c r="F897" s="218" t="s">
        <v>1840</v>
      </c>
      <c r="G897" s="218" t="s">
        <v>1841</v>
      </c>
    </row>
    <row r="898" spans="1:7" x14ac:dyDescent="0.15">
      <c r="A898" s="218" t="s">
        <v>11583</v>
      </c>
      <c r="B898" s="218" t="s">
        <v>11584</v>
      </c>
      <c r="C898" s="218" t="s">
        <v>3534</v>
      </c>
      <c r="D898" s="218" t="s">
        <v>11585</v>
      </c>
      <c r="E898" s="218" t="s">
        <v>1935</v>
      </c>
      <c r="F898" s="218" t="s">
        <v>1840</v>
      </c>
      <c r="G898" s="218" t="s">
        <v>1841</v>
      </c>
    </row>
    <row r="899" spans="1:7" x14ac:dyDescent="0.15">
      <c r="A899" s="218" t="s">
        <v>3845</v>
      </c>
      <c r="B899" s="218" t="s">
        <v>3846</v>
      </c>
      <c r="C899" s="218" t="s">
        <v>3534</v>
      </c>
      <c r="D899" s="218" t="s">
        <v>3847</v>
      </c>
      <c r="E899" s="218" t="s">
        <v>1839</v>
      </c>
      <c r="F899" s="218" t="s">
        <v>1840</v>
      </c>
      <c r="G899" s="218" t="s">
        <v>1841</v>
      </c>
    </row>
    <row r="900" spans="1:7" x14ac:dyDescent="0.15">
      <c r="A900" s="218" t="s">
        <v>9424</v>
      </c>
      <c r="B900" s="218" t="s">
        <v>9425</v>
      </c>
      <c r="C900" s="218" t="s">
        <v>3534</v>
      </c>
      <c r="D900" s="218" t="s">
        <v>9426</v>
      </c>
      <c r="E900" s="218" t="s">
        <v>1839</v>
      </c>
      <c r="F900" s="218" t="s">
        <v>1840</v>
      </c>
      <c r="G900" s="218" t="s">
        <v>1841</v>
      </c>
    </row>
    <row r="901" spans="1:7" x14ac:dyDescent="0.15">
      <c r="A901" s="218" t="s">
        <v>3848</v>
      </c>
      <c r="B901" s="218" t="s">
        <v>3849</v>
      </c>
      <c r="C901" s="218" t="s">
        <v>3534</v>
      </c>
      <c r="D901" s="218" t="s">
        <v>3850</v>
      </c>
      <c r="E901" s="218" t="s">
        <v>1839</v>
      </c>
      <c r="F901" s="218" t="s">
        <v>1840</v>
      </c>
      <c r="G901" s="218" t="s">
        <v>1841</v>
      </c>
    </row>
    <row r="902" spans="1:7" x14ac:dyDescent="0.15">
      <c r="A902" s="218" t="s">
        <v>3851</v>
      </c>
      <c r="B902" s="218" t="s">
        <v>3852</v>
      </c>
      <c r="C902" s="218" t="s">
        <v>3534</v>
      </c>
      <c r="D902" s="218" t="s">
        <v>3853</v>
      </c>
      <c r="E902" s="218" t="s">
        <v>1839</v>
      </c>
      <c r="F902" s="218" t="s">
        <v>1840</v>
      </c>
      <c r="G902" s="218" t="s">
        <v>1841</v>
      </c>
    </row>
    <row r="903" spans="1:7" x14ac:dyDescent="0.15">
      <c r="A903" s="218" t="s">
        <v>9427</v>
      </c>
      <c r="B903" s="218" t="s">
        <v>9428</v>
      </c>
      <c r="C903" s="218" t="s">
        <v>3534</v>
      </c>
      <c r="D903" s="218" t="s">
        <v>9429</v>
      </c>
      <c r="E903" s="218" t="s">
        <v>1839</v>
      </c>
      <c r="F903" s="218" t="s">
        <v>1840</v>
      </c>
      <c r="G903" s="218" t="s">
        <v>1841</v>
      </c>
    </row>
    <row r="904" spans="1:7" x14ac:dyDescent="0.15">
      <c r="A904" s="218" t="s">
        <v>3854</v>
      </c>
      <c r="B904" s="218" t="s">
        <v>3855</v>
      </c>
      <c r="C904" s="218" t="s">
        <v>3534</v>
      </c>
      <c r="D904" s="218" t="s">
        <v>3856</v>
      </c>
      <c r="E904" s="218" t="s">
        <v>1839</v>
      </c>
      <c r="F904" s="218" t="s">
        <v>1840</v>
      </c>
      <c r="G904" s="218" t="s">
        <v>1841</v>
      </c>
    </row>
    <row r="905" spans="1:7" x14ac:dyDescent="0.15">
      <c r="A905" s="218" t="s">
        <v>3857</v>
      </c>
      <c r="B905" s="218" t="s">
        <v>3858</v>
      </c>
      <c r="C905" s="218" t="s">
        <v>3534</v>
      </c>
      <c r="D905" s="218" t="s">
        <v>3859</v>
      </c>
      <c r="E905" s="218" t="s">
        <v>1839</v>
      </c>
      <c r="F905" s="218" t="s">
        <v>1840</v>
      </c>
      <c r="G905" s="218" t="s">
        <v>1841</v>
      </c>
    </row>
    <row r="906" spans="1:7" x14ac:dyDescent="0.15">
      <c r="A906" s="218" t="s">
        <v>9430</v>
      </c>
      <c r="B906" s="218" t="s">
        <v>9431</v>
      </c>
      <c r="C906" s="218" t="s">
        <v>3534</v>
      </c>
      <c r="D906" s="218" t="s">
        <v>9432</v>
      </c>
      <c r="E906" s="218" t="s">
        <v>1839</v>
      </c>
      <c r="F906" s="218" t="s">
        <v>1840</v>
      </c>
      <c r="G906" s="218" t="s">
        <v>1841</v>
      </c>
    </row>
    <row r="907" spans="1:7" x14ac:dyDescent="0.15">
      <c r="A907" s="218" t="s">
        <v>3860</v>
      </c>
      <c r="B907" s="218" t="s">
        <v>3861</v>
      </c>
      <c r="C907" s="218" t="s">
        <v>3534</v>
      </c>
      <c r="D907" s="218" t="s">
        <v>3862</v>
      </c>
      <c r="E907" s="218" t="s">
        <v>1839</v>
      </c>
      <c r="F907" s="218" t="s">
        <v>1840</v>
      </c>
      <c r="G907" s="218" t="s">
        <v>1841</v>
      </c>
    </row>
    <row r="908" spans="1:7" x14ac:dyDescent="0.15">
      <c r="A908" s="218" t="s">
        <v>3863</v>
      </c>
      <c r="B908" s="218" t="s">
        <v>3864</v>
      </c>
      <c r="C908" s="218" t="s">
        <v>3534</v>
      </c>
      <c r="D908" s="218" t="s">
        <v>3865</v>
      </c>
      <c r="E908" s="218" t="s">
        <v>1839</v>
      </c>
      <c r="F908" s="218" t="s">
        <v>1840</v>
      </c>
      <c r="G908" s="218" t="s">
        <v>1841</v>
      </c>
    </row>
    <row r="909" spans="1:7" x14ac:dyDescent="0.15">
      <c r="A909" s="218" t="s">
        <v>3866</v>
      </c>
      <c r="B909" s="218" t="s">
        <v>3867</v>
      </c>
      <c r="C909" s="218" t="s">
        <v>3534</v>
      </c>
      <c r="D909" s="218" t="s">
        <v>3868</v>
      </c>
      <c r="E909" s="218" t="s">
        <v>1839</v>
      </c>
      <c r="F909" s="218" t="s">
        <v>1840</v>
      </c>
      <c r="G909" s="218" t="s">
        <v>1841</v>
      </c>
    </row>
    <row r="910" spans="1:7" x14ac:dyDescent="0.15">
      <c r="A910" s="218" t="s">
        <v>9433</v>
      </c>
      <c r="B910" s="218" t="s">
        <v>1711</v>
      </c>
      <c r="C910" s="218" t="s">
        <v>3534</v>
      </c>
      <c r="D910" s="218" t="s">
        <v>1712</v>
      </c>
      <c r="E910" s="218" t="s">
        <v>1839</v>
      </c>
      <c r="F910" s="218" t="s">
        <v>1840</v>
      </c>
      <c r="G910" s="218" t="s">
        <v>1841</v>
      </c>
    </row>
    <row r="911" spans="1:7" x14ac:dyDescent="0.15">
      <c r="A911" s="218" t="s">
        <v>3869</v>
      </c>
      <c r="B911" s="218" t="s">
        <v>3870</v>
      </c>
      <c r="C911" s="218" t="s">
        <v>3534</v>
      </c>
      <c r="D911" s="218" t="s">
        <v>3871</v>
      </c>
      <c r="E911" s="218" t="s">
        <v>1839</v>
      </c>
      <c r="F911" s="218" t="s">
        <v>1840</v>
      </c>
      <c r="G911" s="218" t="s">
        <v>1841</v>
      </c>
    </row>
    <row r="912" spans="1:7" x14ac:dyDescent="0.15">
      <c r="A912" s="218" t="s">
        <v>3872</v>
      </c>
      <c r="B912" s="218" t="s">
        <v>3873</v>
      </c>
      <c r="C912" s="218" t="s">
        <v>3534</v>
      </c>
      <c r="D912" s="218" t="s">
        <v>3874</v>
      </c>
      <c r="E912" s="218" t="s">
        <v>1839</v>
      </c>
      <c r="F912" s="218" t="s">
        <v>1840</v>
      </c>
      <c r="G912" s="218" t="s">
        <v>1841</v>
      </c>
    </row>
    <row r="913" spans="1:7" x14ac:dyDescent="0.15">
      <c r="A913" s="218" t="s">
        <v>9434</v>
      </c>
      <c r="B913" s="218" t="s">
        <v>648</v>
      </c>
      <c r="C913" s="218" t="s">
        <v>3534</v>
      </c>
      <c r="D913" s="218" t="s">
        <v>649</v>
      </c>
      <c r="E913" s="218" t="s">
        <v>1839</v>
      </c>
      <c r="F913" s="218" t="s">
        <v>1840</v>
      </c>
      <c r="G913" s="218" t="s">
        <v>1841</v>
      </c>
    </row>
    <row r="914" spans="1:7" x14ac:dyDescent="0.15">
      <c r="A914" s="218" t="s">
        <v>3875</v>
      </c>
      <c r="B914" s="218" t="s">
        <v>3876</v>
      </c>
      <c r="C914" s="218" t="s">
        <v>3534</v>
      </c>
      <c r="D914" s="218" t="s">
        <v>3877</v>
      </c>
      <c r="E914" s="218" t="s">
        <v>1839</v>
      </c>
      <c r="F914" s="218" t="s">
        <v>1840</v>
      </c>
      <c r="G914" s="218" t="s">
        <v>1841</v>
      </c>
    </row>
    <row r="915" spans="1:7" x14ac:dyDescent="0.15">
      <c r="A915" s="218" t="s">
        <v>9435</v>
      </c>
      <c r="B915" s="218" t="s">
        <v>9436</v>
      </c>
      <c r="C915" s="218" t="s">
        <v>3534</v>
      </c>
      <c r="D915" s="218" t="s">
        <v>9437</v>
      </c>
      <c r="E915" s="218" t="s">
        <v>1839</v>
      </c>
      <c r="F915" s="218" t="s">
        <v>1840</v>
      </c>
      <c r="G915" s="218" t="s">
        <v>1841</v>
      </c>
    </row>
    <row r="916" spans="1:7" x14ac:dyDescent="0.15">
      <c r="A916" s="218" t="s">
        <v>9438</v>
      </c>
      <c r="B916" s="218" t="s">
        <v>1643</v>
      </c>
      <c r="C916" s="218" t="s">
        <v>3534</v>
      </c>
      <c r="D916" s="218" t="s">
        <v>1644</v>
      </c>
      <c r="E916" s="218" t="s">
        <v>1839</v>
      </c>
      <c r="F916" s="218" t="s">
        <v>1840</v>
      </c>
      <c r="G916" s="218" t="s">
        <v>1841</v>
      </c>
    </row>
    <row r="917" spans="1:7" x14ac:dyDescent="0.15">
      <c r="A917" s="218" t="s">
        <v>3878</v>
      </c>
      <c r="B917" s="218" t="s">
        <v>3879</v>
      </c>
      <c r="C917" s="218" t="s">
        <v>3534</v>
      </c>
      <c r="D917" s="218" t="s">
        <v>3880</v>
      </c>
      <c r="E917" s="218" t="s">
        <v>1839</v>
      </c>
      <c r="F917" s="218" t="s">
        <v>1840</v>
      </c>
      <c r="G917" s="218" t="s">
        <v>1841</v>
      </c>
    </row>
    <row r="918" spans="1:7" x14ac:dyDescent="0.15">
      <c r="A918" s="218" t="s">
        <v>9439</v>
      </c>
      <c r="B918" s="218" t="s">
        <v>9440</v>
      </c>
      <c r="C918" s="218" t="s">
        <v>3534</v>
      </c>
      <c r="D918" s="218" t="s">
        <v>9441</v>
      </c>
      <c r="E918" s="218" t="s">
        <v>1839</v>
      </c>
      <c r="F918" s="218" t="s">
        <v>1840</v>
      </c>
      <c r="G918" s="218" t="s">
        <v>1841</v>
      </c>
    </row>
    <row r="919" spans="1:7" x14ac:dyDescent="0.15">
      <c r="A919" s="218" t="s">
        <v>11586</v>
      </c>
      <c r="B919" s="218" t="s">
        <v>11587</v>
      </c>
      <c r="C919" s="218" t="s">
        <v>3534</v>
      </c>
      <c r="D919" s="218" t="s">
        <v>11588</v>
      </c>
      <c r="E919" s="218" t="s">
        <v>1935</v>
      </c>
      <c r="F919" s="218" t="s">
        <v>1840</v>
      </c>
      <c r="G919" s="218" t="s">
        <v>1841</v>
      </c>
    </row>
    <row r="920" spans="1:7" x14ac:dyDescent="0.15">
      <c r="A920" s="218" t="s">
        <v>3881</v>
      </c>
      <c r="B920" s="218" t="s">
        <v>3882</v>
      </c>
      <c r="C920" s="218" t="s">
        <v>3534</v>
      </c>
      <c r="D920" s="218" t="s">
        <v>3883</v>
      </c>
      <c r="E920" s="218" t="s">
        <v>1839</v>
      </c>
      <c r="F920" s="218" t="s">
        <v>1840</v>
      </c>
      <c r="G920" s="218" t="s">
        <v>1841</v>
      </c>
    </row>
    <row r="921" spans="1:7" x14ac:dyDescent="0.15">
      <c r="A921" s="218" t="s">
        <v>9442</v>
      </c>
      <c r="B921" s="218" t="s">
        <v>9443</v>
      </c>
      <c r="C921" s="218" t="s">
        <v>3534</v>
      </c>
      <c r="D921" s="218" t="s">
        <v>9444</v>
      </c>
      <c r="E921" s="218" t="s">
        <v>1839</v>
      </c>
      <c r="F921" s="218" t="s">
        <v>1840</v>
      </c>
      <c r="G921" s="218" t="s">
        <v>1841</v>
      </c>
    </row>
    <row r="922" spans="1:7" x14ac:dyDescent="0.15">
      <c r="A922" s="218" t="s">
        <v>3887</v>
      </c>
      <c r="B922" s="218" t="s">
        <v>3888</v>
      </c>
      <c r="C922" s="218" t="s">
        <v>3534</v>
      </c>
      <c r="D922" s="218" t="s">
        <v>3889</v>
      </c>
      <c r="E922" s="218" t="s">
        <v>1839</v>
      </c>
      <c r="F922" s="218" t="s">
        <v>1840</v>
      </c>
      <c r="G922" s="218" t="s">
        <v>1841</v>
      </c>
    </row>
    <row r="923" spans="1:7" x14ac:dyDescent="0.15">
      <c r="A923" s="218" t="s">
        <v>3890</v>
      </c>
      <c r="B923" s="218" t="s">
        <v>3891</v>
      </c>
      <c r="C923" s="218" t="s">
        <v>3534</v>
      </c>
      <c r="D923" s="218" t="s">
        <v>3892</v>
      </c>
      <c r="E923" s="218" t="s">
        <v>1839</v>
      </c>
      <c r="F923" s="218" t="s">
        <v>1840</v>
      </c>
      <c r="G923" s="218" t="s">
        <v>1841</v>
      </c>
    </row>
    <row r="924" spans="1:7" x14ac:dyDescent="0.15">
      <c r="A924" s="218" t="s">
        <v>9445</v>
      </c>
      <c r="B924" s="218" t="s">
        <v>9446</v>
      </c>
      <c r="C924" s="218" t="s">
        <v>3534</v>
      </c>
      <c r="D924" s="218" t="s">
        <v>9447</v>
      </c>
      <c r="E924" s="218" t="s">
        <v>1839</v>
      </c>
      <c r="F924" s="218" t="s">
        <v>1840</v>
      </c>
      <c r="G924" s="218" t="s">
        <v>1841</v>
      </c>
    </row>
    <row r="925" spans="1:7" x14ac:dyDescent="0.15">
      <c r="A925" s="218" t="s">
        <v>9448</v>
      </c>
      <c r="B925" s="218" t="s">
        <v>9449</v>
      </c>
      <c r="C925" s="218" t="s">
        <v>3534</v>
      </c>
      <c r="D925" s="218" t="s">
        <v>9450</v>
      </c>
      <c r="E925" s="218" t="s">
        <v>1839</v>
      </c>
      <c r="F925" s="218" t="s">
        <v>1840</v>
      </c>
      <c r="G925" s="218" t="s">
        <v>1841</v>
      </c>
    </row>
    <row r="926" spans="1:7" x14ac:dyDescent="0.15">
      <c r="A926" s="218" t="s">
        <v>9451</v>
      </c>
      <c r="B926" s="218" t="s">
        <v>9452</v>
      </c>
      <c r="C926" s="218" t="s">
        <v>3534</v>
      </c>
      <c r="D926" s="218" t="s">
        <v>9453</v>
      </c>
      <c r="E926" s="218" t="s">
        <v>1935</v>
      </c>
      <c r="F926" s="218" t="s">
        <v>1840</v>
      </c>
      <c r="G926" s="218" t="s">
        <v>1841</v>
      </c>
    </row>
    <row r="927" spans="1:7" x14ac:dyDescent="0.15">
      <c r="A927" s="218" t="s">
        <v>9454</v>
      </c>
      <c r="B927" s="218" t="s">
        <v>9455</v>
      </c>
      <c r="C927" s="218" t="s">
        <v>3534</v>
      </c>
      <c r="D927" s="218" t="s">
        <v>9456</v>
      </c>
      <c r="E927" s="218" t="s">
        <v>1839</v>
      </c>
      <c r="F927" s="218" t="s">
        <v>1840</v>
      </c>
      <c r="G927" s="218" t="s">
        <v>1841</v>
      </c>
    </row>
    <row r="928" spans="1:7" x14ac:dyDescent="0.15">
      <c r="A928" s="218" t="s">
        <v>9457</v>
      </c>
      <c r="B928" s="218" t="s">
        <v>1782</v>
      </c>
      <c r="C928" s="218" t="s">
        <v>3534</v>
      </c>
      <c r="D928" s="218" t="s">
        <v>1783</v>
      </c>
      <c r="E928" s="218" t="s">
        <v>1839</v>
      </c>
      <c r="F928" s="218" t="s">
        <v>1840</v>
      </c>
      <c r="G928" s="218" t="s">
        <v>1841</v>
      </c>
    </row>
    <row r="929" spans="1:7" x14ac:dyDescent="0.15">
      <c r="A929" s="218" t="s">
        <v>9458</v>
      </c>
      <c r="B929" s="218" t="s">
        <v>807</v>
      </c>
      <c r="C929" s="218" t="s">
        <v>3534</v>
      </c>
      <c r="D929" s="218" t="s">
        <v>808</v>
      </c>
      <c r="E929" s="218" t="s">
        <v>1839</v>
      </c>
      <c r="F929" s="218" t="s">
        <v>1840</v>
      </c>
      <c r="G929" s="218" t="s">
        <v>1841</v>
      </c>
    </row>
    <row r="930" spans="1:7" x14ac:dyDescent="0.15">
      <c r="A930" s="218" t="s">
        <v>9459</v>
      </c>
      <c r="B930" s="218" t="s">
        <v>9460</v>
      </c>
      <c r="C930" s="218" t="s">
        <v>3534</v>
      </c>
      <c r="D930" s="218" t="s">
        <v>9461</v>
      </c>
      <c r="E930" s="218" t="s">
        <v>1839</v>
      </c>
      <c r="F930" s="218" t="s">
        <v>1840</v>
      </c>
      <c r="G930" s="218" t="s">
        <v>1841</v>
      </c>
    </row>
    <row r="931" spans="1:7" x14ac:dyDescent="0.15">
      <c r="A931" s="218" t="s">
        <v>9462</v>
      </c>
      <c r="B931" s="218" t="s">
        <v>1628</v>
      </c>
      <c r="C931" s="218" t="s">
        <v>3534</v>
      </c>
      <c r="D931" s="218" t="s">
        <v>1629</v>
      </c>
      <c r="E931" s="218" t="s">
        <v>1839</v>
      </c>
      <c r="F931" s="218" t="s">
        <v>1840</v>
      </c>
      <c r="G931" s="218" t="s">
        <v>1841</v>
      </c>
    </row>
    <row r="932" spans="1:7" x14ac:dyDescent="0.15">
      <c r="A932" s="218" t="s">
        <v>9463</v>
      </c>
      <c r="B932" s="218" t="s">
        <v>9464</v>
      </c>
      <c r="C932" s="218" t="s">
        <v>3534</v>
      </c>
      <c r="D932" s="218" t="s">
        <v>9465</v>
      </c>
      <c r="E932" s="218" t="s">
        <v>1839</v>
      </c>
      <c r="F932" s="218" t="s">
        <v>1840</v>
      </c>
      <c r="G932" s="218" t="s">
        <v>1841</v>
      </c>
    </row>
    <row r="933" spans="1:7" x14ac:dyDescent="0.15">
      <c r="A933" s="218" t="s">
        <v>3899</v>
      </c>
      <c r="B933" s="218" t="s">
        <v>3900</v>
      </c>
      <c r="C933" s="218" t="s">
        <v>3534</v>
      </c>
      <c r="D933" s="218" t="s">
        <v>3901</v>
      </c>
      <c r="E933" s="218" t="s">
        <v>1935</v>
      </c>
      <c r="F933" s="218" t="s">
        <v>1840</v>
      </c>
      <c r="G933" s="218" t="s">
        <v>1841</v>
      </c>
    </row>
    <row r="934" spans="1:7" x14ac:dyDescent="0.15">
      <c r="A934" s="218" t="s">
        <v>3902</v>
      </c>
      <c r="B934" s="218" t="s">
        <v>3903</v>
      </c>
      <c r="C934" s="218" t="s">
        <v>3534</v>
      </c>
      <c r="D934" s="218" t="s">
        <v>3904</v>
      </c>
      <c r="E934" s="218" t="s">
        <v>1839</v>
      </c>
      <c r="F934" s="218" t="s">
        <v>1840</v>
      </c>
      <c r="G934" s="218" t="s">
        <v>1841</v>
      </c>
    </row>
    <row r="935" spans="1:7" x14ac:dyDescent="0.15">
      <c r="A935" s="218" t="s">
        <v>9466</v>
      </c>
      <c r="B935" s="218" t="s">
        <v>9467</v>
      </c>
      <c r="C935" s="218" t="s">
        <v>3534</v>
      </c>
      <c r="D935" s="218" t="s">
        <v>9468</v>
      </c>
      <c r="E935" s="218" t="s">
        <v>1839</v>
      </c>
      <c r="F935" s="218" t="s">
        <v>1840</v>
      </c>
      <c r="G935" s="218" t="s">
        <v>1841</v>
      </c>
    </row>
    <row r="936" spans="1:7" x14ac:dyDescent="0.15">
      <c r="A936" s="218" t="s">
        <v>3905</v>
      </c>
      <c r="B936" s="218" t="s">
        <v>3906</v>
      </c>
      <c r="C936" s="218" t="s">
        <v>3534</v>
      </c>
      <c r="D936" s="218" t="s">
        <v>3907</v>
      </c>
      <c r="E936" s="218" t="s">
        <v>1839</v>
      </c>
      <c r="F936" s="218" t="s">
        <v>1840</v>
      </c>
      <c r="G936" s="218" t="s">
        <v>1841</v>
      </c>
    </row>
    <row r="937" spans="1:7" x14ac:dyDescent="0.15">
      <c r="A937" s="218" t="s">
        <v>3908</v>
      </c>
      <c r="B937" s="218" t="s">
        <v>3909</v>
      </c>
      <c r="C937" s="218" t="s">
        <v>3534</v>
      </c>
      <c r="D937" s="218" t="s">
        <v>1374</v>
      </c>
      <c r="E937" s="218" t="s">
        <v>1839</v>
      </c>
      <c r="F937" s="218" t="s">
        <v>1840</v>
      </c>
      <c r="G937" s="218" t="s">
        <v>1841</v>
      </c>
    </row>
    <row r="938" spans="1:7" x14ac:dyDescent="0.15">
      <c r="A938" s="218" t="s">
        <v>11589</v>
      </c>
      <c r="B938" s="218" t="s">
        <v>11590</v>
      </c>
      <c r="C938" s="218" t="s">
        <v>3534</v>
      </c>
      <c r="D938" s="218" t="s">
        <v>11591</v>
      </c>
      <c r="E938" s="218" t="s">
        <v>1839</v>
      </c>
      <c r="F938" s="218" t="s">
        <v>1840</v>
      </c>
      <c r="G938" s="218" t="s">
        <v>1841</v>
      </c>
    </row>
    <row r="939" spans="1:7" x14ac:dyDescent="0.15">
      <c r="A939" s="218" t="s">
        <v>9469</v>
      </c>
      <c r="B939" s="218" t="s">
        <v>9470</v>
      </c>
      <c r="C939" s="218" t="s">
        <v>3534</v>
      </c>
      <c r="D939" s="218" t="s">
        <v>9471</v>
      </c>
      <c r="E939" s="218" t="s">
        <v>1839</v>
      </c>
      <c r="F939" s="218" t="s">
        <v>1840</v>
      </c>
      <c r="G939" s="218" t="s">
        <v>1841</v>
      </c>
    </row>
    <row r="940" spans="1:7" x14ac:dyDescent="0.15">
      <c r="A940" s="218" t="s">
        <v>9472</v>
      </c>
      <c r="B940" s="218" t="s">
        <v>9473</v>
      </c>
      <c r="C940" s="218" t="s">
        <v>3534</v>
      </c>
      <c r="D940" s="218" t="s">
        <v>9474</v>
      </c>
      <c r="E940" s="218" t="s">
        <v>1839</v>
      </c>
      <c r="F940" s="218" t="s">
        <v>1840</v>
      </c>
      <c r="G940" s="218" t="s">
        <v>1841</v>
      </c>
    </row>
    <row r="941" spans="1:7" x14ac:dyDescent="0.15">
      <c r="A941" s="218" t="s">
        <v>3910</v>
      </c>
      <c r="B941" s="218" t="s">
        <v>3911</v>
      </c>
      <c r="C941" s="218" t="s">
        <v>3534</v>
      </c>
      <c r="D941" s="218" t="s">
        <v>3912</v>
      </c>
      <c r="E941" s="218" t="s">
        <v>1839</v>
      </c>
      <c r="F941" s="218" t="s">
        <v>1840</v>
      </c>
      <c r="G941" s="218" t="s">
        <v>1841</v>
      </c>
    </row>
    <row r="942" spans="1:7" x14ac:dyDescent="0.15">
      <c r="A942" s="218" t="s">
        <v>3913</v>
      </c>
      <c r="B942" s="218" t="s">
        <v>3914</v>
      </c>
      <c r="C942" s="218" t="s">
        <v>3534</v>
      </c>
      <c r="D942" s="218" t="s">
        <v>3915</v>
      </c>
      <c r="E942" s="218" t="s">
        <v>1839</v>
      </c>
      <c r="F942" s="218" t="s">
        <v>1840</v>
      </c>
      <c r="G942" s="218" t="s">
        <v>1841</v>
      </c>
    </row>
    <row r="943" spans="1:7" x14ac:dyDescent="0.15">
      <c r="A943" s="218" t="s">
        <v>9475</v>
      </c>
      <c r="B943" s="218" t="s">
        <v>1515</v>
      </c>
      <c r="C943" s="218" t="s">
        <v>3534</v>
      </c>
      <c r="D943" s="218" t="s">
        <v>1516</v>
      </c>
      <c r="E943" s="218" t="s">
        <v>1839</v>
      </c>
      <c r="F943" s="218" t="s">
        <v>1840</v>
      </c>
      <c r="G943" s="218" t="s">
        <v>1841</v>
      </c>
    </row>
    <row r="944" spans="1:7" x14ac:dyDescent="0.15">
      <c r="A944" s="218" t="s">
        <v>9476</v>
      </c>
      <c r="B944" s="218" t="s">
        <v>9477</v>
      </c>
      <c r="C944" s="218" t="s">
        <v>3534</v>
      </c>
      <c r="D944" s="218" t="s">
        <v>9478</v>
      </c>
      <c r="E944" s="218" t="s">
        <v>1839</v>
      </c>
      <c r="F944" s="218" t="s">
        <v>1840</v>
      </c>
      <c r="G944" s="218" t="s">
        <v>1841</v>
      </c>
    </row>
    <row r="945" spans="1:7" x14ac:dyDescent="0.15">
      <c r="A945" s="218" t="s">
        <v>9479</v>
      </c>
      <c r="B945" s="218" t="s">
        <v>9480</v>
      </c>
      <c r="C945" s="218" t="s">
        <v>3534</v>
      </c>
      <c r="D945" s="218" t="s">
        <v>9481</v>
      </c>
      <c r="E945" s="218" t="s">
        <v>1839</v>
      </c>
      <c r="F945" s="218" t="s">
        <v>1840</v>
      </c>
      <c r="G945" s="218" t="s">
        <v>1841</v>
      </c>
    </row>
    <row r="946" spans="1:7" x14ac:dyDescent="0.15">
      <c r="A946" s="218" t="s">
        <v>3916</v>
      </c>
      <c r="B946" s="218" t="s">
        <v>3917</v>
      </c>
      <c r="C946" s="218" t="s">
        <v>3534</v>
      </c>
      <c r="D946" s="218" t="s">
        <v>3918</v>
      </c>
      <c r="E946" s="218" t="s">
        <v>1839</v>
      </c>
      <c r="F946" s="218" t="s">
        <v>1840</v>
      </c>
      <c r="G946" s="218" t="s">
        <v>1841</v>
      </c>
    </row>
    <row r="947" spans="1:7" x14ac:dyDescent="0.15">
      <c r="A947" s="218" t="s">
        <v>11592</v>
      </c>
      <c r="B947" s="218" t="s">
        <v>11593</v>
      </c>
      <c r="C947" s="218" t="s">
        <v>3534</v>
      </c>
      <c r="D947" s="218" t="s">
        <v>11594</v>
      </c>
      <c r="E947" s="218" t="s">
        <v>1839</v>
      </c>
      <c r="F947" s="218" t="s">
        <v>1840</v>
      </c>
      <c r="G947" s="218" t="s">
        <v>1841</v>
      </c>
    </row>
    <row r="948" spans="1:7" x14ac:dyDescent="0.15">
      <c r="A948" s="218" t="s">
        <v>3919</v>
      </c>
      <c r="B948" s="218" t="s">
        <v>3920</v>
      </c>
      <c r="C948" s="218" t="s">
        <v>3534</v>
      </c>
      <c r="D948" s="218" t="s">
        <v>3921</v>
      </c>
      <c r="E948" s="218" t="s">
        <v>1935</v>
      </c>
      <c r="F948" s="218" t="s">
        <v>1840</v>
      </c>
      <c r="G948" s="218" t="s">
        <v>1841</v>
      </c>
    </row>
    <row r="949" spans="1:7" x14ac:dyDescent="0.15">
      <c r="A949" s="218" t="s">
        <v>9482</v>
      </c>
      <c r="B949" s="218" t="s">
        <v>9483</v>
      </c>
      <c r="C949" s="218" t="s">
        <v>3534</v>
      </c>
      <c r="D949" s="218" t="s">
        <v>9484</v>
      </c>
      <c r="E949" s="218" t="s">
        <v>1839</v>
      </c>
      <c r="F949" s="218" t="s">
        <v>1840</v>
      </c>
      <c r="G949" s="218" t="s">
        <v>1841</v>
      </c>
    </row>
    <row r="950" spans="1:7" x14ac:dyDescent="0.15">
      <c r="A950" s="218" t="s">
        <v>3922</v>
      </c>
      <c r="B950" s="218" t="s">
        <v>3923</v>
      </c>
      <c r="C950" s="218" t="s">
        <v>3534</v>
      </c>
      <c r="D950" s="218" t="s">
        <v>3924</v>
      </c>
      <c r="E950" s="218" t="s">
        <v>1839</v>
      </c>
      <c r="F950" s="218" t="s">
        <v>1840</v>
      </c>
      <c r="G950" s="218" t="s">
        <v>1841</v>
      </c>
    </row>
    <row r="951" spans="1:7" x14ac:dyDescent="0.15">
      <c r="A951" s="218" t="s">
        <v>9485</v>
      </c>
      <c r="B951" s="218" t="s">
        <v>9486</v>
      </c>
      <c r="C951" s="218" t="s">
        <v>3534</v>
      </c>
      <c r="D951" s="218" t="s">
        <v>1326</v>
      </c>
      <c r="E951" s="218" t="s">
        <v>1839</v>
      </c>
      <c r="F951" s="218" t="s">
        <v>1840</v>
      </c>
      <c r="G951" s="218" t="s">
        <v>1841</v>
      </c>
    </row>
    <row r="952" spans="1:7" x14ac:dyDescent="0.15">
      <c r="A952" s="218" t="s">
        <v>3925</v>
      </c>
      <c r="B952" s="218" t="s">
        <v>3926</v>
      </c>
      <c r="C952" s="218" t="s">
        <v>3534</v>
      </c>
      <c r="D952" s="218" t="s">
        <v>3927</v>
      </c>
      <c r="E952" s="218" t="s">
        <v>1839</v>
      </c>
      <c r="F952" s="218" t="s">
        <v>1840</v>
      </c>
      <c r="G952" s="218" t="s">
        <v>1841</v>
      </c>
    </row>
    <row r="953" spans="1:7" x14ac:dyDescent="0.15">
      <c r="A953" s="218" t="s">
        <v>9487</v>
      </c>
      <c r="B953" s="218" t="s">
        <v>9488</v>
      </c>
      <c r="C953" s="218" t="s">
        <v>3534</v>
      </c>
      <c r="D953" s="218" t="s">
        <v>9489</v>
      </c>
      <c r="E953" s="218" t="s">
        <v>1839</v>
      </c>
      <c r="F953" s="218" t="s">
        <v>1840</v>
      </c>
      <c r="G953" s="218" t="s">
        <v>1841</v>
      </c>
    </row>
    <row r="954" spans="1:7" x14ac:dyDescent="0.15">
      <c r="A954" s="218" t="s">
        <v>3928</v>
      </c>
      <c r="B954" s="218" t="s">
        <v>3929</v>
      </c>
      <c r="C954" s="218" t="s">
        <v>3534</v>
      </c>
      <c r="D954" s="218" t="s">
        <v>3930</v>
      </c>
      <c r="E954" s="218" t="s">
        <v>1839</v>
      </c>
      <c r="F954" s="218" t="s">
        <v>1840</v>
      </c>
      <c r="G954" s="218" t="s">
        <v>1841</v>
      </c>
    </row>
    <row r="955" spans="1:7" x14ac:dyDescent="0.15">
      <c r="A955" s="218" t="s">
        <v>3931</v>
      </c>
      <c r="B955" s="218" t="s">
        <v>3932</v>
      </c>
      <c r="C955" s="218" t="s">
        <v>3534</v>
      </c>
      <c r="D955" s="218" t="s">
        <v>3933</v>
      </c>
      <c r="E955" s="218" t="s">
        <v>1839</v>
      </c>
      <c r="F955" s="218" t="s">
        <v>1840</v>
      </c>
      <c r="G955" s="218" t="s">
        <v>1841</v>
      </c>
    </row>
    <row r="956" spans="1:7" x14ac:dyDescent="0.15">
      <c r="A956" s="218" t="s">
        <v>3934</v>
      </c>
      <c r="B956" s="218" t="s">
        <v>3935</v>
      </c>
      <c r="C956" s="218" t="s">
        <v>3534</v>
      </c>
      <c r="D956" s="218" t="s">
        <v>3936</v>
      </c>
      <c r="E956" s="218" t="s">
        <v>1839</v>
      </c>
      <c r="F956" s="218" t="s">
        <v>1840</v>
      </c>
      <c r="G956" s="218" t="s">
        <v>1841</v>
      </c>
    </row>
    <row r="957" spans="1:7" x14ac:dyDescent="0.15">
      <c r="A957" s="218" t="s">
        <v>9490</v>
      </c>
      <c r="B957" s="218" t="s">
        <v>9491</v>
      </c>
      <c r="C957" s="218" t="s">
        <v>3534</v>
      </c>
      <c r="D957" s="218" t="s">
        <v>1655</v>
      </c>
      <c r="E957" s="218" t="s">
        <v>1839</v>
      </c>
      <c r="F957" s="218" t="s">
        <v>1840</v>
      </c>
      <c r="G957" s="218" t="s">
        <v>1841</v>
      </c>
    </row>
    <row r="958" spans="1:7" x14ac:dyDescent="0.15">
      <c r="A958" s="218" t="s">
        <v>9492</v>
      </c>
      <c r="B958" s="218" t="s">
        <v>9493</v>
      </c>
      <c r="C958" s="218" t="s">
        <v>3534</v>
      </c>
      <c r="D958" s="218" t="s">
        <v>9494</v>
      </c>
      <c r="E958" s="218" t="s">
        <v>1839</v>
      </c>
      <c r="F958" s="218" t="s">
        <v>1840</v>
      </c>
      <c r="G958" s="218" t="s">
        <v>1841</v>
      </c>
    </row>
    <row r="959" spans="1:7" x14ac:dyDescent="0.15">
      <c r="A959" s="218" t="s">
        <v>3937</v>
      </c>
      <c r="B959" s="218" t="s">
        <v>3938</v>
      </c>
      <c r="C959" s="218" t="s">
        <v>3534</v>
      </c>
      <c r="D959" s="218" t="s">
        <v>3939</v>
      </c>
      <c r="E959" s="218" t="s">
        <v>1839</v>
      </c>
      <c r="F959" s="218" t="s">
        <v>1840</v>
      </c>
      <c r="G959" s="218" t="s">
        <v>1841</v>
      </c>
    </row>
    <row r="960" spans="1:7" x14ac:dyDescent="0.15">
      <c r="A960" s="218" t="s">
        <v>3940</v>
      </c>
      <c r="B960" s="218" t="s">
        <v>3941</v>
      </c>
      <c r="C960" s="218" t="s">
        <v>3534</v>
      </c>
      <c r="D960" s="218" t="s">
        <v>3942</v>
      </c>
      <c r="E960" s="218" t="s">
        <v>1839</v>
      </c>
      <c r="F960" s="218" t="s">
        <v>1840</v>
      </c>
      <c r="G960" s="218" t="s">
        <v>1841</v>
      </c>
    </row>
    <row r="961" spans="1:7" x14ac:dyDescent="0.15">
      <c r="A961" s="218" t="s">
        <v>9495</v>
      </c>
      <c r="B961" s="218" t="s">
        <v>9496</v>
      </c>
      <c r="C961" s="218" t="s">
        <v>3534</v>
      </c>
      <c r="D961" s="218" t="s">
        <v>9497</v>
      </c>
      <c r="E961" s="218" t="s">
        <v>1839</v>
      </c>
      <c r="F961" s="218" t="s">
        <v>1840</v>
      </c>
      <c r="G961" s="218" t="s">
        <v>1841</v>
      </c>
    </row>
    <row r="962" spans="1:7" x14ac:dyDescent="0.15">
      <c r="A962" s="218" t="s">
        <v>9498</v>
      </c>
      <c r="B962" s="218" t="s">
        <v>9499</v>
      </c>
      <c r="C962" s="218" t="s">
        <v>3534</v>
      </c>
      <c r="D962" s="218" t="s">
        <v>9500</v>
      </c>
      <c r="E962" s="218" t="s">
        <v>1935</v>
      </c>
      <c r="F962" s="218" t="s">
        <v>1840</v>
      </c>
      <c r="G962" s="218" t="s">
        <v>1841</v>
      </c>
    </row>
    <row r="963" spans="1:7" x14ac:dyDescent="0.15">
      <c r="A963" s="218" t="s">
        <v>3946</v>
      </c>
      <c r="B963" s="218" t="s">
        <v>3947</v>
      </c>
      <c r="C963" s="218" t="s">
        <v>3534</v>
      </c>
      <c r="D963" s="218" t="s">
        <v>3948</v>
      </c>
      <c r="E963" s="218" t="s">
        <v>1839</v>
      </c>
      <c r="F963" s="218" t="s">
        <v>1840</v>
      </c>
      <c r="G963" s="218" t="s">
        <v>1841</v>
      </c>
    </row>
    <row r="964" spans="1:7" x14ac:dyDescent="0.15">
      <c r="A964" s="218" t="s">
        <v>9501</v>
      </c>
      <c r="B964" s="218" t="s">
        <v>9502</v>
      </c>
      <c r="C964" s="218" t="s">
        <v>3534</v>
      </c>
      <c r="D964" s="218" t="s">
        <v>9503</v>
      </c>
      <c r="E964" s="218" t="s">
        <v>1839</v>
      </c>
      <c r="F964" s="218" t="s">
        <v>1840</v>
      </c>
      <c r="G964" s="218" t="s">
        <v>1841</v>
      </c>
    </row>
    <row r="965" spans="1:7" x14ac:dyDescent="0.15">
      <c r="A965" s="218" t="s">
        <v>9504</v>
      </c>
      <c r="B965" s="218" t="s">
        <v>9505</v>
      </c>
      <c r="C965" s="218" t="s">
        <v>3534</v>
      </c>
      <c r="D965" s="218" t="s">
        <v>9506</v>
      </c>
      <c r="E965" s="218" t="s">
        <v>1839</v>
      </c>
      <c r="F965" s="218" t="s">
        <v>1840</v>
      </c>
      <c r="G965" s="218" t="s">
        <v>1841</v>
      </c>
    </row>
    <row r="966" spans="1:7" x14ac:dyDescent="0.15">
      <c r="A966" s="218" t="s">
        <v>9507</v>
      </c>
      <c r="B966" s="218" t="s">
        <v>9508</v>
      </c>
      <c r="C966" s="218" t="s">
        <v>3534</v>
      </c>
      <c r="D966" s="218" t="s">
        <v>9509</v>
      </c>
      <c r="E966" s="218" t="s">
        <v>1839</v>
      </c>
      <c r="F966" s="218" t="s">
        <v>1840</v>
      </c>
      <c r="G966" s="218" t="s">
        <v>1841</v>
      </c>
    </row>
    <row r="967" spans="1:7" x14ac:dyDescent="0.15">
      <c r="A967" s="218" t="s">
        <v>3949</v>
      </c>
      <c r="B967" s="218" t="s">
        <v>3950</v>
      </c>
      <c r="C967" s="218" t="s">
        <v>3534</v>
      </c>
      <c r="D967" s="218" t="s">
        <v>3951</v>
      </c>
      <c r="E967" s="218" t="s">
        <v>1839</v>
      </c>
      <c r="F967" s="218" t="s">
        <v>1840</v>
      </c>
      <c r="G967" s="218" t="s">
        <v>1841</v>
      </c>
    </row>
    <row r="968" spans="1:7" x14ac:dyDescent="0.15">
      <c r="A968" s="218" t="s">
        <v>3952</v>
      </c>
      <c r="B968" s="218" t="s">
        <v>3953</v>
      </c>
      <c r="C968" s="218" t="s">
        <v>3534</v>
      </c>
      <c r="D968" s="218" t="s">
        <v>3954</v>
      </c>
      <c r="E968" s="218" t="s">
        <v>1839</v>
      </c>
      <c r="F968" s="218" t="s">
        <v>1840</v>
      </c>
      <c r="G968" s="218" t="s">
        <v>1841</v>
      </c>
    </row>
    <row r="969" spans="1:7" x14ac:dyDescent="0.15">
      <c r="A969" s="218" t="s">
        <v>3955</v>
      </c>
      <c r="B969" s="218" t="s">
        <v>3956</v>
      </c>
      <c r="C969" s="218" t="s">
        <v>3534</v>
      </c>
      <c r="D969" s="218" t="s">
        <v>3957</v>
      </c>
      <c r="E969" s="218" t="s">
        <v>1839</v>
      </c>
      <c r="F969" s="218" t="s">
        <v>1840</v>
      </c>
      <c r="G969" s="218" t="s">
        <v>1841</v>
      </c>
    </row>
    <row r="970" spans="1:7" x14ac:dyDescent="0.15">
      <c r="A970" s="218" t="s">
        <v>3958</v>
      </c>
      <c r="B970" s="218" t="s">
        <v>3959</v>
      </c>
      <c r="C970" s="218" t="s">
        <v>3534</v>
      </c>
      <c r="D970" s="218" t="s">
        <v>3960</v>
      </c>
      <c r="E970" s="218" t="s">
        <v>1839</v>
      </c>
      <c r="F970" s="218" t="s">
        <v>1840</v>
      </c>
      <c r="G970" s="218" t="s">
        <v>1841</v>
      </c>
    </row>
    <row r="971" spans="1:7" x14ac:dyDescent="0.15">
      <c r="A971" s="218" t="s">
        <v>3961</v>
      </c>
      <c r="B971" s="218" t="s">
        <v>3962</v>
      </c>
      <c r="C971" s="218" t="s">
        <v>3534</v>
      </c>
      <c r="D971" s="218" t="s">
        <v>3963</v>
      </c>
      <c r="E971" s="218" t="s">
        <v>1839</v>
      </c>
      <c r="F971" s="218" t="s">
        <v>1840</v>
      </c>
      <c r="G971" s="218" t="s">
        <v>1841</v>
      </c>
    </row>
    <row r="972" spans="1:7" x14ac:dyDescent="0.15">
      <c r="A972" s="218" t="s">
        <v>9510</v>
      </c>
      <c r="B972" s="218" t="s">
        <v>9511</v>
      </c>
      <c r="C972" s="218" t="s">
        <v>3534</v>
      </c>
      <c r="D972" s="218" t="s">
        <v>9512</v>
      </c>
      <c r="E972" s="218" t="s">
        <v>1839</v>
      </c>
      <c r="F972" s="218" t="s">
        <v>1840</v>
      </c>
      <c r="G972" s="218" t="s">
        <v>1841</v>
      </c>
    </row>
    <row r="973" spans="1:7" x14ac:dyDescent="0.15">
      <c r="A973" s="218" t="s">
        <v>3964</v>
      </c>
      <c r="B973" s="218" t="s">
        <v>3965</v>
      </c>
      <c r="C973" s="218" t="s">
        <v>3534</v>
      </c>
      <c r="D973" s="218" t="s">
        <v>3966</v>
      </c>
      <c r="E973" s="218" t="s">
        <v>1839</v>
      </c>
      <c r="F973" s="218" t="s">
        <v>1840</v>
      </c>
      <c r="G973" s="218" t="s">
        <v>1841</v>
      </c>
    </row>
    <row r="974" spans="1:7" x14ac:dyDescent="0.15">
      <c r="A974" s="218" t="s">
        <v>9513</v>
      </c>
      <c r="B974" s="218" t="s">
        <v>9514</v>
      </c>
      <c r="C974" s="218" t="s">
        <v>3534</v>
      </c>
      <c r="D974" s="218" t="s">
        <v>9515</v>
      </c>
      <c r="E974" s="218" t="s">
        <v>1839</v>
      </c>
      <c r="F974" s="218" t="s">
        <v>1840</v>
      </c>
      <c r="G974" s="218" t="s">
        <v>1841</v>
      </c>
    </row>
    <row r="975" spans="1:7" x14ac:dyDescent="0.15">
      <c r="A975" s="218" t="s">
        <v>9516</v>
      </c>
      <c r="B975" s="218" t="s">
        <v>1507</v>
      </c>
      <c r="C975" s="218" t="s">
        <v>3534</v>
      </c>
      <c r="D975" s="218" t="s">
        <v>1508</v>
      </c>
      <c r="E975" s="218" t="s">
        <v>1839</v>
      </c>
      <c r="F975" s="218" t="s">
        <v>1840</v>
      </c>
      <c r="G975" s="218" t="s">
        <v>1841</v>
      </c>
    </row>
    <row r="976" spans="1:7" x14ac:dyDescent="0.15">
      <c r="A976" s="218" t="s">
        <v>11595</v>
      </c>
      <c r="B976" s="218" t="s">
        <v>11596</v>
      </c>
      <c r="C976" s="218" t="s">
        <v>3534</v>
      </c>
      <c r="D976" s="218" t="s">
        <v>11597</v>
      </c>
      <c r="E976" s="218" t="s">
        <v>1839</v>
      </c>
      <c r="F976" s="218" t="s">
        <v>1840</v>
      </c>
      <c r="G976" s="218" t="s">
        <v>1841</v>
      </c>
    </row>
    <row r="977" spans="1:7" x14ac:dyDescent="0.15">
      <c r="A977" s="218" t="s">
        <v>9517</v>
      </c>
      <c r="B977" s="218" t="s">
        <v>9518</v>
      </c>
      <c r="C977" s="218" t="s">
        <v>3534</v>
      </c>
      <c r="D977" s="218" t="s">
        <v>9519</v>
      </c>
      <c r="E977" s="218" t="s">
        <v>1839</v>
      </c>
      <c r="F977" s="218" t="s">
        <v>1840</v>
      </c>
      <c r="G977" s="218" t="s">
        <v>1841</v>
      </c>
    </row>
    <row r="978" spans="1:7" x14ac:dyDescent="0.15">
      <c r="A978" s="218" t="s">
        <v>3967</v>
      </c>
      <c r="B978" s="218" t="s">
        <v>3968</v>
      </c>
      <c r="C978" s="218" t="s">
        <v>3534</v>
      </c>
      <c r="D978" s="218" t="s">
        <v>3969</v>
      </c>
      <c r="E978" s="218" t="s">
        <v>1839</v>
      </c>
      <c r="F978" s="218" t="s">
        <v>1840</v>
      </c>
      <c r="G978" s="218" t="s">
        <v>1841</v>
      </c>
    </row>
    <row r="979" spans="1:7" x14ac:dyDescent="0.15">
      <c r="A979" s="218" t="s">
        <v>3970</v>
      </c>
      <c r="B979" s="218" t="s">
        <v>3971</v>
      </c>
      <c r="C979" s="218" t="s">
        <v>3534</v>
      </c>
      <c r="D979" s="218" t="s">
        <v>3972</v>
      </c>
      <c r="E979" s="218" t="s">
        <v>1839</v>
      </c>
      <c r="F979" s="218" t="s">
        <v>1840</v>
      </c>
      <c r="G979" s="218" t="s">
        <v>1841</v>
      </c>
    </row>
    <row r="980" spans="1:7" x14ac:dyDescent="0.15">
      <c r="A980" s="218" t="s">
        <v>3973</v>
      </c>
      <c r="B980" s="218" t="s">
        <v>3974</v>
      </c>
      <c r="C980" s="218" t="s">
        <v>3534</v>
      </c>
      <c r="D980" s="218" t="s">
        <v>3975</v>
      </c>
      <c r="E980" s="218" t="s">
        <v>1839</v>
      </c>
      <c r="F980" s="218" t="s">
        <v>1840</v>
      </c>
      <c r="G980" s="218" t="s">
        <v>1841</v>
      </c>
    </row>
    <row r="981" spans="1:7" x14ac:dyDescent="0.15">
      <c r="A981" s="218" t="s">
        <v>3976</v>
      </c>
      <c r="B981" s="218" t="s">
        <v>3977</v>
      </c>
      <c r="C981" s="218" t="s">
        <v>3534</v>
      </c>
      <c r="D981" s="218" t="s">
        <v>3978</v>
      </c>
      <c r="E981" s="218" t="s">
        <v>1839</v>
      </c>
      <c r="F981" s="218" t="s">
        <v>1840</v>
      </c>
      <c r="G981" s="218" t="s">
        <v>1841</v>
      </c>
    </row>
    <row r="982" spans="1:7" x14ac:dyDescent="0.15">
      <c r="A982" s="218" t="s">
        <v>3979</v>
      </c>
      <c r="B982" s="218" t="s">
        <v>3980</v>
      </c>
      <c r="C982" s="218" t="s">
        <v>3534</v>
      </c>
      <c r="D982" s="218" t="s">
        <v>3981</v>
      </c>
      <c r="E982" s="218" t="s">
        <v>1839</v>
      </c>
      <c r="F982" s="218" t="s">
        <v>1840</v>
      </c>
      <c r="G982" s="218" t="s">
        <v>1841</v>
      </c>
    </row>
    <row r="983" spans="1:7" x14ac:dyDescent="0.15">
      <c r="A983" s="218" t="s">
        <v>9520</v>
      </c>
      <c r="B983" s="218" t="s">
        <v>1603</v>
      </c>
      <c r="C983" s="218" t="s">
        <v>3534</v>
      </c>
      <c r="D983" s="218" t="s">
        <v>1604</v>
      </c>
      <c r="E983" s="218" t="s">
        <v>1839</v>
      </c>
      <c r="F983" s="218" t="s">
        <v>1840</v>
      </c>
      <c r="G983" s="218" t="s">
        <v>1841</v>
      </c>
    </row>
    <row r="984" spans="1:7" x14ac:dyDescent="0.15">
      <c r="A984" s="218" t="s">
        <v>9521</v>
      </c>
      <c r="B984" s="218" t="s">
        <v>9522</v>
      </c>
      <c r="C984" s="218" t="s">
        <v>3534</v>
      </c>
      <c r="D984" s="218" t="s">
        <v>9523</v>
      </c>
      <c r="E984" s="218" t="s">
        <v>1839</v>
      </c>
      <c r="F984" s="218" t="s">
        <v>1840</v>
      </c>
      <c r="G984" s="218" t="s">
        <v>1841</v>
      </c>
    </row>
    <row r="985" spans="1:7" x14ac:dyDescent="0.15">
      <c r="A985" s="218" t="s">
        <v>9524</v>
      </c>
      <c r="B985" s="218" t="s">
        <v>9525</v>
      </c>
      <c r="C985" s="218" t="s">
        <v>3534</v>
      </c>
      <c r="D985" s="218" t="s">
        <v>9526</v>
      </c>
      <c r="E985" s="218" t="s">
        <v>1839</v>
      </c>
      <c r="F985" s="218" t="s">
        <v>1840</v>
      </c>
      <c r="G985" s="218" t="s">
        <v>1841</v>
      </c>
    </row>
    <row r="986" spans="1:7" x14ac:dyDescent="0.15">
      <c r="A986" s="218" t="s">
        <v>11598</v>
      </c>
      <c r="B986" s="218" t="s">
        <v>11599</v>
      </c>
      <c r="C986" s="218" t="s">
        <v>3534</v>
      </c>
      <c r="D986" s="218" t="s">
        <v>11600</v>
      </c>
      <c r="E986" s="218" t="s">
        <v>1839</v>
      </c>
      <c r="F986" s="218" t="s">
        <v>1840</v>
      </c>
      <c r="G986" s="218" t="s">
        <v>1841</v>
      </c>
    </row>
    <row r="987" spans="1:7" x14ac:dyDescent="0.15">
      <c r="A987" s="218" t="s">
        <v>9527</v>
      </c>
      <c r="B987" s="218" t="s">
        <v>9528</v>
      </c>
      <c r="C987" s="218" t="s">
        <v>3534</v>
      </c>
      <c r="D987" s="218" t="s">
        <v>9529</v>
      </c>
      <c r="E987" s="218" t="s">
        <v>1839</v>
      </c>
      <c r="F987" s="218" t="s">
        <v>1840</v>
      </c>
      <c r="G987" s="218" t="s">
        <v>1841</v>
      </c>
    </row>
    <row r="988" spans="1:7" x14ac:dyDescent="0.15">
      <c r="A988" s="218" t="s">
        <v>3982</v>
      </c>
      <c r="B988" s="218" t="s">
        <v>3983</v>
      </c>
      <c r="C988" s="218" t="s">
        <v>3534</v>
      </c>
      <c r="D988" s="218" t="s">
        <v>3984</v>
      </c>
      <c r="E988" s="218" t="s">
        <v>1839</v>
      </c>
      <c r="F988" s="218" t="s">
        <v>1840</v>
      </c>
      <c r="G988" s="218" t="s">
        <v>1841</v>
      </c>
    </row>
    <row r="989" spans="1:7" x14ac:dyDescent="0.15">
      <c r="A989" s="218" t="s">
        <v>9530</v>
      </c>
      <c r="B989" s="218" t="s">
        <v>1205</v>
      </c>
      <c r="C989" s="218" t="s">
        <v>3534</v>
      </c>
      <c r="D989" s="218" t="s">
        <v>9531</v>
      </c>
      <c r="E989" s="218" t="s">
        <v>1839</v>
      </c>
      <c r="F989" s="218" t="s">
        <v>1840</v>
      </c>
      <c r="G989" s="218" t="s">
        <v>1841</v>
      </c>
    </row>
    <row r="990" spans="1:7" x14ac:dyDescent="0.15">
      <c r="A990" s="218" t="s">
        <v>9532</v>
      </c>
      <c r="B990" s="218" t="s">
        <v>9533</v>
      </c>
      <c r="C990" s="218" t="s">
        <v>3534</v>
      </c>
      <c r="D990" s="218" t="s">
        <v>9534</v>
      </c>
      <c r="E990" s="218" t="s">
        <v>1839</v>
      </c>
      <c r="F990" s="218" t="s">
        <v>1840</v>
      </c>
      <c r="G990" s="218" t="s">
        <v>1841</v>
      </c>
    </row>
    <row r="991" spans="1:7" x14ac:dyDescent="0.15">
      <c r="A991" s="218" t="s">
        <v>9535</v>
      </c>
      <c r="B991" s="218" t="s">
        <v>1312</v>
      </c>
      <c r="C991" s="218" t="s">
        <v>3534</v>
      </c>
      <c r="D991" s="218" t="s">
        <v>1313</v>
      </c>
      <c r="E991" s="218" t="s">
        <v>1839</v>
      </c>
      <c r="F991" s="218" t="s">
        <v>1840</v>
      </c>
      <c r="G991" s="218" t="s">
        <v>1841</v>
      </c>
    </row>
    <row r="992" spans="1:7" x14ac:dyDescent="0.15">
      <c r="A992" s="218" t="s">
        <v>9536</v>
      </c>
      <c r="B992" s="218" t="s">
        <v>1015</v>
      </c>
      <c r="C992" s="218" t="s">
        <v>3534</v>
      </c>
      <c r="D992" s="218" t="s">
        <v>1016</v>
      </c>
      <c r="E992" s="218" t="s">
        <v>1839</v>
      </c>
      <c r="F992" s="218" t="s">
        <v>1840</v>
      </c>
      <c r="G992" s="218" t="s">
        <v>1841</v>
      </c>
    </row>
    <row r="993" spans="1:7" x14ac:dyDescent="0.15">
      <c r="A993" s="218" t="s">
        <v>3985</v>
      </c>
      <c r="B993" s="218" t="s">
        <v>3986</v>
      </c>
      <c r="C993" s="218" t="s">
        <v>3534</v>
      </c>
      <c r="D993" s="218" t="s">
        <v>3987</v>
      </c>
      <c r="E993" s="218" t="s">
        <v>1839</v>
      </c>
      <c r="F993" s="218" t="s">
        <v>1840</v>
      </c>
      <c r="G993" s="218" t="s">
        <v>1841</v>
      </c>
    </row>
    <row r="994" spans="1:7" x14ac:dyDescent="0.15">
      <c r="A994" s="218" t="s">
        <v>9537</v>
      </c>
      <c r="B994" s="218" t="s">
        <v>9538</v>
      </c>
      <c r="C994" s="218" t="s">
        <v>3534</v>
      </c>
      <c r="D994" s="218" t="s">
        <v>9539</v>
      </c>
      <c r="E994" s="218" t="s">
        <v>1839</v>
      </c>
      <c r="F994" s="218" t="s">
        <v>1840</v>
      </c>
      <c r="G994" s="218" t="s">
        <v>1841</v>
      </c>
    </row>
    <row r="995" spans="1:7" x14ac:dyDescent="0.15">
      <c r="A995" s="218" t="s">
        <v>9540</v>
      </c>
      <c r="B995" s="218" t="s">
        <v>9541</v>
      </c>
      <c r="C995" s="218" t="s">
        <v>3534</v>
      </c>
      <c r="D995" s="218" t="s">
        <v>9542</v>
      </c>
      <c r="E995" s="218" t="s">
        <v>1839</v>
      </c>
      <c r="F995" s="218" t="s">
        <v>1840</v>
      </c>
      <c r="G995" s="218" t="s">
        <v>1841</v>
      </c>
    </row>
    <row r="996" spans="1:7" x14ac:dyDescent="0.15">
      <c r="A996" s="218" t="s">
        <v>9543</v>
      </c>
      <c r="B996" s="218" t="s">
        <v>612</v>
      </c>
      <c r="C996" s="218" t="s">
        <v>3534</v>
      </c>
      <c r="D996" s="218" t="s">
        <v>613</v>
      </c>
      <c r="E996" s="218" t="s">
        <v>1839</v>
      </c>
      <c r="F996" s="218" t="s">
        <v>1840</v>
      </c>
      <c r="G996" s="218" t="s">
        <v>1841</v>
      </c>
    </row>
    <row r="997" spans="1:7" x14ac:dyDescent="0.15">
      <c r="A997" s="218" t="s">
        <v>9544</v>
      </c>
      <c r="B997" s="218" t="s">
        <v>9545</v>
      </c>
      <c r="C997" s="218" t="s">
        <v>3534</v>
      </c>
      <c r="D997" s="218" t="s">
        <v>9546</v>
      </c>
      <c r="E997" s="218" t="s">
        <v>1839</v>
      </c>
      <c r="F997" s="218" t="s">
        <v>1840</v>
      </c>
      <c r="G997" s="218" t="s">
        <v>1841</v>
      </c>
    </row>
    <row r="998" spans="1:7" x14ac:dyDescent="0.15">
      <c r="A998" s="218" t="s">
        <v>9547</v>
      </c>
      <c r="B998" s="218" t="s">
        <v>1174</v>
      </c>
      <c r="C998" s="218" t="s">
        <v>3534</v>
      </c>
      <c r="D998" s="218" t="s">
        <v>1175</v>
      </c>
      <c r="E998" s="218" t="s">
        <v>1839</v>
      </c>
      <c r="F998" s="218" t="s">
        <v>1840</v>
      </c>
      <c r="G998" s="218" t="s">
        <v>1841</v>
      </c>
    </row>
    <row r="999" spans="1:7" x14ac:dyDescent="0.15">
      <c r="A999" s="218" t="s">
        <v>3988</v>
      </c>
      <c r="B999" s="218" t="s">
        <v>3989</v>
      </c>
      <c r="C999" s="218" t="s">
        <v>3534</v>
      </c>
      <c r="D999" s="218" t="s">
        <v>3990</v>
      </c>
      <c r="E999" s="218" t="s">
        <v>1839</v>
      </c>
      <c r="F999" s="218" t="s">
        <v>1840</v>
      </c>
      <c r="G999" s="218" t="s">
        <v>1841</v>
      </c>
    </row>
    <row r="1000" spans="1:7" x14ac:dyDescent="0.15">
      <c r="A1000" s="218" t="s">
        <v>9548</v>
      </c>
      <c r="B1000" s="218" t="s">
        <v>9549</v>
      </c>
      <c r="C1000" s="218" t="s">
        <v>3534</v>
      </c>
      <c r="D1000" s="218" t="s">
        <v>9550</v>
      </c>
      <c r="E1000" s="218" t="s">
        <v>1839</v>
      </c>
      <c r="F1000" s="218" t="s">
        <v>1840</v>
      </c>
      <c r="G1000" s="218" t="s">
        <v>1841</v>
      </c>
    </row>
    <row r="1001" spans="1:7" x14ac:dyDescent="0.15">
      <c r="A1001" s="218" t="s">
        <v>9551</v>
      </c>
      <c r="B1001" s="218" t="s">
        <v>9552</v>
      </c>
      <c r="C1001" s="218" t="s">
        <v>3534</v>
      </c>
      <c r="D1001" s="218" t="s">
        <v>9553</v>
      </c>
      <c r="E1001" s="218" t="s">
        <v>1839</v>
      </c>
      <c r="F1001" s="218" t="s">
        <v>1840</v>
      </c>
      <c r="G1001" s="218" t="s">
        <v>1841</v>
      </c>
    </row>
    <row r="1002" spans="1:7" x14ac:dyDescent="0.15">
      <c r="A1002" s="218" t="s">
        <v>3991</v>
      </c>
      <c r="B1002" s="218" t="s">
        <v>3992</v>
      </c>
      <c r="C1002" s="218" t="s">
        <v>3534</v>
      </c>
      <c r="D1002" s="218" t="s">
        <v>3993</v>
      </c>
      <c r="E1002" s="218" t="s">
        <v>1839</v>
      </c>
      <c r="F1002" s="218" t="s">
        <v>1840</v>
      </c>
      <c r="G1002" s="218" t="s">
        <v>1841</v>
      </c>
    </row>
    <row r="1003" spans="1:7" x14ac:dyDescent="0.15">
      <c r="A1003" s="218" t="s">
        <v>3994</v>
      </c>
      <c r="B1003" s="218" t="s">
        <v>3995</v>
      </c>
      <c r="C1003" s="218" t="s">
        <v>3534</v>
      </c>
      <c r="D1003" s="218" t="s">
        <v>3996</v>
      </c>
      <c r="E1003" s="218" t="s">
        <v>1935</v>
      </c>
      <c r="F1003" s="218" t="s">
        <v>1840</v>
      </c>
      <c r="G1003" s="218" t="s">
        <v>1841</v>
      </c>
    </row>
    <row r="1004" spans="1:7" x14ac:dyDescent="0.15">
      <c r="A1004" s="218" t="s">
        <v>9554</v>
      </c>
      <c r="B1004" s="218" t="s">
        <v>979</v>
      </c>
      <c r="C1004" s="218" t="s">
        <v>3534</v>
      </c>
      <c r="D1004" s="218" t="s">
        <v>980</v>
      </c>
      <c r="E1004" s="218" t="s">
        <v>1839</v>
      </c>
      <c r="F1004" s="218" t="s">
        <v>1840</v>
      </c>
      <c r="G1004" s="218" t="s">
        <v>1841</v>
      </c>
    </row>
    <row r="1005" spans="1:7" x14ac:dyDescent="0.15">
      <c r="A1005" s="218" t="s">
        <v>3997</v>
      </c>
      <c r="B1005" s="218" t="s">
        <v>552</v>
      </c>
      <c r="C1005" s="218" t="s">
        <v>3534</v>
      </c>
      <c r="D1005" s="218" t="s">
        <v>3998</v>
      </c>
      <c r="E1005" s="218" t="s">
        <v>1839</v>
      </c>
      <c r="F1005" s="218" t="s">
        <v>1840</v>
      </c>
      <c r="G1005" s="218" t="s">
        <v>1841</v>
      </c>
    </row>
    <row r="1006" spans="1:7" x14ac:dyDescent="0.15">
      <c r="A1006" s="218" t="s">
        <v>9555</v>
      </c>
      <c r="B1006" s="218" t="s">
        <v>9556</v>
      </c>
      <c r="C1006" s="218" t="s">
        <v>3534</v>
      </c>
      <c r="D1006" s="218" t="s">
        <v>9557</v>
      </c>
      <c r="E1006" s="218" t="s">
        <v>1839</v>
      </c>
      <c r="F1006" s="218" t="s">
        <v>1840</v>
      </c>
      <c r="G1006" s="218" t="s">
        <v>1841</v>
      </c>
    </row>
    <row r="1007" spans="1:7" x14ac:dyDescent="0.15">
      <c r="A1007" s="218" t="s">
        <v>9558</v>
      </c>
      <c r="B1007" s="218" t="s">
        <v>9559</v>
      </c>
      <c r="C1007" s="218" t="s">
        <v>3534</v>
      </c>
      <c r="D1007" s="218" t="s">
        <v>9560</v>
      </c>
      <c r="E1007" s="218" t="s">
        <v>1839</v>
      </c>
      <c r="F1007" s="218" t="s">
        <v>1840</v>
      </c>
      <c r="G1007" s="218" t="s">
        <v>1841</v>
      </c>
    </row>
    <row r="1008" spans="1:7" x14ac:dyDescent="0.15">
      <c r="A1008" s="218" t="s">
        <v>9561</v>
      </c>
      <c r="B1008" s="218" t="s">
        <v>9562</v>
      </c>
      <c r="C1008" s="218" t="s">
        <v>3534</v>
      </c>
      <c r="D1008" s="218" t="s">
        <v>9563</v>
      </c>
      <c r="E1008" s="218" t="s">
        <v>1839</v>
      </c>
      <c r="F1008" s="218" t="s">
        <v>1840</v>
      </c>
      <c r="G1008" s="218" t="s">
        <v>1841</v>
      </c>
    </row>
    <row r="1009" spans="1:7" x14ac:dyDescent="0.15">
      <c r="A1009" s="218" t="s">
        <v>3999</v>
      </c>
      <c r="B1009" s="218" t="s">
        <v>4000</v>
      </c>
      <c r="C1009" s="218" t="s">
        <v>3534</v>
      </c>
      <c r="D1009" s="218" t="s">
        <v>4001</v>
      </c>
      <c r="E1009" s="218" t="s">
        <v>1839</v>
      </c>
      <c r="F1009" s="218" t="s">
        <v>1840</v>
      </c>
      <c r="G1009" s="218" t="s">
        <v>1841</v>
      </c>
    </row>
    <row r="1010" spans="1:7" x14ac:dyDescent="0.15">
      <c r="A1010" s="218" t="s">
        <v>4002</v>
      </c>
      <c r="B1010" s="218" t="s">
        <v>4003</v>
      </c>
      <c r="C1010" s="218" t="s">
        <v>3534</v>
      </c>
      <c r="D1010" s="218" t="s">
        <v>4004</v>
      </c>
      <c r="E1010" s="218" t="s">
        <v>1839</v>
      </c>
      <c r="F1010" s="218" t="s">
        <v>1840</v>
      </c>
      <c r="G1010" s="218" t="s">
        <v>1841</v>
      </c>
    </row>
    <row r="1011" spans="1:7" x14ac:dyDescent="0.15">
      <c r="A1011" s="218" t="s">
        <v>4005</v>
      </c>
      <c r="B1011" s="218" t="s">
        <v>4006</v>
      </c>
      <c r="C1011" s="218" t="s">
        <v>3534</v>
      </c>
      <c r="D1011" s="218" t="s">
        <v>4007</v>
      </c>
      <c r="E1011" s="218" t="s">
        <v>1839</v>
      </c>
      <c r="F1011" s="218" t="s">
        <v>1840</v>
      </c>
      <c r="G1011" s="218" t="s">
        <v>1841</v>
      </c>
    </row>
    <row r="1012" spans="1:7" x14ac:dyDescent="0.15">
      <c r="A1012" s="218" t="s">
        <v>9564</v>
      </c>
      <c r="B1012" s="218" t="s">
        <v>9565</v>
      </c>
      <c r="C1012" s="218" t="s">
        <v>3534</v>
      </c>
      <c r="D1012" s="218" t="s">
        <v>9566</v>
      </c>
      <c r="E1012" s="218" t="s">
        <v>1839</v>
      </c>
      <c r="F1012" s="218" t="s">
        <v>1840</v>
      </c>
      <c r="G1012" s="218" t="s">
        <v>1841</v>
      </c>
    </row>
    <row r="1013" spans="1:7" x14ac:dyDescent="0.15">
      <c r="A1013" s="218" t="s">
        <v>4008</v>
      </c>
      <c r="B1013" s="218" t="s">
        <v>4009</v>
      </c>
      <c r="C1013" s="218" t="s">
        <v>3534</v>
      </c>
      <c r="D1013" s="218" t="s">
        <v>4010</v>
      </c>
      <c r="E1013" s="218" t="s">
        <v>1839</v>
      </c>
      <c r="F1013" s="218" t="s">
        <v>1840</v>
      </c>
      <c r="G1013" s="218" t="s">
        <v>1841</v>
      </c>
    </row>
    <row r="1014" spans="1:7" x14ac:dyDescent="0.15">
      <c r="A1014" s="218" t="s">
        <v>4011</v>
      </c>
      <c r="B1014" s="218" t="s">
        <v>4012</v>
      </c>
      <c r="C1014" s="218" t="s">
        <v>3534</v>
      </c>
      <c r="D1014" s="218" t="s">
        <v>4013</v>
      </c>
      <c r="E1014" s="218" t="s">
        <v>1839</v>
      </c>
      <c r="F1014" s="218" t="s">
        <v>1840</v>
      </c>
      <c r="G1014" s="218" t="s">
        <v>1841</v>
      </c>
    </row>
    <row r="1015" spans="1:7" x14ac:dyDescent="0.15">
      <c r="A1015" s="218" t="s">
        <v>9567</v>
      </c>
      <c r="B1015" s="218" t="s">
        <v>9568</v>
      </c>
      <c r="C1015" s="218" t="s">
        <v>3534</v>
      </c>
      <c r="D1015" s="218" t="s">
        <v>9569</v>
      </c>
      <c r="E1015" s="218" t="s">
        <v>1839</v>
      </c>
      <c r="F1015" s="218" t="s">
        <v>1840</v>
      </c>
      <c r="G1015" s="218" t="s">
        <v>1841</v>
      </c>
    </row>
    <row r="1016" spans="1:7" x14ac:dyDescent="0.15">
      <c r="A1016" s="218" t="s">
        <v>9570</v>
      </c>
      <c r="B1016" s="218" t="s">
        <v>9571</v>
      </c>
      <c r="C1016" s="218" t="s">
        <v>3534</v>
      </c>
      <c r="D1016" s="218" t="s">
        <v>9572</v>
      </c>
      <c r="E1016" s="218" t="s">
        <v>1839</v>
      </c>
      <c r="F1016" s="218" t="s">
        <v>1840</v>
      </c>
      <c r="G1016" s="218" t="s">
        <v>1841</v>
      </c>
    </row>
    <row r="1017" spans="1:7" x14ac:dyDescent="0.15">
      <c r="A1017" s="218" t="s">
        <v>4014</v>
      </c>
      <c r="B1017" s="218" t="s">
        <v>4015</v>
      </c>
      <c r="C1017" s="218" t="s">
        <v>3534</v>
      </c>
      <c r="D1017" s="218" t="s">
        <v>4016</v>
      </c>
      <c r="E1017" s="218" t="s">
        <v>1839</v>
      </c>
      <c r="F1017" s="218" t="s">
        <v>1840</v>
      </c>
      <c r="G1017" s="218" t="s">
        <v>1841</v>
      </c>
    </row>
    <row r="1018" spans="1:7" x14ac:dyDescent="0.15">
      <c r="A1018" s="218" t="s">
        <v>4017</v>
      </c>
      <c r="B1018" s="218" t="s">
        <v>4018</v>
      </c>
      <c r="C1018" s="218" t="s">
        <v>3534</v>
      </c>
      <c r="D1018" s="218" t="s">
        <v>4019</v>
      </c>
      <c r="E1018" s="218" t="s">
        <v>1839</v>
      </c>
      <c r="F1018" s="218" t="s">
        <v>1840</v>
      </c>
      <c r="G1018" s="218" t="s">
        <v>1841</v>
      </c>
    </row>
    <row r="1019" spans="1:7" x14ac:dyDescent="0.15">
      <c r="A1019" s="218" t="s">
        <v>9573</v>
      </c>
      <c r="B1019" s="218" t="s">
        <v>9574</v>
      </c>
      <c r="C1019" s="218" t="s">
        <v>3534</v>
      </c>
      <c r="D1019" s="218" t="s">
        <v>9575</v>
      </c>
      <c r="E1019" s="218" t="s">
        <v>1839</v>
      </c>
      <c r="F1019" s="218" t="s">
        <v>1840</v>
      </c>
      <c r="G1019" s="218" t="s">
        <v>1841</v>
      </c>
    </row>
    <row r="1020" spans="1:7" x14ac:dyDescent="0.15">
      <c r="A1020" s="218" t="s">
        <v>4023</v>
      </c>
      <c r="B1020" s="218" t="s">
        <v>4024</v>
      </c>
      <c r="C1020" s="218" t="s">
        <v>3534</v>
      </c>
      <c r="D1020" s="218" t="s">
        <v>4025</v>
      </c>
      <c r="E1020" s="218" t="s">
        <v>1839</v>
      </c>
      <c r="F1020" s="218" t="s">
        <v>1840</v>
      </c>
      <c r="G1020" s="218" t="s">
        <v>1841</v>
      </c>
    </row>
    <row r="1021" spans="1:7" x14ac:dyDescent="0.15">
      <c r="A1021" s="218" t="s">
        <v>9576</v>
      </c>
      <c r="B1021" s="218" t="s">
        <v>1181</v>
      </c>
      <c r="C1021" s="218" t="s">
        <v>3534</v>
      </c>
      <c r="D1021" s="218" t="s">
        <v>1182</v>
      </c>
      <c r="E1021" s="218" t="s">
        <v>1839</v>
      </c>
      <c r="F1021" s="218" t="s">
        <v>1840</v>
      </c>
      <c r="G1021" s="218" t="s">
        <v>1841</v>
      </c>
    </row>
    <row r="1022" spans="1:7" x14ac:dyDescent="0.15">
      <c r="A1022" s="218" t="s">
        <v>4026</v>
      </c>
      <c r="B1022" s="218" t="s">
        <v>4027</v>
      </c>
      <c r="C1022" s="218" t="s">
        <v>3534</v>
      </c>
      <c r="D1022" s="218" t="s">
        <v>4028</v>
      </c>
      <c r="E1022" s="218" t="s">
        <v>1839</v>
      </c>
      <c r="F1022" s="218" t="s">
        <v>1840</v>
      </c>
      <c r="G1022" s="218" t="s">
        <v>1841</v>
      </c>
    </row>
    <row r="1023" spans="1:7" x14ac:dyDescent="0.15">
      <c r="A1023" s="218" t="s">
        <v>9577</v>
      </c>
      <c r="B1023" s="218" t="s">
        <v>1751</v>
      </c>
      <c r="C1023" s="218" t="s">
        <v>3534</v>
      </c>
      <c r="D1023" s="218" t="s">
        <v>1752</v>
      </c>
      <c r="E1023" s="218" t="s">
        <v>1839</v>
      </c>
      <c r="F1023" s="218" t="s">
        <v>1840</v>
      </c>
      <c r="G1023" s="218" t="s">
        <v>1841</v>
      </c>
    </row>
    <row r="1024" spans="1:7" x14ac:dyDescent="0.15">
      <c r="A1024" s="218" t="s">
        <v>9578</v>
      </c>
      <c r="B1024" s="218" t="s">
        <v>9579</v>
      </c>
      <c r="C1024" s="218" t="s">
        <v>3534</v>
      </c>
      <c r="D1024" s="218" t="s">
        <v>9580</v>
      </c>
      <c r="E1024" s="218" t="s">
        <v>1839</v>
      </c>
      <c r="F1024" s="218" t="s">
        <v>1840</v>
      </c>
      <c r="G1024" s="218" t="s">
        <v>1841</v>
      </c>
    </row>
    <row r="1025" spans="1:7" x14ac:dyDescent="0.15">
      <c r="A1025" s="218" t="s">
        <v>9581</v>
      </c>
      <c r="B1025" s="218" t="s">
        <v>9582</v>
      </c>
      <c r="C1025" s="218" t="s">
        <v>3534</v>
      </c>
      <c r="D1025" s="218" t="s">
        <v>9583</v>
      </c>
      <c r="E1025" s="218" t="s">
        <v>1839</v>
      </c>
      <c r="F1025" s="218" t="s">
        <v>1840</v>
      </c>
      <c r="G1025" s="218" t="s">
        <v>1841</v>
      </c>
    </row>
    <row r="1026" spans="1:7" x14ac:dyDescent="0.15">
      <c r="A1026" s="218" t="s">
        <v>4029</v>
      </c>
      <c r="B1026" s="218" t="s">
        <v>4030</v>
      </c>
      <c r="C1026" s="218" t="s">
        <v>3534</v>
      </c>
      <c r="D1026" s="218" t="s">
        <v>4031</v>
      </c>
      <c r="E1026" s="218" t="s">
        <v>1839</v>
      </c>
      <c r="F1026" s="218" t="s">
        <v>1840</v>
      </c>
      <c r="G1026" s="218" t="s">
        <v>1841</v>
      </c>
    </row>
    <row r="1027" spans="1:7" x14ac:dyDescent="0.15">
      <c r="A1027" s="218" t="s">
        <v>9584</v>
      </c>
      <c r="B1027" s="218" t="s">
        <v>1386</v>
      </c>
      <c r="C1027" s="218" t="s">
        <v>3534</v>
      </c>
      <c r="D1027" s="218" t="s">
        <v>1387</v>
      </c>
      <c r="E1027" s="218" t="s">
        <v>1839</v>
      </c>
      <c r="F1027" s="218" t="s">
        <v>1840</v>
      </c>
      <c r="G1027" s="218" t="s">
        <v>1841</v>
      </c>
    </row>
    <row r="1028" spans="1:7" x14ac:dyDescent="0.15">
      <c r="A1028" s="218" t="s">
        <v>11601</v>
      </c>
      <c r="B1028" s="218" t="s">
        <v>11602</v>
      </c>
      <c r="C1028" s="218" t="s">
        <v>3534</v>
      </c>
      <c r="D1028" s="218" t="s">
        <v>11603</v>
      </c>
      <c r="E1028" s="218" t="s">
        <v>1839</v>
      </c>
      <c r="F1028" s="218" t="s">
        <v>1840</v>
      </c>
      <c r="G1028" s="218" t="s">
        <v>1841</v>
      </c>
    </row>
    <row r="1029" spans="1:7" x14ac:dyDescent="0.15">
      <c r="A1029" s="218" t="s">
        <v>9585</v>
      </c>
      <c r="B1029" s="218" t="s">
        <v>9586</v>
      </c>
      <c r="C1029" s="218" t="s">
        <v>3534</v>
      </c>
      <c r="D1029" s="218" t="s">
        <v>9587</v>
      </c>
      <c r="E1029" s="218" t="s">
        <v>1839</v>
      </c>
      <c r="F1029" s="218" t="s">
        <v>1840</v>
      </c>
      <c r="G1029" s="218" t="s">
        <v>1841</v>
      </c>
    </row>
    <row r="1030" spans="1:7" x14ac:dyDescent="0.15">
      <c r="A1030" s="218" t="s">
        <v>9588</v>
      </c>
      <c r="B1030" s="218" t="s">
        <v>9589</v>
      </c>
      <c r="C1030" s="218" t="s">
        <v>3534</v>
      </c>
      <c r="D1030" s="218" t="s">
        <v>9590</v>
      </c>
      <c r="E1030" s="218" t="s">
        <v>1839</v>
      </c>
      <c r="F1030" s="218" t="s">
        <v>1840</v>
      </c>
      <c r="G1030" s="218" t="s">
        <v>1841</v>
      </c>
    </row>
    <row r="1031" spans="1:7" x14ac:dyDescent="0.15">
      <c r="A1031" s="218" t="s">
        <v>9591</v>
      </c>
      <c r="B1031" s="218" t="s">
        <v>1595</v>
      </c>
      <c r="C1031" s="218" t="s">
        <v>3534</v>
      </c>
      <c r="D1031" s="218" t="s">
        <v>1596</v>
      </c>
      <c r="E1031" s="218" t="s">
        <v>1839</v>
      </c>
      <c r="F1031" s="218" t="s">
        <v>1840</v>
      </c>
      <c r="G1031" s="218" t="s">
        <v>1841</v>
      </c>
    </row>
    <row r="1032" spans="1:7" x14ac:dyDescent="0.15">
      <c r="A1032" s="218" t="s">
        <v>4032</v>
      </c>
      <c r="B1032" s="218" t="s">
        <v>4033</v>
      </c>
      <c r="C1032" s="218" t="s">
        <v>3534</v>
      </c>
      <c r="D1032" s="218" t="s">
        <v>4034</v>
      </c>
      <c r="E1032" s="218" t="s">
        <v>1839</v>
      </c>
      <c r="F1032" s="218" t="s">
        <v>1840</v>
      </c>
      <c r="G1032" s="218" t="s">
        <v>1841</v>
      </c>
    </row>
    <row r="1033" spans="1:7" x14ac:dyDescent="0.15">
      <c r="A1033" s="218" t="s">
        <v>4035</v>
      </c>
      <c r="B1033" s="218" t="s">
        <v>4036</v>
      </c>
      <c r="C1033" s="218" t="s">
        <v>3534</v>
      </c>
      <c r="D1033" s="218" t="s">
        <v>4037</v>
      </c>
      <c r="E1033" s="218" t="s">
        <v>1839</v>
      </c>
      <c r="F1033" s="218" t="s">
        <v>1840</v>
      </c>
      <c r="G1033" s="218" t="s">
        <v>1841</v>
      </c>
    </row>
    <row r="1034" spans="1:7" x14ac:dyDescent="0.15">
      <c r="A1034" s="218" t="s">
        <v>4038</v>
      </c>
      <c r="B1034" s="218" t="s">
        <v>4039</v>
      </c>
      <c r="C1034" s="218" t="s">
        <v>3534</v>
      </c>
      <c r="D1034" s="218" t="s">
        <v>4040</v>
      </c>
      <c r="E1034" s="218" t="s">
        <v>1839</v>
      </c>
      <c r="F1034" s="218" t="s">
        <v>1840</v>
      </c>
      <c r="G1034" s="218" t="s">
        <v>1841</v>
      </c>
    </row>
    <row r="1035" spans="1:7" x14ac:dyDescent="0.15">
      <c r="A1035" s="218" t="s">
        <v>9592</v>
      </c>
      <c r="B1035" s="218" t="s">
        <v>9593</v>
      </c>
      <c r="C1035" s="218" t="s">
        <v>3534</v>
      </c>
      <c r="D1035" s="218" t="s">
        <v>9594</v>
      </c>
      <c r="E1035" s="218" t="s">
        <v>1839</v>
      </c>
      <c r="F1035" s="218" t="s">
        <v>1840</v>
      </c>
      <c r="G1035" s="218" t="s">
        <v>1841</v>
      </c>
    </row>
    <row r="1036" spans="1:7" x14ac:dyDescent="0.15">
      <c r="A1036" s="218" t="s">
        <v>9595</v>
      </c>
      <c r="B1036" s="218" t="s">
        <v>9596</v>
      </c>
      <c r="C1036" s="218" t="s">
        <v>3534</v>
      </c>
      <c r="D1036" s="218" t="s">
        <v>9597</v>
      </c>
      <c r="E1036" s="218" t="s">
        <v>1839</v>
      </c>
      <c r="F1036" s="218" t="s">
        <v>1840</v>
      </c>
      <c r="G1036" s="218" t="s">
        <v>1841</v>
      </c>
    </row>
    <row r="1037" spans="1:7" x14ac:dyDescent="0.15">
      <c r="A1037" s="218" t="s">
        <v>4041</v>
      </c>
      <c r="B1037" s="218" t="s">
        <v>4042</v>
      </c>
      <c r="C1037" s="218" t="s">
        <v>3534</v>
      </c>
      <c r="D1037" s="218" t="s">
        <v>4043</v>
      </c>
      <c r="E1037" s="218" t="s">
        <v>1839</v>
      </c>
      <c r="F1037" s="218" t="s">
        <v>1840</v>
      </c>
      <c r="G1037" s="218" t="s">
        <v>1841</v>
      </c>
    </row>
    <row r="1038" spans="1:7" x14ac:dyDescent="0.15">
      <c r="A1038" s="218" t="s">
        <v>4044</v>
      </c>
      <c r="B1038" s="218" t="s">
        <v>4045</v>
      </c>
      <c r="C1038" s="218" t="s">
        <v>3534</v>
      </c>
      <c r="D1038" s="218" t="s">
        <v>4046</v>
      </c>
      <c r="E1038" s="218" t="s">
        <v>1839</v>
      </c>
      <c r="F1038" s="218" t="s">
        <v>1840</v>
      </c>
      <c r="G1038" s="218" t="s">
        <v>1841</v>
      </c>
    </row>
    <row r="1039" spans="1:7" x14ac:dyDescent="0.15">
      <c r="A1039" s="218" t="s">
        <v>4047</v>
      </c>
      <c r="B1039" s="218" t="s">
        <v>4048</v>
      </c>
      <c r="C1039" s="218" t="s">
        <v>3534</v>
      </c>
      <c r="D1039" s="218" t="s">
        <v>4049</v>
      </c>
      <c r="E1039" s="218" t="s">
        <v>1839</v>
      </c>
      <c r="F1039" s="218" t="s">
        <v>1840</v>
      </c>
      <c r="G1039" s="218" t="s">
        <v>1841</v>
      </c>
    </row>
    <row r="1040" spans="1:7" x14ac:dyDescent="0.15">
      <c r="A1040" s="218" t="s">
        <v>4050</v>
      </c>
      <c r="B1040" s="218" t="s">
        <v>4051</v>
      </c>
      <c r="C1040" s="218" t="s">
        <v>3534</v>
      </c>
      <c r="D1040" s="218" t="s">
        <v>4052</v>
      </c>
      <c r="E1040" s="218" t="s">
        <v>1935</v>
      </c>
      <c r="F1040" s="218" t="s">
        <v>1840</v>
      </c>
      <c r="G1040" s="218" t="s">
        <v>1841</v>
      </c>
    </row>
    <row r="1041" spans="1:7" x14ac:dyDescent="0.15">
      <c r="A1041" s="218" t="s">
        <v>4053</v>
      </c>
      <c r="B1041" s="218" t="s">
        <v>4054</v>
      </c>
      <c r="C1041" s="218" t="s">
        <v>3534</v>
      </c>
      <c r="D1041" s="218" t="s">
        <v>4055</v>
      </c>
      <c r="E1041" s="218" t="s">
        <v>1839</v>
      </c>
      <c r="F1041" s="218" t="s">
        <v>1840</v>
      </c>
      <c r="G1041" s="218" t="s">
        <v>1841</v>
      </c>
    </row>
    <row r="1042" spans="1:7" x14ac:dyDescent="0.15">
      <c r="A1042" s="218" t="s">
        <v>4056</v>
      </c>
      <c r="B1042" s="218" t="s">
        <v>4057</v>
      </c>
      <c r="C1042" s="218" t="s">
        <v>3534</v>
      </c>
      <c r="D1042" s="218" t="s">
        <v>4058</v>
      </c>
      <c r="E1042" s="218" t="s">
        <v>1839</v>
      </c>
      <c r="F1042" s="218" t="s">
        <v>1840</v>
      </c>
      <c r="G1042" s="218" t="s">
        <v>1841</v>
      </c>
    </row>
    <row r="1043" spans="1:7" x14ac:dyDescent="0.15">
      <c r="A1043" s="218" t="s">
        <v>9598</v>
      </c>
      <c r="B1043" s="218" t="s">
        <v>9599</v>
      </c>
      <c r="C1043" s="218" t="s">
        <v>3534</v>
      </c>
      <c r="D1043" s="218" t="s">
        <v>9600</v>
      </c>
      <c r="E1043" s="218" t="s">
        <v>1935</v>
      </c>
      <c r="F1043" s="218" t="s">
        <v>1840</v>
      </c>
      <c r="G1043" s="218" t="s">
        <v>1841</v>
      </c>
    </row>
    <row r="1044" spans="1:7" x14ac:dyDescent="0.15">
      <c r="A1044" s="218" t="s">
        <v>4059</v>
      </c>
      <c r="B1044" s="218" t="s">
        <v>4060</v>
      </c>
      <c r="C1044" s="218" t="s">
        <v>3534</v>
      </c>
      <c r="D1044" s="218" t="s">
        <v>4061</v>
      </c>
      <c r="E1044" s="218" t="s">
        <v>1839</v>
      </c>
      <c r="F1044" s="218" t="s">
        <v>1840</v>
      </c>
      <c r="G1044" s="218" t="s">
        <v>1841</v>
      </c>
    </row>
    <row r="1045" spans="1:7" x14ac:dyDescent="0.15">
      <c r="A1045" s="218" t="s">
        <v>9601</v>
      </c>
      <c r="B1045" s="218" t="s">
        <v>849</v>
      </c>
      <c r="C1045" s="218" t="s">
        <v>3534</v>
      </c>
      <c r="D1045" s="218" t="s">
        <v>850</v>
      </c>
      <c r="E1045" s="218" t="s">
        <v>1839</v>
      </c>
      <c r="F1045" s="218" t="s">
        <v>1840</v>
      </c>
      <c r="G1045" s="218" t="s">
        <v>1841</v>
      </c>
    </row>
    <row r="1046" spans="1:7" x14ac:dyDescent="0.15">
      <c r="A1046" s="218" t="s">
        <v>4062</v>
      </c>
      <c r="B1046" s="218" t="s">
        <v>4063</v>
      </c>
      <c r="C1046" s="218" t="s">
        <v>3534</v>
      </c>
      <c r="D1046" s="218" t="s">
        <v>4064</v>
      </c>
      <c r="E1046" s="218" t="s">
        <v>1839</v>
      </c>
      <c r="F1046" s="218" t="s">
        <v>1840</v>
      </c>
      <c r="G1046" s="218" t="s">
        <v>1841</v>
      </c>
    </row>
    <row r="1047" spans="1:7" x14ac:dyDescent="0.15">
      <c r="A1047" s="218" t="s">
        <v>4065</v>
      </c>
      <c r="B1047" s="218" t="s">
        <v>684</v>
      </c>
      <c r="C1047" s="218" t="s">
        <v>3534</v>
      </c>
      <c r="D1047" s="218" t="s">
        <v>685</v>
      </c>
      <c r="E1047" s="218" t="s">
        <v>1839</v>
      </c>
      <c r="F1047" s="218" t="s">
        <v>1840</v>
      </c>
      <c r="G1047" s="218" t="s">
        <v>1841</v>
      </c>
    </row>
    <row r="1048" spans="1:7" x14ac:dyDescent="0.15">
      <c r="A1048" s="218" t="s">
        <v>4066</v>
      </c>
      <c r="B1048" s="218" t="s">
        <v>4067</v>
      </c>
      <c r="C1048" s="218" t="s">
        <v>3534</v>
      </c>
      <c r="D1048" s="218" t="s">
        <v>4068</v>
      </c>
      <c r="E1048" s="218" t="s">
        <v>1935</v>
      </c>
      <c r="F1048" s="218" t="s">
        <v>1840</v>
      </c>
      <c r="G1048" s="218" t="s">
        <v>1841</v>
      </c>
    </row>
    <row r="1049" spans="1:7" x14ac:dyDescent="0.15">
      <c r="A1049" s="218" t="s">
        <v>4069</v>
      </c>
      <c r="B1049" s="218" t="s">
        <v>4070</v>
      </c>
      <c r="C1049" s="218" t="s">
        <v>3534</v>
      </c>
      <c r="D1049" s="218" t="s">
        <v>4071</v>
      </c>
      <c r="E1049" s="218" t="s">
        <v>1839</v>
      </c>
      <c r="F1049" s="218" t="s">
        <v>1840</v>
      </c>
      <c r="G1049" s="218" t="s">
        <v>1841</v>
      </c>
    </row>
    <row r="1050" spans="1:7" x14ac:dyDescent="0.15">
      <c r="A1050" s="218" t="s">
        <v>4072</v>
      </c>
      <c r="B1050" s="218" t="s">
        <v>4073</v>
      </c>
      <c r="C1050" s="218" t="s">
        <v>3534</v>
      </c>
      <c r="D1050" s="218" t="s">
        <v>4074</v>
      </c>
      <c r="E1050" s="218" t="s">
        <v>1839</v>
      </c>
      <c r="F1050" s="218" t="s">
        <v>1840</v>
      </c>
      <c r="G1050" s="218" t="s">
        <v>1841</v>
      </c>
    </row>
    <row r="1051" spans="1:7" x14ac:dyDescent="0.15">
      <c r="A1051" s="218" t="s">
        <v>4075</v>
      </c>
      <c r="B1051" s="218" t="s">
        <v>4076</v>
      </c>
      <c r="C1051" s="218" t="s">
        <v>3534</v>
      </c>
      <c r="D1051" s="218" t="s">
        <v>4077</v>
      </c>
      <c r="E1051" s="218" t="s">
        <v>1839</v>
      </c>
      <c r="F1051" s="218" t="s">
        <v>1840</v>
      </c>
      <c r="G1051" s="218" t="s">
        <v>1841</v>
      </c>
    </row>
    <row r="1052" spans="1:7" x14ac:dyDescent="0.15">
      <c r="A1052" s="218" t="s">
        <v>9602</v>
      </c>
      <c r="B1052" s="218" t="s">
        <v>727</v>
      </c>
      <c r="C1052" s="218" t="s">
        <v>3534</v>
      </c>
      <c r="D1052" s="218" t="s">
        <v>728</v>
      </c>
      <c r="E1052" s="218" t="s">
        <v>1839</v>
      </c>
      <c r="F1052" s="218" t="s">
        <v>1840</v>
      </c>
      <c r="G1052" s="218" t="s">
        <v>1841</v>
      </c>
    </row>
    <row r="1053" spans="1:7" x14ac:dyDescent="0.15">
      <c r="A1053" s="218" t="s">
        <v>4078</v>
      </c>
      <c r="B1053" s="218" t="s">
        <v>4079</v>
      </c>
      <c r="C1053" s="218" t="s">
        <v>3534</v>
      </c>
      <c r="D1053" s="218" t="s">
        <v>4080</v>
      </c>
      <c r="E1053" s="218" t="s">
        <v>1839</v>
      </c>
      <c r="F1053" s="218" t="s">
        <v>1840</v>
      </c>
      <c r="G1053" s="218" t="s">
        <v>1841</v>
      </c>
    </row>
    <row r="1054" spans="1:7" x14ac:dyDescent="0.15">
      <c r="A1054" s="218" t="s">
        <v>9603</v>
      </c>
      <c r="B1054" s="218" t="s">
        <v>680</v>
      </c>
      <c r="C1054" s="218" t="s">
        <v>3534</v>
      </c>
      <c r="D1054" s="218" t="s">
        <v>681</v>
      </c>
      <c r="E1054" s="218" t="s">
        <v>1839</v>
      </c>
      <c r="F1054" s="218" t="s">
        <v>1840</v>
      </c>
      <c r="G1054" s="218" t="s">
        <v>1841</v>
      </c>
    </row>
    <row r="1055" spans="1:7" x14ac:dyDescent="0.15">
      <c r="A1055" s="218" t="s">
        <v>4081</v>
      </c>
      <c r="B1055" s="218" t="s">
        <v>4082</v>
      </c>
      <c r="C1055" s="218" t="s">
        <v>3534</v>
      </c>
      <c r="D1055" s="218" t="s">
        <v>4083</v>
      </c>
      <c r="E1055" s="218" t="s">
        <v>1839</v>
      </c>
      <c r="F1055" s="218" t="s">
        <v>1840</v>
      </c>
      <c r="G1055" s="218" t="s">
        <v>1841</v>
      </c>
    </row>
    <row r="1056" spans="1:7" x14ac:dyDescent="0.15">
      <c r="A1056" s="218" t="s">
        <v>9604</v>
      </c>
      <c r="B1056" s="218" t="s">
        <v>9605</v>
      </c>
      <c r="C1056" s="218" t="s">
        <v>3534</v>
      </c>
      <c r="D1056" s="218" t="s">
        <v>9606</v>
      </c>
      <c r="E1056" s="218" t="s">
        <v>1935</v>
      </c>
      <c r="F1056" s="218" t="s">
        <v>1840</v>
      </c>
      <c r="G1056" s="218" t="s">
        <v>1841</v>
      </c>
    </row>
    <row r="1057" spans="1:7" x14ac:dyDescent="0.15">
      <c r="A1057" s="218" t="s">
        <v>4084</v>
      </c>
      <c r="B1057" s="218" t="s">
        <v>4085</v>
      </c>
      <c r="C1057" s="218" t="s">
        <v>3534</v>
      </c>
      <c r="D1057" s="218" t="s">
        <v>4086</v>
      </c>
      <c r="E1057" s="218" t="s">
        <v>1839</v>
      </c>
      <c r="F1057" s="218" t="s">
        <v>1840</v>
      </c>
      <c r="G1057" s="218" t="s">
        <v>1841</v>
      </c>
    </row>
    <row r="1058" spans="1:7" x14ac:dyDescent="0.15">
      <c r="A1058" s="218" t="s">
        <v>4087</v>
      </c>
      <c r="B1058" s="218" t="s">
        <v>4088</v>
      </c>
      <c r="C1058" s="218" t="s">
        <v>3534</v>
      </c>
      <c r="D1058" s="218" t="s">
        <v>4089</v>
      </c>
      <c r="E1058" s="218" t="s">
        <v>1839</v>
      </c>
      <c r="F1058" s="218" t="s">
        <v>1840</v>
      </c>
      <c r="G1058" s="218" t="s">
        <v>1841</v>
      </c>
    </row>
    <row r="1059" spans="1:7" x14ac:dyDescent="0.15">
      <c r="A1059" s="218" t="s">
        <v>4090</v>
      </c>
      <c r="B1059" s="218" t="s">
        <v>4091</v>
      </c>
      <c r="C1059" s="218" t="s">
        <v>3534</v>
      </c>
      <c r="D1059" s="218" t="s">
        <v>4092</v>
      </c>
      <c r="E1059" s="218" t="s">
        <v>1839</v>
      </c>
      <c r="F1059" s="218" t="s">
        <v>1840</v>
      </c>
      <c r="G1059" s="218" t="s">
        <v>1841</v>
      </c>
    </row>
    <row r="1060" spans="1:7" x14ac:dyDescent="0.15">
      <c r="A1060" s="218" t="s">
        <v>9607</v>
      </c>
      <c r="B1060" s="218" t="s">
        <v>1333</v>
      </c>
      <c r="C1060" s="218" t="s">
        <v>3534</v>
      </c>
      <c r="D1060" s="218" t="s">
        <v>1334</v>
      </c>
      <c r="E1060" s="218" t="s">
        <v>1839</v>
      </c>
      <c r="F1060" s="218" t="s">
        <v>1840</v>
      </c>
      <c r="G1060" s="218" t="s">
        <v>1841</v>
      </c>
    </row>
    <row r="1061" spans="1:7" x14ac:dyDescent="0.15">
      <c r="A1061" s="218" t="s">
        <v>4093</v>
      </c>
      <c r="B1061" s="218" t="s">
        <v>4094</v>
      </c>
      <c r="C1061" s="218" t="s">
        <v>3534</v>
      </c>
      <c r="D1061" s="218" t="s">
        <v>4095</v>
      </c>
      <c r="E1061" s="218" t="s">
        <v>1839</v>
      </c>
      <c r="F1061" s="218" t="s">
        <v>1840</v>
      </c>
      <c r="G1061" s="218" t="s">
        <v>1841</v>
      </c>
    </row>
    <row r="1062" spans="1:7" x14ac:dyDescent="0.15">
      <c r="A1062" s="218" t="s">
        <v>4096</v>
      </c>
      <c r="B1062" s="218" t="s">
        <v>4097</v>
      </c>
      <c r="C1062" s="218" t="s">
        <v>3534</v>
      </c>
      <c r="D1062" s="218" t="s">
        <v>4098</v>
      </c>
      <c r="E1062" s="218" t="s">
        <v>1839</v>
      </c>
      <c r="F1062" s="218" t="s">
        <v>1840</v>
      </c>
      <c r="G1062" s="218" t="s">
        <v>1841</v>
      </c>
    </row>
    <row r="1063" spans="1:7" x14ac:dyDescent="0.15">
      <c r="A1063" s="218" t="s">
        <v>4099</v>
      </c>
      <c r="B1063" s="218" t="s">
        <v>4100</v>
      </c>
      <c r="C1063" s="218" t="s">
        <v>3534</v>
      </c>
      <c r="D1063" s="218" t="s">
        <v>4101</v>
      </c>
      <c r="E1063" s="218" t="s">
        <v>1839</v>
      </c>
      <c r="F1063" s="218" t="s">
        <v>1840</v>
      </c>
      <c r="G1063" s="218" t="s">
        <v>1841</v>
      </c>
    </row>
    <row r="1064" spans="1:7" x14ac:dyDescent="0.15">
      <c r="A1064" s="218" t="s">
        <v>4102</v>
      </c>
      <c r="B1064" s="218" t="s">
        <v>4103</v>
      </c>
      <c r="C1064" s="218" t="s">
        <v>3534</v>
      </c>
      <c r="D1064" s="218" t="s">
        <v>4104</v>
      </c>
      <c r="E1064" s="218" t="s">
        <v>1839</v>
      </c>
      <c r="F1064" s="218" t="s">
        <v>1840</v>
      </c>
      <c r="G1064" s="218" t="s">
        <v>1841</v>
      </c>
    </row>
    <row r="1065" spans="1:7" x14ac:dyDescent="0.15">
      <c r="A1065" s="218" t="s">
        <v>9608</v>
      </c>
      <c r="B1065" s="218" t="s">
        <v>9609</v>
      </c>
      <c r="C1065" s="218" t="s">
        <v>3534</v>
      </c>
      <c r="D1065" s="218" t="s">
        <v>9610</v>
      </c>
      <c r="E1065" s="218" t="s">
        <v>1839</v>
      </c>
      <c r="F1065" s="218" t="s">
        <v>1840</v>
      </c>
      <c r="G1065" s="218" t="s">
        <v>1841</v>
      </c>
    </row>
    <row r="1066" spans="1:7" x14ac:dyDescent="0.15">
      <c r="A1066" s="218" t="s">
        <v>9611</v>
      </c>
      <c r="B1066" s="218" t="s">
        <v>9612</v>
      </c>
      <c r="C1066" s="218" t="s">
        <v>3534</v>
      </c>
      <c r="D1066" s="218" t="s">
        <v>9613</v>
      </c>
      <c r="E1066" s="218" t="s">
        <v>1839</v>
      </c>
      <c r="F1066" s="218" t="s">
        <v>1840</v>
      </c>
      <c r="G1066" s="218" t="s">
        <v>1841</v>
      </c>
    </row>
    <row r="1067" spans="1:7" x14ac:dyDescent="0.15">
      <c r="A1067" s="218" t="s">
        <v>4105</v>
      </c>
      <c r="B1067" s="218" t="s">
        <v>4106</v>
      </c>
      <c r="C1067" s="218" t="s">
        <v>3534</v>
      </c>
      <c r="D1067" s="218" t="s">
        <v>4107</v>
      </c>
      <c r="E1067" s="218" t="s">
        <v>1839</v>
      </c>
      <c r="F1067" s="218" t="s">
        <v>1840</v>
      </c>
      <c r="G1067" s="218" t="s">
        <v>1841</v>
      </c>
    </row>
    <row r="1068" spans="1:7" x14ac:dyDescent="0.15">
      <c r="A1068" s="218" t="s">
        <v>9614</v>
      </c>
      <c r="B1068" s="218" t="s">
        <v>924</v>
      </c>
      <c r="C1068" s="218" t="s">
        <v>3534</v>
      </c>
      <c r="D1068" s="218" t="s">
        <v>925</v>
      </c>
      <c r="E1068" s="218" t="s">
        <v>1839</v>
      </c>
      <c r="F1068" s="218" t="s">
        <v>1840</v>
      </c>
      <c r="G1068" s="218" t="s">
        <v>1841</v>
      </c>
    </row>
    <row r="1069" spans="1:7" x14ac:dyDescent="0.15">
      <c r="A1069" s="218" t="s">
        <v>4108</v>
      </c>
      <c r="B1069" s="218" t="s">
        <v>4109</v>
      </c>
      <c r="C1069" s="218" t="s">
        <v>3534</v>
      </c>
      <c r="D1069" s="218" t="s">
        <v>4110</v>
      </c>
      <c r="E1069" s="218" t="s">
        <v>1839</v>
      </c>
      <c r="F1069" s="218" t="s">
        <v>1840</v>
      </c>
      <c r="G1069" s="218" t="s">
        <v>1841</v>
      </c>
    </row>
    <row r="1070" spans="1:7" x14ac:dyDescent="0.15">
      <c r="A1070" s="218" t="s">
        <v>4111</v>
      </c>
      <c r="B1070" s="218" t="s">
        <v>4112</v>
      </c>
      <c r="C1070" s="218" t="s">
        <v>3534</v>
      </c>
      <c r="D1070" s="218" t="s">
        <v>4113</v>
      </c>
      <c r="E1070" s="218" t="s">
        <v>1839</v>
      </c>
      <c r="F1070" s="218" t="s">
        <v>1840</v>
      </c>
      <c r="G1070" s="218" t="s">
        <v>1841</v>
      </c>
    </row>
    <row r="1071" spans="1:7" x14ac:dyDescent="0.15">
      <c r="A1071" s="218" t="s">
        <v>4114</v>
      </c>
      <c r="B1071" s="218" t="s">
        <v>4115</v>
      </c>
      <c r="C1071" s="218" t="s">
        <v>3534</v>
      </c>
      <c r="D1071" s="218" t="s">
        <v>4116</v>
      </c>
      <c r="E1071" s="218" t="s">
        <v>1839</v>
      </c>
      <c r="F1071" s="218" t="s">
        <v>1840</v>
      </c>
      <c r="G1071" s="218" t="s">
        <v>1841</v>
      </c>
    </row>
    <row r="1072" spans="1:7" x14ac:dyDescent="0.15">
      <c r="A1072" s="218" t="s">
        <v>9615</v>
      </c>
      <c r="B1072" s="218" t="s">
        <v>9616</v>
      </c>
      <c r="C1072" s="218" t="s">
        <v>3534</v>
      </c>
      <c r="D1072" s="218" t="s">
        <v>9617</v>
      </c>
      <c r="E1072" s="218" t="s">
        <v>1839</v>
      </c>
      <c r="F1072" s="218" t="s">
        <v>1840</v>
      </c>
      <c r="G1072" s="218" t="s">
        <v>1841</v>
      </c>
    </row>
    <row r="1073" spans="1:7" x14ac:dyDescent="0.15">
      <c r="A1073" s="218" t="s">
        <v>9618</v>
      </c>
      <c r="B1073" s="218" t="s">
        <v>1707</v>
      </c>
      <c r="C1073" s="218" t="s">
        <v>3534</v>
      </c>
      <c r="D1073" s="218" t="s">
        <v>1708</v>
      </c>
      <c r="E1073" s="218" t="s">
        <v>1935</v>
      </c>
      <c r="F1073" s="218" t="s">
        <v>1840</v>
      </c>
      <c r="G1073" s="218" t="s">
        <v>1841</v>
      </c>
    </row>
    <row r="1074" spans="1:7" x14ac:dyDescent="0.15">
      <c r="A1074" s="218" t="s">
        <v>4117</v>
      </c>
      <c r="B1074" s="218" t="s">
        <v>4118</v>
      </c>
      <c r="C1074" s="218" t="s">
        <v>3534</v>
      </c>
      <c r="D1074" s="218" t="s">
        <v>4119</v>
      </c>
      <c r="E1074" s="218" t="s">
        <v>1839</v>
      </c>
      <c r="F1074" s="218" t="s">
        <v>1840</v>
      </c>
      <c r="G1074" s="218" t="s">
        <v>1841</v>
      </c>
    </row>
    <row r="1075" spans="1:7" x14ac:dyDescent="0.15">
      <c r="A1075" s="218" t="s">
        <v>9619</v>
      </c>
      <c r="B1075" s="218" t="s">
        <v>9620</v>
      </c>
      <c r="C1075" s="218" t="s">
        <v>3534</v>
      </c>
      <c r="D1075" s="218" t="s">
        <v>9621</v>
      </c>
      <c r="E1075" s="218" t="s">
        <v>1839</v>
      </c>
      <c r="F1075" s="218" t="s">
        <v>1840</v>
      </c>
      <c r="G1075" s="218" t="s">
        <v>1841</v>
      </c>
    </row>
    <row r="1076" spans="1:7" x14ac:dyDescent="0.15">
      <c r="A1076" s="218" t="s">
        <v>9622</v>
      </c>
      <c r="B1076" s="218" t="s">
        <v>9623</v>
      </c>
      <c r="C1076" s="218" t="s">
        <v>3534</v>
      </c>
      <c r="D1076" s="218" t="s">
        <v>9624</v>
      </c>
      <c r="E1076" s="218" t="s">
        <v>1839</v>
      </c>
      <c r="F1076" s="218" t="s">
        <v>1840</v>
      </c>
      <c r="G1076" s="218" t="s">
        <v>1841</v>
      </c>
    </row>
    <row r="1077" spans="1:7" x14ac:dyDescent="0.15">
      <c r="A1077" s="218" t="s">
        <v>4120</v>
      </c>
      <c r="B1077" s="218" t="s">
        <v>4121</v>
      </c>
      <c r="C1077" s="218" t="s">
        <v>3534</v>
      </c>
      <c r="D1077" s="218" t="s">
        <v>4122</v>
      </c>
      <c r="E1077" s="218" t="s">
        <v>1839</v>
      </c>
      <c r="F1077" s="218" t="s">
        <v>1840</v>
      </c>
      <c r="G1077" s="218" t="s">
        <v>1841</v>
      </c>
    </row>
    <row r="1078" spans="1:7" x14ac:dyDescent="0.15">
      <c r="A1078" s="218" t="s">
        <v>4123</v>
      </c>
      <c r="B1078" s="218" t="s">
        <v>4124</v>
      </c>
      <c r="C1078" s="218" t="s">
        <v>3534</v>
      </c>
      <c r="D1078" s="218" t="s">
        <v>4125</v>
      </c>
      <c r="E1078" s="218" t="s">
        <v>1839</v>
      </c>
      <c r="F1078" s="218" t="s">
        <v>1840</v>
      </c>
      <c r="G1078" s="218" t="s">
        <v>1841</v>
      </c>
    </row>
    <row r="1079" spans="1:7" x14ac:dyDescent="0.15">
      <c r="A1079" s="218" t="s">
        <v>4126</v>
      </c>
      <c r="B1079" s="218" t="s">
        <v>4127</v>
      </c>
      <c r="C1079" s="218" t="s">
        <v>3534</v>
      </c>
      <c r="D1079" s="218" t="s">
        <v>4128</v>
      </c>
      <c r="E1079" s="218" t="s">
        <v>1839</v>
      </c>
      <c r="F1079" s="218" t="s">
        <v>1840</v>
      </c>
      <c r="G1079" s="218" t="s">
        <v>1841</v>
      </c>
    </row>
    <row r="1080" spans="1:7" x14ac:dyDescent="0.15">
      <c r="A1080" s="218" t="s">
        <v>4129</v>
      </c>
      <c r="B1080" s="218" t="s">
        <v>4130</v>
      </c>
      <c r="C1080" s="218" t="s">
        <v>3534</v>
      </c>
      <c r="D1080" s="218" t="s">
        <v>4131</v>
      </c>
      <c r="E1080" s="218" t="s">
        <v>1839</v>
      </c>
      <c r="F1080" s="218" t="s">
        <v>1840</v>
      </c>
      <c r="G1080" s="218" t="s">
        <v>1841</v>
      </c>
    </row>
    <row r="1081" spans="1:7" x14ac:dyDescent="0.15">
      <c r="A1081" s="218" t="s">
        <v>4132</v>
      </c>
      <c r="B1081" s="218" t="s">
        <v>4133</v>
      </c>
      <c r="C1081" s="218" t="s">
        <v>3534</v>
      </c>
      <c r="D1081" s="218" t="s">
        <v>4134</v>
      </c>
      <c r="E1081" s="218" t="s">
        <v>1839</v>
      </c>
      <c r="F1081" s="218" t="s">
        <v>1840</v>
      </c>
      <c r="G1081" s="218" t="s">
        <v>1841</v>
      </c>
    </row>
    <row r="1082" spans="1:7" x14ac:dyDescent="0.15">
      <c r="A1082" s="218" t="s">
        <v>9625</v>
      </c>
      <c r="B1082" s="218" t="s">
        <v>9626</v>
      </c>
      <c r="C1082" s="218" t="s">
        <v>3534</v>
      </c>
      <c r="D1082" s="218" t="s">
        <v>9627</v>
      </c>
      <c r="E1082" s="218" t="s">
        <v>1839</v>
      </c>
      <c r="F1082" s="218" t="s">
        <v>1840</v>
      </c>
      <c r="G1082" s="218" t="s">
        <v>1841</v>
      </c>
    </row>
    <row r="1083" spans="1:7" x14ac:dyDescent="0.15">
      <c r="A1083" s="218" t="s">
        <v>4135</v>
      </c>
      <c r="B1083" s="218" t="s">
        <v>4136</v>
      </c>
      <c r="C1083" s="218" t="s">
        <v>3534</v>
      </c>
      <c r="D1083" s="218" t="s">
        <v>4137</v>
      </c>
      <c r="E1083" s="218" t="s">
        <v>1839</v>
      </c>
      <c r="F1083" s="218" t="s">
        <v>1840</v>
      </c>
      <c r="G1083" s="218" t="s">
        <v>1841</v>
      </c>
    </row>
    <row r="1084" spans="1:7" x14ac:dyDescent="0.15">
      <c r="A1084" s="218" t="s">
        <v>9628</v>
      </c>
      <c r="B1084" s="218" t="s">
        <v>9629</v>
      </c>
      <c r="C1084" s="218" t="s">
        <v>3534</v>
      </c>
      <c r="D1084" s="218" t="s">
        <v>9630</v>
      </c>
      <c r="E1084" s="218" t="s">
        <v>1839</v>
      </c>
      <c r="F1084" s="218" t="s">
        <v>1840</v>
      </c>
      <c r="G1084" s="218" t="s">
        <v>1841</v>
      </c>
    </row>
    <row r="1085" spans="1:7" x14ac:dyDescent="0.15">
      <c r="A1085" s="218" t="s">
        <v>9631</v>
      </c>
      <c r="B1085" s="218" t="s">
        <v>994</v>
      </c>
      <c r="C1085" s="218" t="s">
        <v>3534</v>
      </c>
      <c r="D1085" s="218" t="s">
        <v>995</v>
      </c>
      <c r="E1085" s="218" t="s">
        <v>1839</v>
      </c>
      <c r="F1085" s="218" t="s">
        <v>1840</v>
      </c>
      <c r="G1085" s="218" t="s">
        <v>1841</v>
      </c>
    </row>
    <row r="1086" spans="1:7" x14ac:dyDescent="0.15">
      <c r="A1086" s="218" t="s">
        <v>4138</v>
      </c>
      <c r="B1086" s="218" t="s">
        <v>4139</v>
      </c>
      <c r="C1086" s="218" t="s">
        <v>3534</v>
      </c>
      <c r="D1086" s="218" t="s">
        <v>4140</v>
      </c>
      <c r="E1086" s="218" t="s">
        <v>1839</v>
      </c>
      <c r="F1086" s="218" t="s">
        <v>1840</v>
      </c>
      <c r="G1086" s="218" t="s">
        <v>1841</v>
      </c>
    </row>
    <row r="1087" spans="1:7" x14ac:dyDescent="0.15">
      <c r="A1087" s="218" t="s">
        <v>9632</v>
      </c>
      <c r="B1087" s="218" t="s">
        <v>9633</v>
      </c>
      <c r="C1087" s="218" t="s">
        <v>3534</v>
      </c>
      <c r="D1087" s="218" t="s">
        <v>9634</v>
      </c>
      <c r="E1087" s="218" t="s">
        <v>1839</v>
      </c>
      <c r="F1087" s="218" t="s">
        <v>1840</v>
      </c>
      <c r="G1087" s="218" t="s">
        <v>1841</v>
      </c>
    </row>
    <row r="1088" spans="1:7" x14ac:dyDescent="0.15">
      <c r="A1088" s="218" t="s">
        <v>4141</v>
      </c>
      <c r="B1088" s="218" t="s">
        <v>4142</v>
      </c>
      <c r="C1088" s="218" t="s">
        <v>3534</v>
      </c>
      <c r="D1088" s="218" t="s">
        <v>4143</v>
      </c>
      <c r="E1088" s="218" t="s">
        <v>1839</v>
      </c>
      <c r="F1088" s="218" t="s">
        <v>1840</v>
      </c>
      <c r="G1088" s="218" t="s">
        <v>1841</v>
      </c>
    </row>
    <row r="1089" spans="1:7" x14ac:dyDescent="0.15">
      <c r="A1089" s="218" t="s">
        <v>9635</v>
      </c>
      <c r="B1089" s="218" t="s">
        <v>9636</v>
      </c>
      <c r="C1089" s="218" t="s">
        <v>3534</v>
      </c>
      <c r="D1089" s="218" t="s">
        <v>9637</v>
      </c>
      <c r="E1089" s="218" t="s">
        <v>1839</v>
      </c>
      <c r="F1089" s="218" t="s">
        <v>1840</v>
      </c>
      <c r="G1089" s="218" t="s">
        <v>1841</v>
      </c>
    </row>
    <row r="1090" spans="1:7" x14ac:dyDescent="0.15">
      <c r="A1090" s="218" t="s">
        <v>9638</v>
      </c>
      <c r="B1090" s="218" t="s">
        <v>4144</v>
      </c>
      <c r="C1090" s="218" t="s">
        <v>3534</v>
      </c>
      <c r="D1090" s="218" t="s">
        <v>4145</v>
      </c>
      <c r="E1090" s="218" t="s">
        <v>1839</v>
      </c>
      <c r="F1090" s="218" t="s">
        <v>1840</v>
      </c>
      <c r="G1090" s="218" t="s">
        <v>1841</v>
      </c>
    </row>
    <row r="1091" spans="1:7" x14ac:dyDescent="0.15">
      <c r="A1091" s="218" t="s">
        <v>4146</v>
      </c>
      <c r="B1091" s="218" t="s">
        <v>4147</v>
      </c>
      <c r="C1091" s="218" t="s">
        <v>3534</v>
      </c>
      <c r="D1091" s="218" t="s">
        <v>4148</v>
      </c>
      <c r="E1091" s="218" t="s">
        <v>1839</v>
      </c>
      <c r="F1091" s="218" t="s">
        <v>1840</v>
      </c>
      <c r="G1091" s="218" t="s">
        <v>1841</v>
      </c>
    </row>
    <row r="1092" spans="1:7" x14ac:dyDescent="0.15">
      <c r="A1092" s="218" t="s">
        <v>11604</v>
      </c>
      <c r="B1092" s="218" t="s">
        <v>11605</v>
      </c>
      <c r="C1092" s="218" t="s">
        <v>3534</v>
      </c>
      <c r="D1092" s="218" t="s">
        <v>11606</v>
      </c>
      <c r="E1092" s="218" t="s">
        <v>1935</v>
      </c>
      <c r="F1092" s="218" t="s">
        <v>1840</v>
      </c>
      <c r="G1092" s="218" t="s">
        <v>1841</v>
      </c>
    </row>
    <row r="1093" spans="1:7" x14ac:dyDescent="0.15">
      <c r="A1093" s="218" t="s">
        <v>9639</v>
      </c>
      <c r="B1093" s="218" t="s">
        <v>1330</v>
      </c>
      <c r="C1093" s="218" t="s">
        <v>3534</v>
      </c>
      <c r="D1093" s="218" t="s">
        <v>1331</v>
      </c>
      <c r="E1093" s="218" t="s">
        <v>1839</v>
      </c>
      <c r="F1093" s="218" t="s">
        <v>1840</v>
      </c>
      <c r="G1093" s="218" t="s">
        <v>1841</v>
      </c>
    </row>
    <row r="1094" spans="1:7" x14ac:dyDescent="0.15">
      <c r="A1094" s="218" t="s">
        <v>4149</v>
      </c>
      <c r="B1094" s="218" t="s">
        <v>4150</v>
      </c>
      <c r="C1094" s="218" t="s">
        <v>3534</v>
      </c>
      <c r="D1094" s="218" t="s">
        <v>4151</v>
      </c>
      <c r="E1094" s="218" t="s">
        <v>1839</v>
      </c>
      <c r="F1094" s="218" t="s">
        <v>1840</v>
      </c>
      <c r="G1094" s="218" t="s">
        <v>1841</v>
      </c>
    </row>
    <row r="1095" spans="1:7" x14ac:dyDescent="0.15">
      <c r="A1095" s="218" t="s">
        <v>9640</v>
      </c>
      <c r="B1095" s="218" t="s">
        <v>942</v>
      </c>
      <c r="C1095" s="218" t="s">
        <v>3534</v>
      </c>
      <c r="D1095" s="218" t="s">
        <v>943</v>
      </c>
      <c r="E1095" s="218" t="s">
        <v>1839</v>
      </c>
      <c r="F1095" s="218" t="s">
        <v>1840</v>
      </c>
      <c r="G1095" s="218" t="s">
        <v>1841</v>
      </c>
    </row>
    <row r="1096" spans="1:7" x14ac:dyDescent="0.15">
      <c r="A1096" s="218" t="s">
        <v>4152</v>
      </c>
      <c r="B1096" s="218" t="s">
        <v>4153</v>
      </c>
      <c r="C1096" s="218" t="s">
        <v>3534</v>
      </c>
      <c r="D1096" s="218" t="s">
        <v>4154</v>
      </c>
      <c r="E1096" s="218" t="s">
        <v>1839</v>
      </c>
      <c r="F1096" s="218" t="s">
        <v>1840</v>
      </c>
      <c r="G1096" s="218" t="s">
        <v>1841</v>
      </c>
    </row>
    <row r="1097" spans="1:7" x14ac:dyDescent="0.15">
      <c r="A1097" s="218" t="s">
        <v>9641</v>
      </c>
      <c r="B1097" s="218" t="s">
        <v>9642</v>
      </c>
      <c r="C1097" s="218" t="s">
        <v>3534</v>
      </c>
      <c r="D1097" s="218" t="s">
        <v>688</v>
      </c>
      <c r="E1097" s="218" t="s">
        <v>1839</v>
      </c>
      <c r="F1097" s="218" t="s">
        <v>1840</v>
      </c>
      <c r="G1097" s="218" t="s">
        <v>1841</v>
      </c>
    </row>
    <row r="1098" spans="1:7" x14ac:dyDescent="0.15">
      <c r="A1098" s="218" t="s">
        <v>4155</v>
      </c>
      <c r="B1098" s="218" t="s">
        <v>4156</v>
      </c>
      <c r="C1098" s="218" t="s">
        <v>3534</v>
      </c>
      <c r="D1098" s="218" t="s">
        <v>4157</v>
      </c>
      <c r="E1098" s="218" t="s">
        <v>1839</v>
      </c>
      <c r="F1098" s="218" t="s">
        <v>1840</v>
      </c>
      <c r="G1098" s="218" t="s">
        <v>1841</v>
      </c>
    </row>
    <row r="1099" spans="1:7" x14ac:dyDescent="0.15">
      <c r="A1099" s="218" t="s">
        <v>4158</v>
      </c>
      <c r="B1099" s="218" t="s">
        <v>4159</v>
      </c>
      <c r="C1099" s="218" t="s">
        <v>3534</v>
      </c>
      <c r="D1099" s="218" t="s">
        <v>4160</v>
      </c>
      <c r="E1099" s="218" t="s">
        <v>1839</v>
      </c>
      <c r="F1099" s="218" t="s">
        <v>1840</v>
      </c>
      <c r="G1099" s="218" t="s">
        <v>1841</v>
      </c>
    </row>
    <row r="1100" spans="1:7" x14ac:dyDescent="0.15">
      <c r="A1100" s="218" t="s">
        <v>9643</v>
      </c>
      <c r="B1100" s="218" t="s">
        <v>9644</v>
      </c>
      <c r="C1100" s="218" t="s">
        <v>3534</v>
      </c>
      <c r="D1100" s="218" t="s">
        <v>9645</v>
      </c>
      <c r="E1100" s="218" t="s">
        <v>1839</v>
      </c>
      <c r="F1100" s="218" t="s">
        <v>1840</v>
      </c>
      <c r="G1100" s="218" t="s">
        <v>1841</v>
      </c>
    </row>
    <row r="1101" spans="1:7" x14ac:dyDescent="0.15">
      <c r="A1101" s="218" t="s">
        <v>4161</v>
      </c>
      <c r="B1101" s="218" t="s">
        <v>4162</v>
      </c>
      <c r="C1101" s="218" t="s">
        <v>3534</v>
      </c>
      <c r="D1101" s="218" t="s">
        <v>4163</v>
      </c>
      <c r="E1101" s="218" t="s">
        <v>1839</v>
      </c>
      <c r="F1101" s="218" t="s">
        <v>1840</v>
      </c>
      <c r="G1101" s="218" t="s">
        <v>1841</v>
      </c>
    </row>
    <row r="1102" spans="1:7" x14ac:dyDescent="0.15">
      <c r="A1102" s="218" t="s">
        <v>4164</v>
      </c>
      <c r="B1102" s="218" t="s">
        <v>4165</v>
      </c>
      <c r="C1102" s="218" t="s">
        <v>3534</v>
      </c>
      <c r="D1102" s="218" t="s">
        <v>4166</v>
      </c>
      <c r="E1102" s="218" t="s">
        <v>1839</v>
      </c>
      <c r="F1102" s="218" t="s">
        <v>1840</v>
      </c>
      <c r="G1102" s="218" t="s">
        <v>1841</v>
      </c>
    </row>
    <row r="1103" spans="1:7" x14ac:dyDescent="0.15">
      <c r="A1103" s="218" t="s">
        <v>4167</v>
      </c>
      <c r="B1103" s="218" t="s">
        <v>4168</v>
      </c>
      <c r="C1103" s="218" t="s">
        <v>3534</v>
      </c>
      <c r="D1103" s="218" t="s">
        <v>4169</v>
      </c>
      <c r="E1103" s="218" t="s">
        <v>1839</v>
      </c>
      <c r="F1103" s="218" t="s">
        <v>1840</v>
      </c>
      <c r="G1103" s="218" t="s">
        <v>1841</v>
      </c>
    </row>
    <row r="1104" spans="1:7" x14ac:dyDescent="0.15">
      <c r="A1104" s="218" t="s">
        <v>4170</v>
      </c>
      <c r="B1104" s="218" t="s">
        <v>4171</v>
      </c>
      <c r="C1104" s="218" t="s">
        <v>3534</v>
      </c>
      <c r="D1104" s="218" t="s">
        <v>4172</v>
      </c>
      <c r="E1104" s="218" t="s">
        <v>1839</v>
      </c>
      <c r="F1104" s="218" t="s">
        <v>1840</v>
      </c>
      <c r="G1104" s="218" t="s">
        <v>1841</v>
      </c>
    </row>
    <row r="1105" spans="1:7" x14ac:dyDescent="0.15">
      <c r="A1105" s="218" t="s">
        <v>4176</v>
      </c>
      <c r="B1105" s="218" t="s">
        <v>4177</v>
      </c>
      <c r="C1105" s="218" t="s">
        <v>3534</v>
      </c>
      <c r="D1105" s="218" t="s">
        <v>4178</v>
      </c>
      <c r="E1105" s="218" t="s">
        <v>1839</v>
      </c>
      <c r="F1105" s="218" t="s">
        <v>1840</v>
      </c>
      <c r="G1105" s="218" t="s">
        <v>1841</v>
      </c>
    </row>
    <row r="1106" spans="1:7" x14ac:dyDescent="0.15">
      <c r="A1106" s="218" t="s">
        <v>4179</v>
      </c>
      <c r="B1106" s="218" t="s">
        <v>4180</v>
      </c>
      <c r="C1106" s="218" t="s">
        <v>3534</v>
      </c>
      <c r="D1106" s="218" t="s">
        <v>4181</v>
      </c>
      <c r="E1106" s="218" t="s">
        <v>1839</v>
      </c>
      <c r="F1106" s="218" t="s">
        <v>1840</v>
      </c>
      <c r="G1106" s="218" t="s">
        <v>1841</v>
      </c>
    </row>
    <row r="1107" spans="1:7" x14ac:dyDescent="0.15">
      <c r="A1107" s="218" t="s">
        <v>9646</v>
      </c>
      <c r="B1107" s="218" t="s">
        <v>1392</v>
      </c>
      <c r="C1107" s="218" t="s">
        <v>3534</v>
      </c>
      <c r="D1107" s="218" t="s">
        <v>1393</v>
      </c>
      <c r="E1107" s="218" t="s">
        <v>1839</v>
      </c>
      <c r="F1107" s="218" t="s">
        <v>1840</v>
      </c>
      <c r="G1107" s="218" t="s">
        <v>1841</v>
      </c>
    </row>
    <row r="1108" spans="1:7" x14ac:dyDescent="0.15">
      <c r="A1108" s="218" t="s">
        <v>4182</v>
      </c>
      <c r="B1108" s="218" t="s">
        <v>4183</v>
      </c>
      <c r="C1108" s="218" t="s">
        <v>3534</v>
      </c>
      <c r="D1108" s="218" t="s">
        <v>4184</v>
      </c>
      <c r="E1108" s="218" t="s">
        <v>1839</v>
      </c>
      <c r="F1108" s="218" t="s">
        <v>1840</v>
      </c>
      <c r="G1108" s="218" t="s">
        <v>1841</v>
      </c>
    </row>
    <row r="1109" spans="1:7" x14ac:dyDescent="0.15">
      <c r="A1109" s="218" t="s">
        <v>9647</v>
      </c>
      <c r="B1109" s="218" t="s">
        <v>665</v>
      </c>
      <c r="C1109" s="218" t="s">
        <v>3534</v>
      </c>
      <c r="D1109" s="218" t="s">
        <v>666</v>
      </c>
      <c r="E1109" s="218" t="s">
        <v>1839</v>
      </c>
      <c r="F1109" s="218" t="s">
        <v>1840</v>
      </c>
      <c r="G1109" s="218" t="s">
        <v>1841</v>
      </c>
    </row>
    <row r="1110" spans="1:7" x14ac:dyDescent="0.15">
      <c r="A1110" s="218" t="s">
        <v>9648</v>
      </c>
      <c r="B1110" s="218" t="s">
        <v>9649</v>
      </c>
      <c r="C1110" s="218" t="s">
        <v>3534</v>
      </c>
      <c r="D1110" s="218" t="s">
        <v>9650</v>
      </c>
      <c r="E1110" s="218" t="s">
        <v>1839</v>
      </c>
      <c r="F1110" s="218" t="s">
        <v>1840</v>
      </c>
      <c r="G1110" s="218" t="s">
        <v>1841</v>
      </c>
    </row>
    <row r="1111" spans="1:7" x14ac:dyDescent="0.15">
      <c r="A1111" s="218" t="s">
        <v>9651</v>
      </c>
      <c r="B1111" s="218" t="s">
        <v>9652</v>
      </c>
      <c r="C1111" s="218" t="s">
        <v>3534</v>
      </c>
      <c r="D1111" s="218" t="s">
        <v>9653</v>
      </c>
      <c r="E1111" s="218" t="s">
        <v>1839</v>
      </c>
      <c r="F1111" s="218" t="s">
        <v>1840</v>
      </c>
      <c r="G1111" s="218" t="s">
        <v>1841</v>
      </c>
    </row>
    <row r="1112" spans="1:7" x14ac:dyDescent="0.15">
      <c r="A1112" s="218" t="s">
        <v>4185</v>
      </c>
      <c r="B1112" s="218" t="s">
        <v>4186</v>
      </c>
      <c r="C1112" s="218" t="s">
        <v>3534</v>
      </c>
      <c r="D1112" s="218" t="s">
        <v>4187</v>
      </c>
      <c r="E1112" s="218" t="s">
        <v>1839</v>
      </c>
      <c r="F1112" s="218" t="s">
        <v>1840</v>
      </c>
      <c r="G1112" s="218" t="s">
        <v>1841</v>
      </c>
    </row>
    <row r="1113" spans="1:7" x14ac:dyDescent="0.15">
      <c r="A1113" s="218" t="s">
        <v>9654</v>
      </c>
      <c r="B1113" s="218" t="s">
        <v>1176</v>
      </c>
      <c r="C1113" s="218" t="s">
        <v>3534</v>
      </c>
      <c r="D1113" s="218" t="s">
        <v>1177</v>
      </c>
      <c r="E1113" s="218" t="s">
        <v>1839</v>
      </c>
      <c r="F1113" s="218" t="s">
        <v>1840</v>
      </c>
      <c r="G1113" s="218" t="s">
        <v>1841</v>
      </c>
    </row>
    <row r="1114" spans="1:7" x14ac:dyDescent="0.15">
      <c r="A1114" s="218" t="s">
        <v>9655</v>
      </c>
      <c r="B1114" s="218" t="s">
        <v>9656</v>
      </c>
      <c r="C1114" s="218" t="s">
        <v>3534</v>
      </c>
      <c r="D1114" s="218" t="s">
        <v>9657</v>
      </c>
      <c r="E1114" s="218" t="s">
        <v>1839</v>
      </c>
      <c r="F1114" s="218" t="s">
        <v>1840</v>
      </c>
      <c r="G1114" s="218" t="s">
        <v>1841</v>
      </c>
    </row>
    <row r="1115" spans="1:7" x14ac:dyDescent="0.15">
      <c r="A1115" s="218" t="s">
        <v>9658</v>
      </c>
      <c r="B1115" s="218" t="s">
        <v>9659</v>
      </c>
      <c r="C1115" s="218" t="s">
        <v>3534</v>
      </c>
      <c r="D1115" s="218" t="s">
        <v>9660</v>
      </c>
      <c r="E1115" s="218" t="s">
        <v>1839</v>
      </c>
      <c r="F1115" s="218" t="s">
        <v>1840</v>
      </c>
      <c r="G1115" s="218" t="s">
        <v>1841</v>
      </c>
    </row>
    <row r="1116" spans="1:7" x14ac:dyDescent="0.15">
      <c r="A1116" s="218" t="s">
        <v>4188</v>
      </c>
      <c r="B1116" s="218" t="s">
        <v>4189</v>
      </c>
      <c r="C1116" s="218" t="s">
        <v>3534</v>
      </c>
      <c r="D1116" s="218" t="s">
        <v>4190</v>
      </c>
      <c r="E1116" s="218" t="s">
        <v>1839</v>
      </c>
      <c r="F1116" s="218" t="s">
        <v>1840</v>
      </c>
      <c r="G1116" s="218" t="s">
        <v>1841</v>
      </c>
    </row>
    <row r="1117" spans="1:7" x14ac:dyDescent="0.15">
      <c r="A1117" s="218" t="s">
        <v>9661</v>
      </c>
      <c r="B1117" s="218" t="s">
        <v>9662</v>
      </c>
      <c r="C1117" s="218" t="s">
        <v>3534</v>
      </c>
      <c r="D1117" s="218" t="s">
        <v>9663</v>
      </c>
      <c r="E1117" s="218" t="s">
        <v>1839</v>
      </c>
      <c r="F1117" s="218" t="s">
        <v>1840</v>
      </c>
      <c r="G1117" s="218" t="s">
        <v>1841</v>
      </c>
    </row>
    <row r="1118" spans="1:7" x14ac:dyDescent="0.15">
      <c r="A1118" s="218" t="s">
        <v>4191</v>
      </c>
      <c r="B1118" s="218" t="s">
        <v>4192</v>
      </c>
      <c r="C1118" s="218" t="s">
        <v>3534</v>
      </c>
      <c r="D1118" s="218" t="s">
        <v>4193</v>
      </c>
      <c r="E1118" s="218" t="s">
        <v>1839</v>
      </c>
      <c r="F1118" s="218" t="s">
        <v>1840</v>
      </c>
      <c r="G1118" s="218" t="s">
        <v>1841</v>
      </c>
    </row>
    <row r="1119" spans="1:7" x14ac:dyDescent="0.15">
      <c r="A1119" s="218" t="s">
        <v>4194</v>
      </c>
      <c r="B1119" s="218" t="s">
        <v>4195</v>
      </c>
      <c r="C1119" s="218" t="s">
        <v>3534</v>
      </c>
      <c r="D1119" s="218" t="s">
        <v>4196</v>
      </c>
      <c r="E1119" s="218" t="s">
        <v>1839</v>
      </c>
      <c r="F1119" s="218" t="s">
        <v>1840</v>
      </c>
      <c r="G1119" s="218" t="s">
        <v>1841</v>
      </c>
    </row>
    <row r="1120" spans="1:7" x14ac:dyDescent="0.15">
      <c r="A1120" s="218" t="s">
        <v>4197</v>
      </c>
      <c r="B1120" s="218" t="s">
        <v>4198</v>
      </c>
      <c r="C1120" s="218" t="s">
        <v>3534</v>
      </c>
      <c r="D1120" s="218" t="s">
        <v>4199</v>
      </c>
      <c r="E1120" s="218" t="s">
        <v>1839</v>
      </c>
      <c r="F1120" s="218" t="s">
        <v>1840</v>
      </c>
      <c r="G1120" s="218" t="s">
        <v>1841</v>
      </c>
    </row>
    <row r="1121" spans="1:7" x14ac:dyDescent="0.15">
      <c r="A1121" s="218" t="s">
        <v>4200</v>
      </c>
      <c r="B1121" s="218" t="s">
        <v>4201</v>
      </c>
      <c r="C1121" s="218" t="s">
        <v>3534</v>
      </c>
      <c r="D1121" s="218" t="s">
        <v>4202</v>
      </c>
      <c r="E1121" s="218" t="s">
        <v>1839</v>
      </c>
      <c r="F1121" s="218" t="s">
        <v>1840</v>
      </c>
      <c r="G1121" s="218" t="s">
        <v>1841</v>
      </c>
    </row>
    <row r="1122" spans="1:7" x14ac:dyDescent="0.15">
      <c r="A1122" s="218" t="s">
        <v>4203</v>
      </c>
      <c r="B1122" s="218" t="s">
        <v>4204</v>
      </c>
      <c r="C1122" s="218" t="s">
        <v>3534</v>
      </c>
      <c r="D1122" s="218" t="s">
        <v>4205</v>
      </c>
      <c r="E1122" s="218" t="s">
        <v>1839</v>
      </c>
      <c r="F1122" s="218" t="s">
        <v>1840</v>
      </c>
      <c r="G1122" s="218" t="s">
        <v>1841</v>
      </c>
    </row>
    <row r="1123" spans="1:7" x14ac:dyDescent="0.15">
      <c r="A1123" s="218" t="s">
        <v>4206</v>
      </c>
      <c r="B1123" s="218" t="s">
        <v>4207</v>
      </c>
      <c r="C1123" s="218" t="s">
        <v>3534</v>
      </c>
      <c r="D1123" s="218" t="s">
        <v>4208</v>
      </c>
      <c r="E1123" s="218" t="s">
        <v>1839</v>
      </c>
      <c r="F1123" s="218" t="s">
        <v>1840</v>
      </c>
      <c r="G1123" s="218" t="s">
        <v>1841</v>
      </c>
    </row>
    <row r="1124" spans="1:7" x14ac:dyDescent="0.15">
      <c r="A1124" s="218" t="s">
        <v>4209</v>
      </c>
      <c r="B1124" s="218" t="s">
        <v>4210</v>
      </c>
      <c r="C1124" s="218" t="s">
        <v>3534</v>
      </c>
      <c r="D1124" s="218" t="s">
        <v>4211</v>
      </c>
      <c r="E1124" s="218" t="s">
        <v>1935</v>
      </c>
      <c r="F1124" s="218" t="s">
        <v>1840</v>
      </c>
      <c r="G1124" s="218" t="s">
        <v>1841</v>
      </c>
    </row>
    <row r="1125" spans="1:7" x14ac:dyDescent="0.15">
      <c r="A1125" s="218" t="s">
        <v>4212</v>
      </c>
      <c r="B1125" s="218" t="s">
        <v>4213</v>
      </c>
      <c r="C1125" s="218" t="s">
        <v>3534</v>
      </c>
      <c r="D1125" s="218" t="s">
        <v>4214</v>
      </c>
      <c r="E1125" s="218" t="s">
        <v>1839</v>
      </c>
      <c r="F1125" s="218" t="s">
        <v>1840</v>
      </c>
      <c r="G1125" s="218" t="s">
        <v>1841</v>
      </c>
    </row>
    <row r="1126" spans="1:7" x14ac:dyDescent="0.15">
      <c r="A1126" s="218" t="s">
        <v>9667</v>
      </c>
      <c r="B1126" s="218" t="s">
        <v>9668</v>
      </c>
      <c r="C1126" s="218" t="s">
        <v>3534</v>
      </c>
      <c r="D1126" s="218" t="s">
        <v>9669</v>
      </c>
      <c r="E1126" s="218" t="s">
        <v>1839</v>
      </c>
      <c r="F1126" s="218" t="s">
        <v>1840</v>
      </c>
      <c r="G1126" s="218" t="s">
        <v>1841</v>
      </c>
    </row>
    <row r="1127" spans="1:7" x14ac:dyDescent="0.15">
      <c r="A1127" s="218" t="s">
        <v>9670</v>
      </c>
      <c r="B1127" s="218" t="s">
        <v>9671</v>
      </c>
      <c r="C1127" s="218" t="s">
        <v>3534</v>
      </c>
      <c r="D1127" s="218" t="s">
        <v>9672</v>
      </c>
      <c r="E1127" s="218" t="s">
        <v>1839</v>
      </c>
      <c r="F1127" s="218" t="s">
        <v>1840</v>
      </c>
      <c r="G1127" s="218" t="s">
        <v>1841</v>
      </c>
    </row>
    <row r="1128" spans="1:7" x14ac:dyDescent="0.15">
      <c r="A1128" s="218" t="s">
        <v>9673</v>
      </c>
      <c r="B1128" s="218" t="s">
        <v>9674</v>
      </c>
      <c r="C1128" s="218" t="s">
        <v>3534</v>
      </c>
      <c r="D1128" s="218" t="s">
        <v>9675</v>
      </c>
      <c r="E1128" s="218" t="s">
        <v>1839</v>
      </c>
      <c r="F1128" s="218" t="s">
        <v>1840</v>
      </c>
      <c r="G1128" s="218" t="s">
        <v>1841</v>
      </c>
    </row>
    <row r="1129" spans="1:7" x14ac:dyDescent="0.15">
      <c r="A1129" s="218" t="s">
        <v>9676</v>
      </c>
      <c r="B1129" s="218" t="s">
        <v>9677</v>
      </c>
      <c r="C1129" s="218" t="s">
        <v>3534</v>
      </c>
      <c r="D1129" s="218" t="s">
        <v>9678</v>
      </c>
      <c r="E1129" s="218" t="s">
        <v>1839</v>
      </c>
      <c r="F1129" s="218" t="s">
        <v>1840</v>
      </c>
      <c r="G1129" s="218" t="s">
        <v>1841</v>
      </c>
    </row>
    <row r="1130" spans="1:7" x14ac:dyDescent="0.15">
      <c r="A1130" s="218" t="s">
        <v>4215</v>
      </c>
      <c r="B1130" s="218" t="s">
        <v>4216</v>
      </c>
      <c r="C1130" s="218" t="s">
        <v>3534</v>
      </c>
      <c r="D1130" s="218" t="s">
        <v>4217</v>
      </c>
      <c r="E1130" s="218" t="s">
        <v>1839</v>
      </c>
      <c r="F1130" s="218" t="s">
        <v>1840</v>
      </c>
      <c r="G1130" s="218" t="s">
        <v>1841</v>
      </c>
    </row>
    <row r="1131" spans="1:7" x14ac:dyDescent="0.15">
      <c r="A1131" s="218" t="s">
        <v>4218</v>
      </c>
      <c r="B1131" s="218" t="s">
        <v>4219</v>
      </c>
      <c r="C1131" s="218" t="s">
        <v>3534</v>
      </c>
      <c r="D1131" s="218" t="s">
        <v>4220</v>
      </c>
      <c r="E1131" s="218" t="s">
        <v>1839</v>
      </c>
      <c r="F1131" s="218" t="s">
        <v>1840</v>
      </c>
      <c r="G1131" s="218" t="s">
        <v>1841</v>
      </c>
    </row>
    <row r="1132" spans="1:7" x14ac:dyDescent="0.15">
      <c r="A1132" s="218" t="s">
        <v>4221</v>
      </c>
      <c r="B1132" s="218" t="s">
        <v>4222</v>
      </c>
      <c r="C1132" s="218" t="s">
        <v>3534</v>
      </c>
      <c r="D1132" s="218" t="s">
        <v>4223</v>
      </c>
      <c r="E1132" s="218" t="s">
        <v>1839</v>
      </c>
      <c r="F1132" s="218" t="s">
        <v>1840</v>
      </c>
      <c r="G1132" s="218" t="s">
        <v>1841</v>
      </c>
    </row>
    <row r="1133" spans="1:7" x14ac:dyDescent="0.15">
      <c r="A1133" s="218" t="s">
        <v>4224</v>
      </c>
      <c r="B1133" s="218" t="s">
        <v>4225</v>
      </c>
      <c r="C1133" s="218" t="s">
        <v>3534</v>
      </c>
      <c r="D1133" s="218" t="s">
        <v>4226</v>
      </c>
      <c r="E1133" s="218" t="s">
        <v>1839</v>
      </c>
      <c r="F1133" s="218" t="s">
        <v>1840</v>
      </c>
      <c r="G1133" s="218" t="s">
        <v>1841</v>
      </c>
    </row>
    <row r="1134" spans="1:7" x14ac:dyDescent="0.15">
      <c r="A1134" s="218" t="s">
        <v>9679</v>
      </c>
      <c r="B1134" s="218" t="s">
        <v>930</v>
      </c>
      <c r="C1134" s="218" t="s">
        <v>3534</v>
      </c>
      <c r="D1134" s="218" t="s">
        <v>931</v>
      </c>
      <c r="E1134" s="218" t="s">
        <v>1839</v>
      </c>
      <c r="F1134" s="218" t="s">
        <v>1840</v>
      </c>
      <c r="G1134" s="218" t="s">
        <v>1841</v>
      </c>
    </row>
    <row r="1135" spans="1:7" x14ac:dyDescent="0.15">
      <c r="A1135" s="218" t="s">
        <v>9680</v>
      </c>
      <c r="B1135" s="218" t="s">
        <v>716</v>
      </c>
      <c r="C1135" s="218" t="s">
        <v>3534</v>
      </c>
      <c r="D1135" s="218" t="s">
        <v>717</v>
      </c>
      <c r="E1135" s="218" t="s">
        <v>1839</v>
      </c>
      <c r="F1135" s="218" t="s">
        <v>1840</v>
      </c>
      <c r="G1135" s="218" t="s">
        <v>1841</v>
      </c>
    </row>
    <row r="1136" spans="1:7" x14ac:dyDescent="0.15">
      <c r="A1136" s="218" t="s">
        <v>9681</v>
      </c>
      <c r="B1136" s="218" t="s">
        <v>9682</v>
      </c>
      <c r="C1136" s="218" t="s">
        <v>3534</v>
      </c>
      <c r="D1136" s="218" t="s">
        <v>9683</v>
      </c>
      <c r="E1136" s="218" t="s">
        <v>1839</v>
      </c>
      <c r="F1136" s="218" t="s">
        <v>1840</v>
      </c>
      <c r="G1136" s="218" t="s">
        <v>1841</v>
      </c>
    </row>
    <row r="1137" spans="1:7" x14ac:dyDescent="0.15">
      <c r="A1137" s="218" t="s">
        <v>4230</v>
      </c>
      <c r="B1137" s="218" t="s">
        <v>4231</v>
      </c>
      <c r="C1137" s="218" t="s">
        <v>3534</v>
      </c>
      <c r="D1137" s="218" t="s">
        <v>4232</v>
      </c>
      <c r="E1137" s="218" t="s">
        <v>1839</v>
      </c>
      <c r="F1137" s="218" t="s">
        <v>1840</v>
      </c>
      <c r="G1137" s="218" t="s">
        <v>1841</v>
      </c>
    </row>
    <row r="1138" spans="1:7" x14ac:dyDescent="0.15">
      <c r="A1138" s="218" t="s">
        <v>9684</v>
      </c>
      <c r="B1138" s="218" t="s">
        <v>9685</v>
      </c>
      <c r="C1138" s="218" t="s">
        <v>3534</v>
      </c>
      <c r="D1138" s="218" t="s">
        <v>9686</v>
      </c>
      <c r="E1138" s="218" t="s">
        <v>1935</v>
      </c>
      <c r="F1138" s="218" t="s">
        <v>1840</v>
      </c>
      <c r="G1138" s="218" t="s">
        <v>1841</v>
      </c>
    </row>
    <row r="1139" spans="1:7" x14ac:dyDescent="0.15">
      <c r="A1139" s="218" t="s">
        <v>4233</v>
      </c>
      <c r="B1139" s="218" t="s">
        <v>4234</v>
      </c>
      <c r="C1139" s="218" t="s">
        <v>3534</v>
      </c>
      <c r="D1139" s="218" t="s">
        <v>4235</v>
      </c>
      <c r="E1139" s="218" t="s">
        <v>1839</v>
      </c>
      <c r="F1139" s="218" t="s">
        <v>1840</v>
      </c>
      <c r="G1139" s="218" t="s">
        <v>1841</v>
      </c>
    </row>
    <row r="1140" spans="1:7" x14ac:dyDescent="0.15">
      <c r="A1140" s="218" t="s">
        <v>4236</v>
      </c>
      <c r="B1140" s="218" t="s">
        <v>4237</v>
      </c>
      <c r="C1140" s="218" t="s">
        <v>3534</v>
      </c>
      <c r="D1140" s="218" t="s">
        <v>4238</v>
      </c>
      <c r="E1140" s="218" t="s">
        <v>1839</v>
      </c>
      <c r="F1140" s="218" t="s">
        <v>1840</v>
      </c>
      <c r="G1140" s="218" t="s">
        <v>1841</v>
      </c>
    </row>
    <row r="1141" spans="1:7" x14ac:dyDescent="0.15">
      <c r="A1141" s="218" t="s">
        <v>4239</v>
      </c>
      <c r="B1141" s="218" t="s">
        <v>4240</v>
      </c>
      <c r="C1141" s="218" t="s">
        <v>3534</v>
      </c>
      <c r="D1141" s="218" t="s">
        <v>4241</v>
      </c>
      <c r="E1141" s="218" t="s">
        <v>1839</v>
      </c>
      <c r="F1141" s="218" t="s">
        <v>1840</v>
      </c>
      <c r="G1141" s="218" t="s">
        <v>1841</v>
      </c>
    </row>
    <row r="1142" spans="1:7" x14ac:dyDescent="0.15">
      <c r="A1142" s="218" t="s">
        <v>9687</v>
      </c>
      <c r="B1142" s="218" t="s">
        <v>9688</v>
      </c>
      <c r="C1142" s="218" t="s">
        <v>3534</v>
      </c>
      <c r="D1142" s="218" t="s">
        <v>9689</v>
      </c>
      <c r="E1142" s="218" t="s">
        <v>1839</v>
      </c>
      <c r="F1142" s="218" t="s">
        <v>1840</v>
      </c>
      <c r="G1142" s="218" t="s">
        <v>1841</v>
      </c>
    </row>
    <row r="1143" spans="1:7" x14ac:dyDescent="0.15">
      <c r="A1143" s="218" t="s">
        <v>9690</v>
      </c>
      <c r="B1143" s="218" t="s">
        <v>9691</v>
      </c>
      <c r="C1143" s="218" t="s">
        <v>3534</v>
      </c>
      <c r="D1143" s="218" t="s">
        <v>9692</v>
      </c>
      <c r="E1143" s="218" t="s">
        <v>1839</v>
      </c>
      <c r="F1143" s="218" t="s">
        <v>1840</v>
      </c>
      <c r="G1143" s="218" t="s">
        <v>1841</v>
      </c>
    </row>
    <row r="1144" spans="1:7" x14ac:dyDescent="0.15">
      <c r="A1144" s="218" t="s">
        <v>4242</v>
      </c>
      <c r="B1144" s="218" t="s">
        <v>4243</v>
      </c>
      <c r="C1144" s="218" t="s">
        <v>3534</v>
      </c>
      <c r="D1144" s="218" t="s">
        <v>4244</v>
      </c>
      <c r="E1144" s="218" t="s">
        <v>1839</v>
      </c>
      <c r="F1144" s="218" t="s">
        <v>1840</v>
      </c>
      <c r="G1144" s="218" t="s">
        <v>1841</v>
      </c>
    </row>
    <row r="1145" spans="1:7" x14ac:dyDescent="0.15">
      <c r="A1145" s="218" t="s">
        <v>4245</v>
      </c>
      <c r="B1145" s="218" t="s">
        <v>4246</v>
      </c>
      <c r="C1145" s="218" t="s">
        <v>3534</v>
      </c>
      <c r="D1145" s="218" t="s">
        <v>4247</v>
      </c>
      <c r="E1145" s="218" t="s">
        <v>1839</v>
      </c>
      <c r="F1145" s="218" t="s">
        <v>1840</v>
      </c>
      <c r="G1145" s="218" t="s">
        <v>1841</v>
      </c>
    </row>
    <row r="1146" spans="1:7" x14ac:dyDescent="0.15">
      <c r="A1146" s="218" t="s">
        <v>9693</v>
      </c>
      <c r="B1146" s="218" t="s">
        <v>803</v>
      </c>
      <c r="C1146" s="218" t="s">
        <v>3534</v>
      </c>
      <c r="D1146" s="218" t="s">
        <v>804</v>
      </c>
      <c r="E1146" s="218" t="s">
        <v>1839</v>
      </c>
      <c r="F1146" s="218" t="s">
        <v>1840</v>
      </c>
      <c r="G1146" s="218" t="s">
        <v>1841</v>
      </c>
    </row>
    <row r="1147" spans="1:7" x14ac:dyDescent="0.15">
      <c r="A1147" s="218" t="s">
        <v>11607</v>
      </c>
      <c r="B1147" s="218" t="s">
        <v>813</v>
      </c>
      <c r="C1147" s="218" t="s">
        <v>3534</v>
      </c>
      <c r="D1147" s="218" t="s">
        <v>11608</v>
      </c>
      <c r="E1147" s="218" t="s">
        <v>1839</v>
      </c>
      <c r="F1147" s="218" t="s">
        <v>1840</v>
      </c>
      <c r="G1147" s="218" t="s">
        <v>1841</v>
      </c>
    </row>
    <row r="1148" spans="1:7" x14ac:dyDescent="0.15">
      <c r="A1148" s="218" t="s">
        <v>4251</v>
      </c>
      <c r="B1148" s="218" t="s">
        <v>4252</v>
      </c>
      <c r="C1148" s="218" t="s">
        <v>3534</v>
      </c>
      <c r="D1148" s="218" t="s">
        <v>4253</v>
      </c>
      <c r="E1148" s="218" t="s">
        <v>1839</v>
      </c>
      <c r="F1148" s="218" t="s">
        <v>1840</v>
      </c>
      <c r="G1148" s="218" t="s">
        <v>1841</v>
      </c>
    </row>
    <row r="1149" spans="1:7" x14ac:dyDescent="0.15">
      <c r="A1149" s="218" t="s">
        <v>9694</v>
      </c>
      <c r="B1149" s="218" t="s">
        <v>9695</v>
      </c>
      <c r="C1149" s="218" t="s">
        <v>3534</v>
      </c>
      <c r="D1149" s="218" t="s">
        <v>9696</v>
      </c>
      <c r="E1149" s="218" t="s">
        <v>1839</v>
      </c>
      <c r="F1149" s="218" t="s">
        <v>1840</v>
      </c>
      <c r="G1149" s="218" t="s">
        <v>1841</v>
      </c>
    </row>
    <row r="1150" spans="1:7" x14ac:dyDescent="0.15">
      <c r="A1150" s="218" t="s">
        <v>4254</v>
      </c>
      <c r="B1150" s="218" t="s">
        <v>4255</v>
      </c>
      <c r="C1150" s="218" t="s">
        <v>3534</v>
      </c>
      <c r="D1150" s="218" t="s">
        <v>4256</v>
      </c>
      <c r="E1150" s="218" t="s">
        <v>1839</v>
      </c>
      <c r="F1150" s="218" t="s">
        <v>1840</v>
      </c>
      <c r="G1150" s="218" t="s">
        <v>1841</v>
      </c>
    </row>
    <row r="1151" spans="1:7" x14ac:dyDescent="0.15">
      <c r="A1151" s="218" t="s">
        <v>9697</v>
      </c>
      <c r="B1151" s="218" t="s">
        <v>1747</v>
      </c>
      <c r="C1151" s="218" t="s">
        <v>3534</v>
      </c>
      <c r="D1151" s="218" t="s">
        <v>1748</v>
      </c>
      <c r="E1151" s="218" t="s">
        <v>1839</v>
      </c>
      <c r="F1151" s="218" t="s">
        <v>1840</v>
      </c>
      <c r="G1151" s="218" t="s">
        <v>1841</v>
      </c>
    </row>
    <row r="1152" spans="1:7" x14ac:dyDescent="0.15">
      <c r="A1152" s="218" t="s">
        <v>9698</v>
      </c>
      <c r="B1152" s="218" t="s">
        <v>9699</v>
      </c>
      <c r="C1152" s="218" t="s">
        <v>3534</v>
      </c>
      <c r="D1152" s="218" t="s">
        <v>9700</v>
      </c>
      <c r="E1152" s="218" t="s">
        <v>1935</v>
      </c>
      <c r="F1152" s="218" t="s">
        <v>1840</v>
      </c>
      <c r="G1152" s="218" t="s">
        <v>1841</v>
      </c>
    </row>
    <row r="1153" spans="1:7" x14ac:dyDescent="0.15">
      <c r="A1153" s="218" t="s">
        <v>9701</v>
      </c>
      <c r="B1153" s="218" t="s">
        <v>9702</v>
      </c>
      <c r="C1153" s="218" t="s">
        <v>3534</v>
      </c>
      <c r="D1153" s="218" t="s">
        <v>9703</v>
      </c>
      <c r="E1153" s="218" t="s">
        <v>1839</v>
      </c>
      <c r="F1153" s="218" t="s">
        <v>1840</v>
      </c>
      <c r="G1153" s="218" t="s">
        <v>1841</v>
      </c>
    </row>
    <row r="1154" spans="1:7" x14ac:dyDescent="0.15">
      <c r="A1154" s="218" t="s">
        <v>4257</v>
      </c>
      <c r="B1154" s="218" t="s">
        <v>4258</v>
      </c>
      <c r="C1154" s="218" t="s">
        <v>3534</v>
      </c>
      <c r="D1154" s="218" t="s">
        <v>4259</v>
      </c>
      <c r="E1154" s="218" t="s">
        <v>1839</v>
      </c>
      <c r="F1154" s="218" t="s">
        <v>1840</v>
      </c>
      <c r="G1154" s="218" t="s">
        <v>1841</v>
      </c>
    </row>
    <row r="1155" spans="1:7" x14ac:dyDescent="0.15">
      <c r="A1155" s="218" t="s">
        <v>4260</v>
      </c>
      <c r="B1155" s="218" t="s">
        <v>4261</v>
      </c>
      <c r="C1155" s="218" t="s">
        <v>3534</v>
      </c>
      <c r="D1155" s="218" t="s">
        <v>4262</v>
      </c>
      <c r="E1155" s="218" t="s">
        <v>1839</v>
      </c>
      <c r="F1155" s="218" t="s">
        <v>1840</v>
      </c>
      <c r="G1155" s="218" t="s">
        <v>1841</v>
      </c>
    </row>
    <row r="1156" spans="1:7" x14ac:dyDescent="0.15">
      <c r="A1156" s="218" t="s">
        <v>4263</v>
      </c>
      <c r="B1156" s="218" t="s">
        <v>4264</v>
      </c>
      <c r="C1156" s="218" t="s">
        <v>3534</v>
      </c>
      <c r="D1156" s="218" t="s">
        <v>4265</v>
      </c>
      <c r="E1156" s="218" t="s">
        <v>1839</v>
      </c>
      <c r="F1156" s="218" t="s">
        <v>1840</v>
      </c>
      <c r="G1156" s="218" t="s">
        <v>1841</v>
      </c>
    </row>
    <row r="1157" spans="1:7" x14ac:dyDescent="0.15">
      <c r="A1157" s="218" t="s">
        <v>9704</v>
      </c>
      <c r="B1157" s="218" t="s">
        <v>9705</v>
      </c>
      <c r="C1157" s="218" t="s">
        <v>3534</v>
      </c>
      <c r="D1157" s="218" t="s">
        <v>1038</v>
      </c>
      <c r="E1157" s="218" t="s">
        <v>1839</v>
      </c>
      <c r="F1157" s="218" t="s">
        <v>1840</v>
      </c>
      <c r="G1157" s="218" t="s">
        <v>1841</v>
      </c>
    </row>
    <row r="1158" spans="1:7" x14ac:dyDescent="0.15">
      <c r="A1158" s="218" t="s">
        <v>4266</v>
      </c>
      <c r="B1158" s="218" t="s">
        <v>4267</v>
      </c>
      <c r="C1158" s="218" t="s">
        <v>3534</v>
      </c>
      <c r="D1158" s="218" t="s">
        <v>4268</v>
      </c>
      <c r="E1158" s="218" t="s">
        <v>1839</v>
      </c>
      <c r="F1158" s="218" t="s">
        <v>1840</v>
      </c>
      <c r="G1158" s="218" t="s">
        <v>1841</v>
      </c>
    </row>
    <row r="1159" spans="1:7" x14ac:dyDescent="0.15">
      <c r="A1159" s="218" t="s">
        <v>9706</v>
      </c>
      <c r="B1159" s="218" t="s">
        <v>9707</v>
      </c>
      <c r="C1159" s="218" t="s">
        <v>3534</v>
      </c>
      <c r="D1159" s="218" t="s">
        <v>9708</v>
      </c>
      <c r="E1159" s="218" t="s">
        <v>1839</v>
      </c>
      <c r="F1159" s="218" t="s">
        <v>1840</v>
      </c>
      <c r="G1159" s="218" t="s">
        <v>1841</v>
      </c>
    </row>
    <row r="1160" spans="1:7" x14ac:dyDescent="0.15">
      <c r="A1160" s="218" t="s">
        <v>4269</v>
      </c>
      <c r="B1160" s="218" t="s">
        <v>4270</v>
      </c>
      <c r="C1160" s="218" t="s">
        <v>3534</v>
      </c>
      <c r="D1160" s="218" t="s">
        <v>4271</v>
      </c>
      <c r="E1160" s="218" t="s">
        <v>1839</v>
      </c>
      <c r="F1160" s="218" t="s">
        <v>1840</v>
      </c>
      <c r="G1160" s="218" t="s">
        <v>1841</v>
      </c>
    </row>
    <row r="1161" spans="1:7" x14ac:dyDescent="0.15">
      <c r="A1161" s="218" t="s">
        <v>9709</v>
      </c>
      <c r="B1161" s="218" t="s">
        <v>9710</v>
      </c>
      <c r="C1161" s="218" t="s">
        <v>3534</v>
      </c>
      <c r="D1161" s="218" t="s">
        <v>9711</v>
      </c>
      <c r="E1161" s="218" t="s">
        <v>1839</v>
      </c>
      <c r="F1161" s="218" t="s">
        <v>1840</v>
      </c>
      <c r="G1161" s="218" t="s">
        <v>1841</v>
      </c>
    </row>
    <row r="1162" spans="1:7" x14ac:dyDescent="0.15">
      <c r="A1162" s="218" t="s">
        <v>4272</v>
      </c>
      <c r="B1162" s="218" t="s">
        <v>4273</v>
      </c>
      <c r="C1162" s="218" t="s">
        <v>3534</v>
      </c>
      <c r="D1162" s="218" t="s">
        <v>4274</v>
      </c>
      <c r="E1162" s="218" t="s">
        <v>1839</v>
      </c>
      <c r="F1162" s="218" t="s">
        <v>1840</v>
      </c>
      <c r="G1162" s="218" t="s">
        <v>1841</v>
      </c>
    </row>
    <row r="1163" spans="1:7" x14ac:dyDescent="0.15">
      <c r="A1163" s="218" t="s">
        <v>4275</v>
      </c>
      <c r="B1163" s="218" t="s">
        <v>4276</v>
      </c>
      <c r="C1163" s="218" t="s">
        <v>3534</v>
      </c>
      <c r="D1163" s="218" t="s">
        <v>4277</v>
      </c>
      <c r="E1163" s="218" t="s">
        <v>1839</v>
      </c>
      <c r="F1163" s="218" t="s">
        <v>1840</v>
      </c>
      <c r="G1163" s="218" t="s">
        <v>1841</v>
      </c>
    </row>
    <row r="1164" spans="1:7" x14ac:dyDescent="0.15">
      <c r="A1164" s="218" t="s">
        <v>4278</v>
      </c>
      <c r="B1164" s="218" t="s">
        <v>4279</v>
      </c>
      <c r="C1164" s="218" t="s">
        <v>3534</v>
      </c>
      <c r="D1164" s="218" t="s">
        <v>4280</v>
      </c>
      <c r="E1164" s="218" t="s">
        <v>1839</v>
      </c>
      <c r="F1164" s="218" t="s">
        <v>1840</v>
      </c>
      <c r="G1164" s="218" t="s">
        <v>1841</v>
      </c>
    </row>
    <row r="1165" spans="1:7" x14ac:dyDescent="0.15">
      <c r="A1165" s="218" t="s">
        <v>9712</v>
      </c>
      <c r="B1165" s="218" t="s">
        <v>9713</v>
      </c>
      <c r="C1165" s="218" t="s">
        <v>3534</v>
      </c>
      <c r="D1165" s="218" t="s">
        <v>9714</v>
      </c>
      <c r="E1165" s="218" t="s">
        <v>1839</v>
      </c>
      <c r="F1165" s="218" t="s">
        <v>1840</v>
      </c>
      <c r="G1165" s="218" t="s">
        <v>1841</v>
      </c>
    </row>
    <row r="1166" spans="1:7" x14ac:dyDescent="0.15">
      <c r="A1166" s="218" t="s">
        <v>4281</v>
      </c>
      <c r="B1166" s="218" t="s">
        <v>4282</v>
      </c>
      <c r="C1166" s="218" t="s">
        <v>3534</v>
      </c>
      <c r="D1166" s="218" t="s">
        <v>4283</v>
      </c>
      <c r="E1166" s="218" t="s">
        <v>1839</v>
      </c>
      <c r="F1166" s="218" t="s">
        <v>1840</v>
      </c>
      <c r="G1166" s="218" t="s">
        <v>1841</v>
      </c>
    </row>
    <row r="1167" spans="1:7" x14ac:dyDescent="0.15">
      <c r="A1167" s="218" t="s">
        <v>4284</v>
      </c>
      <c r="B1167" s="218" t="s">
        <v>4285</v>
      </c>
      <c r="C1167" s="218" t="s">
        <v>3534</v>
      </c>
      <c r="D1167" s="218" t="s">
        <v>4286</v>
      </c>
      <c r="E1167" s="218" t="s">
        <v>1839</v>
      </c>
      <c r="F1167" s="218" t="s">
        <v>1840</v>
      </c>
      <c r="G1167" s="218" t="s">
        <v>1841</v>
      </c>
    </row>
    <row r="1168" spans="1:7" x14ac:dyDescent="0.15">
      <c r="A1168" s="218" t="s">
        <v>9715</v>
      </c>
      <c r="B1168" s="218" t="s">
        <v>9716</v>
      </c>
      <c r="C1168" s="218" t="s">
        <v>3534</v>
      </c>
      <c r="D1168" s="218" t="s">
        <v>9717</v>
      </c>
      <c r="E1168" s="218" t="s">
        <v>1839</v>
      </c>
      <c r="F1168" s="218" t="s">
        <v>1840</v>
      </c>
      <c r="G1168" s="218" t="s">
        <v>1841</v>
      </c>
    </row>
    <row r="1169" spans="1:7" x14ac:dyDescent="0.15">
      <c r="A1169" s="218" t="s">
        <v>4287</v>
      </c>
      <c r="B1169" s="218" t="s">
        <v>4288</v>
      </c>
      <c r="C1169" s="218" t="s">
        <v>3534</v>
      </c>
      <c r="D1169" s="218" t="s">
        <v>4289</v>
      </c>
      <c r="E1169" s="218" t="s">
        <v>1839</v>
      </c>
      <c r="F1169" s="218" t="s">
        <v>1840</v>
      </c>
      <c r="G1169" s="218" t="s">
        <v>1841</v>
      </c>
    </row>
    <row r="1170" spans="1:7" x14ac:dyDescent="0.15">
      <c r="A1170" s="218" t="s">
        <v>9718</v>
      </c>
      <c r="B1170" s="218" t="s">
        <v>9719</v>
      </c>
      <c r="C1170" s="218" t="s">
        <v>3534</v>
      </c>
      <c r="D1170" s="218" t="s">
        <v>9720</v>
      </c>
      <c r="E1170" s="218" t="s">
        <v>1839</v>
      </c>
      <c r="F1170" s="218" t="s">
        <v>1840</v>
      </c>
      <c r="G1170" s="218" t="s">
        <v>1841</v>
      </c>
    </row>
    <row r="1171" spans="1:7" x14ac:dyDescent="0.15">
      <c r="A1171" s="218" t="s">
        <v>4290</v>
      </c>
      <c r="B1171" s="218" t="s">
        <v>4291</v>
      </c>
      <c r="C1171" s="218" t="s">
        <v>3534</v>
      </c>
      <c r="D1171" s="218" t="s">
        <v>4292</v>
      </c>
      <c r="E1171" s="218" t="s">
        <v>1839</v>
      </c>
      <c r="F1171" s="218" t="s">
        <v>1840</v>
      </c>
      <c r="G1171" s="218" t="s">
        <v>1841</v>
      </c>
    </row>
    <row r="1172" spans="1:7" x14ac:dyDescent="0.15">
      <c r="A1172" s="218" t="s">
        <v>4296</v>
      </c>
      <c r="B1172" s="218" t="s">
        <v>4297</v>
      </c>
      <c r="C1172" s="218" t="s">
        <v>3534</v>
      </c>
      <c r="D1172" s="218" t="s">
        <v>4298</v>
      </c>
      <c r="E1172" s="218" t="s">
        <v>1839</v>
      </c>
      <c r="F1172" s="218" t="s">
        <v>1840</v>
      </c>
      <c r="G1172" s="218" t="s">
        <v>1841</v>
      </c>
    </row>
    <row r="1173" spans="1:7" x14ac:dyDescent="0.15">
      <c r="A1173" s="218" t="s">
        <v>4299</v>
      </c>
      <c r="B1173" s="218" t="s">
        <v>4300</v>
      </c>
      <c r="C1173" s="218" t="s">
        <v>3534</v>
      </c>
      <c r="D1173" s="218" t="s">
        <v>4301</v>
      </c>
      <c r="E1173" s="218" t="s">
        <v>1839</v>
      </c>
      <c r="F1173" s="218" t="s">
        <v>1840</v>
      </c>
      <c r="G1173" s="218" t="s">
        <v>1841</v>
      </c>
    </row>
    <row r="1174" spans="1:7" x14ac:dyDescent="0.15">
      <c r="A1174" s="218" t="s">
        <v>4302</v>
      </c>
      <c r="B1174" s="218" t="s">
        <v>4303</v>
      </c>
      <c r="C1174" s="218" t="s">
        <v>3534</v>
      </c>
      <c r="D1174" s="218" t="s">
        <v>4304</v>
      </c>
      <c r="E1174" s="218" t="s">
        <v>1839</v>
      </c>
      <c r="F1174" s="218" t="s">
        <v>1840</v>
      </c>
      <c r="G1174" s="218" t="s">
        <v>1841</v>
      </c>
    </row>
    <row r="1175" spans="1:7" x14ac:dyDescent="0.15">
      <c r="A1175" s="218" t="s">
        <v>4305</v>
      </c>
      <c r="B1175" s="218" t="s">
        <v>4306</v>
      </c>
      <c r="C1175" s="218" t="s">
        <v>3534</v>
      </c>
      <c r="D1175" s="218" t="s">
        <v>4307</v>
      </c>
      <c r="E1175" s="218" t="s">
        <v>1839</v>
      </c>
      <c r="F1175" s="218" t="s">
        <v>1840</v>
      </c>
      <c r="G1175" s="218" t="s">
        <v>1841</v>
      </c>
    </row>
    <row r="1176" spans="1:7" x14ac:dyDescent="0.15">
      <c r="A1176" s="218" t="s">
        <v>9721</v>
      </c>
      <c r="B1176" s="218" t="s">
        <v>1606</v>
      </c>
      <c r="C1176" s="218" t="s">
        <v>3534</v>
      </c>
      <c r="D1176" s="218" t="s">
        <v>1607</v>
      </c>
      <c r="E1176" s="218" t="s">
        <v>1839</v>
      </c>
      <c r="F1176" s="218" t="s">
        <v>1840</v>
      </c>
      <c r="G1176" s="218" t="s">
        <v>1841</v>
      </c>
    </row>
    <row r="1177" spans="1:7" x14ac:dyDescent="0.15">
      <c r="A1177" s="218" t="s">
        <v>4308</v>
      </c>
      <c r="B1177" s="218" t="s">
        <v>4309</v>
      </c>
      <c r="C1177" s="218" t="s">
        <v>3534</v>
      </c>
      <c r="D1177" s="218" t="s">
        <v>4310</v>
      </c>
      <c r="E1177" s="218" t="s">
        <v>1839</v>
      </c>
      <c r="F1177" s="218" t="s">
        <v>1840</v>
      </c>
      <c r="G1177" s="218" t="s">
        <v>1841</v>
      </c>
    </row>
    <row r="1178" spans="1:7" x14ac:dyDescent="0.15">
      <c r="A1178" s="218" t="s">
        <v>9722</v>
      </c>
      <c r="B1178" s="218" t="s">
        <v>9723</v>
      </c>
      <c r="C1178" s="218" t="s">
        <v>3534</v>
      </c>
      <c r="D1178" s="218" t="s">
        <v>9724</v>
      </c>
      <c r="E1178" s="218" t="s">
        <v>1839</v>
      </c>
      <c r="F1178" s="218" t="s">
        <v>1840</v>
      </c>
      <c r="G1178" s="218" t="s">
        <v>1841</v>
      </c>
    </row>
    <row r="1179" spans="1:7" x14ac:dyDescent="0.15">
      <c r="A1179" s="218" t="s">
        <v>9725</v>
      </c>
      <c r="B1179" s="218" t="s">
        <v>1573</v>
      </c>
      <c r="C1179" s="218" t="s">
        <v>3534</v>
      </c>
      <c r="D1179" s="218" t="s">
        <v>1574</v>
      </c>
      <c r="E1179" s="218" t="s">
        <v>1839</v>
      </c>
      <c r="F1179" s="218" t="s">
        <v>1840</v>
      </c>
      <c r="G1179" s="218" t="s">
        <v>1841</v>
      </c>
    </row>
    <row r="1180" spans="1:7" x14ac:dyDescent="0.15">
      <c r="A1180" s="218" t="s">
        <v>4311</v>
      </c>
      <c r="B1180" s="218" t="s">
        <v>4312</v>
      </c>
      <c r="C1180" s="218" t="s">
        <v>3534</v>
      </c>
      <c r="D1180" s="218" t="s">
        <v>4313</v>
      </c>
      <c r="E1180" s="218" t="s">
        <v>1839</v>
      </c>
      <c r="F1180" s="218" t="s">
        <v>1840</v>
      </c>
      <c r="G1180" s="218" t="s">
        <v>1841</v>
      </c>
    </row>
    <row r="1181" spans="1:7" x14ac:dyDescent="0.15">
      <c r="A1181" s="218" t="s">
        <v>11609</v>
      </c>
      <c r="B1181" s="218" t="s">
        <v>11610</v>
      </c>
      <c r="C1181" s="218" t="s">
        <v>3534</v>
      </c>
      <c r="D1181" s="218" t="s">
        <v>11611</v>
      </c>
      <c r="E1181" s="218" t="s">
        <v>1839</v>
      </c>
      <c r="F1181" s="218" t="s">
        <v>1840</v>
      </c>
      <c r="G1181" s="218" t="s">
        <v>1841</v>
      </c>
    </row>
    <row r="1182" spans="1:7" x14ac:dyDescent="0.15">
      <c r="A1182" s="218" t="s">
        <v>4314</v>
      </c>
      <c r="B1182" s="218" t="s">
        <v>4315</v>
      </c>
      <c r="C1182" s="218" t="s">
        <v>3534</v>
      </c>
      <c r="D1182" s="218" t="s">
        <v>4316</v>
      </c>
      <c r="E1182" s="218" t="s">
        <v>1839</v>
      </c>
      <c r="F1182" s="218" t="s">
        <v>1840</v>
      </c>
      <c r="G1182" s="218" t="s">
        <v>1841</v>
      </c>
    </row>
    <row r="1183" spans="1:7" x14ac:dyDescent="0.15">
      <c r="A1183" s="218" t="s">
        <v>9726</v>
      </c>
      <c r="B1183" s="218" t="s">
        <v>9727</v>
      </c>
      <c r="C1183" s="218" t="s">
        <v>3534</v>
      </c>
      <c r="D1183" s="218" t="s">
        <v>9728</v>
      </c>
      <c r="E1183" s="218" t="s">
        <v>1935</v>
      </c>
      <c r="F1183" s="218" t="s">
        <v>1840</v>
      </c>
      <c r="G1183" s="218" t="s">
        <v>1841</v>
      </c>
    </row>
    <row r="1184" spans="1:7" x14ac:dyDescent="0.15">
      <c r="A1184" s="218" t="s">
        <v>9729</v>
      </c>
      <c r="B1184" s="218" t="s">
        <v>9730</v>
      </c>
      <c r="C1184" s="218" t="s">
        <v>3534</v>
      </c>
      <c r="D1184" s="218" t="s">
        <v>9731</v>
      </c>
      <c r="E1184" s="218" t="s">
        <v>1839</v>
      </c>
      <c r="F1184" s="218" t="s">
        <v>1840</v>
      </c>
      <c r="G1184" s="218" t="s">
        <v>1841</v>
      </c>
    </row>
    <row r="1185" spans="1:7" x14ac:dyDescent="0.15">
      <c r="A1185" s="218" t="s">
        <v>9732</v>
      </c>
      <c r="B1185" s="218" t="s">
        <v>9733</v>
      </c>
      <c r="C1185" s="218" t="s">
        <v>3534</v>
      </c>
      <c r="D1185" s="218" t="s">
        <v>9731</v>
      </c>
      <c r="E1185" s="218" t="s">
        <v>1839</v>
      </c>
      <c r="F1185" s="218" t="s">
        <v>1840</v>
      </c>
      <c r="G1185" s="218" t="s">
        <v>1841</v>
      </c>
    </row>
    <row r="1186" spans="1:7" x14ac:dyDescent="0.15">
      <c r="A1186" s="218" t="s">
        <v>9734</v>
      </c>
      <c r="B1186" s="218" t="s">
        <v>1577</v>
      </c>
      <c r="C1186" s="218" t="s">
        <v>3534</v>
      </c>
      <c r="D1186" s="218" t="s">
        <v>1258</v>
      </c>
      <c r="E1186" s="218" t="s">
        <v>1839</v>
      </c>
      <c r="F1186" s="218" t="s">
        <v>1840</v>
      </c>
      <c r="G1186" s="218" t="s">
        <v>1841</v>
      </c>
    </row>
    <row r="1187" spans="1:7" x14ac:dyDescent="0.15">
      <c r="A1187" s="218" t="s">
        <v>4317</v>
      </c>
      <c r="B1187" s="218" t="s">
        <v>4318</v>
      </c>
      <c r="C1187" s="218" t="s">
        <v>3534</v>
      </c>
      <c r="D1187" s="218" t="s">
        <v>4319</v>
      </c>
      <c r="E1187" s="218" t="s">
        <v>1839</v>
      </c>
      <c r="F1187" s="218" t="s">
        <v>1840</v>
      </c>
      <c r="G1187" s="218" t="s">
        <v>1841</v>
      </c>
    </row>
    <row r="1188" spans="1:7" x14ac:dyDescent="0.15">
      <c r="A1188" s="218" t="s">
        <v>4320</v>
      </c>
      <c r="B1188" s="218" t="s">
        <v>4321</v>
      </c>
      <c r="C1188" s="218" t="s">
        <v>3534</v>
      </c>
      <c r="D1188" s="218" t="s">
        <v>817</v>
      </c>
      <c r="E1188" s="218" t="s">
        <v>1839</v>
      </c>
      <c r="F1188" s="218" t="s">
        <v>1840</v>
      </c>
      <c r="G1188" s="218" t="s">
        <v>1841</v>
      </c>
    </row>
    <row r="1189" spans="1:7" x14ac:dyDescent="0.15">
      <c r="A1189" s="218" t="s">
        <v>4322</v>
      </c>
      <c r="B1189" s="218" t="s">
        <v>4323</v>
      </c>
      <c r="C1189" s="218" t="s">
        <v>3534</v>
      </c>
      <c r="D1189" s="218" t="s">
        <v>817</v>
      </c>
      <c r="E1189" s="218" t="s">
        <v>1839</v>
      </c>
      <c r="F1189" s="218" t="s">
        <v>1840</v>
      </c>
      <c r="G1189" s="218" t="s">
        <v>1841</v>
      </c>
    </row>
    <row r="1190" spans="1:7" x14ac:dyDescent="0.15">
      <c r="A1190" s="218" t="s">
        <v>4324</v>
      </c>
      <c r="B1190" s="218" t="s">
        <v>4325</v>
      </c>
      <c r="C1190" s="218" t="s">
        <v>3534</v>
      </c>
      <c r="D1190" s="218" t="s">
        <v>4326</v>
      </c>
      <c r="E1190" s="218" t="s">
        <v>1839</v>
      </c>
      <c r="F1190" s="218" t="s">
        <v>1840</v>
      </c>
      <c r="G1190" s="218" t="s">
        <v>1841</v>
      </c>
    </row>
    <row r="1191" spans="1:7" x14ac:dyDescent="0.15">
      <c r="A1191" s="218" t="s">
        <v>4327</v>
      </c>
      <c r="B1191" s="218" t="s">
        <v>4328</v>
      </c>
      <c r="C1191" s="218" t="s">
        <v>3534</v>
      </c>
      <c r="D1191" s="218" t="s">
        <v>4329</v>
      </c>
      <c r="E1191" s="218" t="s">
        <v>1839</v>
      </c>
      <c r="F1191" s="218" t="s">
        <v>1840</v>
      </c>
      <c r="G1191" s="218" t="s">
        <v>1841</v>
      </c>
    </row>
    <row r="1192" spans="1:7" x14ac:dyDescent="0.15">
      <c r="A1192" s="218" t="s">
        <v>4330</v>
      </c>
      <c r="B1192" s="218" t="s">
        <v>4331</v>
      </c>
      <c r="C1192" s="218" t="s">
        <v>3534</v>
      </c>
      <c r="D1192" s="218" t="s">
        <v>4332</v>
      </c>
      <c r="E1192" s="218" t="s">
        <v>1839</v>
      </c>
      <c r="F1192" s="218" t="s">
        <v>1840</v>
      </c>
      <c r="G1192" s="218" t="s">
        <v>1841</v>
      </c>
    </row>
    <row r="1193" spans="1:7" x14ac:dyDescent="0.15">
      <c r="A1193" s="218" t="s">
        <v>9735</v>
      </c>
      <c r="B1193" s="218" t="s">
        <v>9736</v>
      </c>
      <c r="C1193" s="218" t="s">
        <v>3534</v>
      </c>
      <c r="D1193" s="218" t="s">
        <v>9737</v>
      </c>
      <c r="E1193" s="218" t="s">
        <v>1839</v>
      </c>
      <c r="F1193" s="218" t="s">
        <v>1840</v>
      </c>
      <c r="G1193" s="218" t="s">
        <v>1841</v>
      </c>
    </row>
    <row r="1194" spans="1:7" x14ac:dyDescent="0.15">
      <c r="A1194" s="218" t="s">
        <v>4333</v>
      </c>
      <c r="B1194" s="218" t="s">
        <v>4334</v>
      </c>
      <c r="C1194" s="218" t="s">
        <v>3534</v>
      </c>
      <c r="D1194" s="218" t="s">
        <v>4335</v>
      </c>
      <c r="E1194" s="218" t="s">
        <v>1839</v>
      </c>
      <c r="F1194" s="218" t="s">
        <v>1840</v>
      </c>
      <c r="G1194" s="218" t="s">
        <v>1841</v>
      </c>
    </row>
    <row r="1195" spans="1:7" x14ac:dyDescent="0.15">
      <c r="A1195" s="218" t="s">
        <v>4336</v>
      </c>
      <c r="B1195" s="218" t="s">
        <v>4337</v>
      </c>
      <c r="C1195" s="218" t="s">
        <v>3534</v>
      </c>
      <c r="D1195" s="218" t="s">
        <v>4338</v>
      </c>
      <c r="E1195" s="218" t="s">
        <v>1839</v>
      </c>
      <c r="F1195" s="218" t="s">
        <v>1840</v>
      </c>
      <c r="G1195" s="218" t="s">
        <v>1841</v>
      </c>
    </row>
    <row r="1196" spans="1:7" x14ac:dyDescent="0.15">
      <c r="A1196" s="218" t="s">
        <v>11612</v>
      </c>
      <c r="B1196" s="218" t="s">
        <v>11613</v>
      </c>
      <c r="C1196" s="218" t="s">
        <v>3534</v>
      </c>
      <c r="D1196" s="218" t="s">
        <v>11614</v>
      </c>
      <c r="E1196" s="218" t="s">
        <v>1935</v>
      </c>
      <c r="F1196" s="218" t="s">
        <v>1840</v>
      </c>
      <c r="G1196" s="218" t="s">
        <v>1841</v>
      </c>
    </row>
    <row r="1197" spans="1:7" x14ac:dyDescent="0.15">
      <c r="A1197" s="218" t="s">
        <v>9738</v>
      </c>
      <c r="B1197" s="218" t="s">
        <v>9739</v>
      </c>
      <c r="C1197" s="218" t="s">
        <v>3534</v>
      </c>
      <c r="D1197" s="218" t="s">
        <v>9740</v>
      </c>
      <c r="E1197" s="218" t="s">
        <v>1839</v>
      </c>
      <c r="F1197" s="218" t="s">
        <v>1840</v>
      </c>
      <c r="G1197" s="218" t="s">
        <v>1841</v>
      </c>
    </row>
    <row r="1198" spans="1:7" x14ac:dyDescent="0.15">
      <c r="A1198" s="218" t="s">
        <v>9741</v>
      </c>
      <c r="B1198" s="218" t="s">
        <v>9742</v>
      </c>
      <c r="C1198" s="218" t="s">
        <v>3534</v>
      </c>
      <c r="D1198" s="218" t="s">
        <v>9743</v>
      </c>
      <c r="E1198" s="218" t="s">
        <v>1839</v>
      </c>
      <c r="F1198" s="218" t="s">
        <v>1840</v>
      </c>
      <c r="G1198" s="218" t="s">
        <v>1841</v>
      </c>
    </row>
    <row r="1199" spans="1:7" x14ac:dyDescent="0.15">
      <c r="A1199" s="218" t="s">
        <v>4339</v>
      </c>
      <c r="B1199" s="218" t="s">
        <v>4340</v>
      </c>
      <c r="C1199" s="218" t="s">
        <v>3534</v>
      </c>
      <c r="D1199" s="218" t="s">
        <v>4341</v>
      </c>
      <c r="E1199" s="218" t="s">
        <v>1839</v>
      </c>
      <c r="F1199" s="218" t="s">
        <v>1840</v>
      </c>
      <c r="G1199" s="218" t="s">
        <v>1841</v>
      </c>
    </row>
    <row r="1200" spans="1:7" x14ac:dyDescent="0.15">
      <c r="A1200" s="218" t="s">
        <v>9744</v>
      </c>
      <c r="B1200" s="218" t="s">
        <v>1290</v>
      </c>
      <c r="C1200" s="218" t="s">
        <v>3534</v>
      </c>
      <c r="D1200" s="218" t="s">
        <v>1291</v>
      </c>
      <c r="E1200" s="218" t="s">
        <v>1839</v>
      </c>
      <c r="F1200" s="218" t="s">
        <v>1840</v>
      </c>
      <c r="G1200" s="218" t="s">
        <v>1841</v>
      </c>
    </row>
    <row r="1201" spans="1:7" x14ac:dyDescent="0.15">
      <c r="A1201" s="218" t="s">
        <v>9745</v>
      </c>
      <c r="B1201" s="218" t="s">
        <v>9746</v>
      </c>
      <c r="C1201" s="218" t="s">
        <v>3534</v>
      </c>
      <c r="D1201" s="218" t="s">
        <v>9747</v>
      </c>
      <c r="E1201" s="218" t="s">
        <v>1839</v>
      </c>
      <c r="F1201" s="218" t="s">
        <v>1840</v>
      </c>
      <c r="G1201" s="218" t="s">
        <v>1841</v>
      </c>
    </row>
    <row r="1202" spans="1:7" x14ac:dyDescent="0.15">
      <c r="A1202" s="218" t="s">
        <v>9748</v>
      </c>
      <c r="B1202" s="218" t="s">
        <v>672</v>
      </c>
      <c r="C1202" s="218" t="s">
        <v>3534</v>
      </c>
      <c r="D1202" s="218" t="s">
        <v>673</v>
      </c>
      <c r="E1202" s="218" t="s">
        <v>1839</v>
      </c>
      <c r="F1202" s="218" t="s">
        <v>1840</v>
      </c>
      <c r="G1202" s="218" t="s">
        <v>1841</v>
      </c>
    </row>
    <row r="1203" spans="1:7" x14ac:dyDescent="0.15">
      <c r="A1203" s="218" t="s">
        <v>9749</v>
      </c>
      <c r="B1203" s="218" t="s">
        <v>9750</v>
      </c>
      <c r="C1203" s="218" t="s">
        <v>3534</v>
      </c>
      <c r="D1203" s="218" t="s">
        <v>9751</v>
      </c>
      <c r="E1203" s="218" t="s">
        <v>1839</v>
      </c>
      <c r="F1203" s="218" t="s">
        <v>1840</v>
      </c>
      <c r="G1203" s="218" t="s">
        <v>1841</v>
      </c>
    </row>
    <row r="1204" spans="1:7" x14ac:dyDescent="0.15">
      <c r="A1204" s="218" t="s">
        <v>9752</v>
      </c>
      <c r="B1204" s="218" t="s">
        <v>9753</v>
      </c>
      <c r="C1204" s="218" t="s">
        <v>3534</v>
      </c>
      <c r="D1204" s="218" t="s">
        <v>9754</v>
      </c>
      <c r="E1204" s="218" t="s">
        <v>1839</v>
      </c>
      <c r="F1204" s="218" t="s">
        <v>1840</v>
      </c>
      <c r="G1204" s="218" t="s">
        <v>1841</v>
      </c>
    </row>
    <row r="1205" spans="1:7" x14ac:dyDescent="0.15">
      <c r="A1205" s="218" t="s">
        <v>9755</v>
      </c>
      <c r="B1205" s="218" t="s">
        <v>9756</v>
      </c>
      <c r="C1205" s="218" t="s">
        <v>3534</v>
      </c>
      <c r="D1205" s="218" t="s">
        <v>9757</v>
      </c>
      <c r="E1205" s="218" t="s">
        <v>1839</v>
      </c>
      <c r="F1205" s="218" t="s">
        <v>1840</v>
      </c>
      <c r="G1205" s="218" t="s">
        <v>1841</v>
      </c>
    </row>
    <row r="1206" spans="1:7" x14ac:dyDescent="0.15">
      <c r="A1206" s="218" t="s">
        <v>9758</v>
      </c>
      <c r="B1206" s="218" t="s">
        <v>9759</v>
      </c>
      <c r="C1206" s="218" t="s">
        <v>3534</v>
      </c>
      <c r="D1206" s="218" t="s">
        <v>9760</v>
      </c>
      <c r="E1206" s="218" t="s">
        <v>1839</v>
      </c>
      <c r="F1206" s="218" t="s">
        <v>1840</v>
      </c>
      <c r="G1206" s="218" t="s">
        <v>1841</v>
      </c>
    </row>
    <row r="1207" spans="1:7" x14ac:dyDescent="0.15">
      <c r="A1207" s="218" t="s">
        <v>4342</v>
      </c>
      <c r="B1207" s="218" t="s">
        <v>4343</v>
      </c>
      <c r="C1207" s="218" t="s">
        <v>3534</v>
      </c>
      <c r="D1207" s="218" t="s">
        <v>4344</v>
      </c>
      <c r="E1207" s="218" t="s">
        <v>1839</v>
      </c>
      <c r="F1207" s="218" t="s">
        <v>1840</v>
      </c>
      <c r="G1207" s="218" t="s">
        <v>1841</v>
      </c>
    </row>
    <row r="1208" spans="1:7" x14ac:dyDescent="0.15">
      <c r="A1208" s="218" t="s">
        <v>4345</v>
      </c>
      <c r="B1208" s="218" t="s">
        <v>4346</v>
      </c>
      <c r="C1208" s="218" t="s">
        <v>3534</v>
      </c>
      <c r="D1208" s="218" t="s">
        <v>828</v>
      </c>
      <c r="E1208" s="218" t="s">
        <v>1839</v>
      </c>
      <c r="F1208" s="218" t="s">
        <v>1840</v>
      </c>
      <c r="G1208" s="218" t="s">
        <v>1841</v>
      </c>
    </row>
    <row r="1209" spans="1:7" x14ac:dyDescent="0.15">
      <c r="A1209" s="218" t="s">
        <v>4347</v>
      </c>
      <c r="B1209" s="218" t="s">
        <v>4348</v>
      </c>
      <c r="C1209" s="218" t="s">
        <v>3534</v>
      </c>
      <c r="D1209" s="218" t="s">
        <v>4349</v>
      </c>
      <c r="E1209" s="218" t="s">
        <v>1839</v>
      </c>
      <c r="F1209" s="218" t="s">
        <v>1840</v>
      </c>
      <c r="G1209" s="218" t="s">
        <v>1841</v>
      </c>
    </row>
    <row r="1210" spans="1:7" x14ac:dyDescent="0.15">
      <c r="A1210" s="218" t="s">
        <v>4350</v>
      </c>
      <c r="B1210" s="218" t="s">
        <v>4351</v>
      </c>
      <c r="C1210" s="218" t="s">
        <v>3534</v>
      </c>
      <c r="D1210" s="218" t="s">
        <v>4352</v>
      </c>
      <c r="E1210" s="218" t="s">
        <v>1839</v>
      </c>
      <c r="F1210" s="218" t="s">
        <v>1840</v>
      </c>
      <c r="G1210" s="218" t="s">
        <v>1841</v>
      </c>
    </row>
    <row r="1211" spans="1:7" x14ac:dyDescent="0.15">
      <c r="A1211" s="218" t="s">
        <v>4353</v>
      </c>
      <c r="B1211" s="218" t="s">
        <v>4354</v>
      </c>
      <c r="C1211" s="218" t="s">
        <v>3534</v>
      </c>
      <c r="D1211" s="218" t="s">
        <v>1394</v>
      </c>
      <c r="E1211" s="218" t="s">
        <v>1839</v>
      </c>
      <c r="F1211" s="218" t="s">
        <v>1840</v>
      </c>
      <c r="G1211" s="218" t="s">
        <v>1841</v>
      </c>
    </row>
    <row r="1212" spans="1:7" x14ac:dyDescent="0.15">
      <c r="A1212" s="218" t="s">
        <v>4355</v>
      </c>
      <c r="B1212" s="218" t="s">
        <v>4356</v>
      </c>
      <c r="C1212" s="218" t="s">
        <v>3534</v>
      </c>
      <c r="D1212" s="218" t="s">
        <v>4357</v>
      </c>
      <c r="E1212" s="218" t="s">
        <v>1839</v>
      </c>
      <c r="F1212" s="218" t="s">
        <v>1840</v>
      </c>
      <c r="G1212" s="218" t="s">
        <v>1841</v>
      </c>
    </row>
    <row r="1213" spans="1:7" x14ac:dyDescent="0.15">
      <c r="A1213" s="218" t="s">
        <v>4358</v>
      </c>
      <c r="B1213" s="218" t="s">
        <v>4359</v>
      </c>
      <c r="C1213" s="218" t="s">
        <v>3534</v>
      </c>
      <c r="D1213" s="218" t="s">
        <v>4360</v>
      </c>
      <c r="E1213" s="218" t="s">
        <v>1839</v>
      </c>
      <c r="F1213" s="218" t="s">
        <v>1840</v>
      </c>
      <c r="G1213" s="218" t="s">
        <v>1841</v>
      </c>
    </row>
    <row r="1214" spans="1:7" x14ac:dyDescent="0.15">
      <c r="A1214" s="218" t="s">
        <v>4361</v>
      </c>
      <c r="B1214" s="218" t="s">
        <v>594</v>
      </c>
      <c r="C1214" s="218" t="s">
        <v>3534</v>
      </c>
      <c r="D1214" s="218" t="s">
        <v>4362</v>
      </c>
      <c r="E1214" s="218" t="s">
        <v>1839</v>
      </c>
      <c r="F1214" s="218" t="s">
        <v>1840</v>
      </c>
      <c r="G1214" s="218" t="s">
        <v>1841</v>
      </c>
    </row>
    <row r="1215" spans="1:7" x14ac:dyDescent="0.15">
      <c r="A1215" s="218" t="s">
        <v>9761</v>
      </c>
      <c r="B1215" s="218" t="s">
        <v>9762</v>
      </c>
      <c r="C1215" s="218" t="s">
        <v>3534</v>
      </c>
      <c r="D1215" s="218" t="s">
        <v>9763</v>
      </c>
      <c r="E1215" s="218" t="s">
        <v>1839</v>
      </c>
      <c r="F1215" s="218" t="s">
        <v>1840</v>
      </c>
      <c r="G1215" s="218" t="s">
        <v>1841</v>
      </c>
    </row>
    <row r="1216" spans="1:7" x14ac:dyDescent="0.15">
      <c r="A1216" s="218" t="s">
        <v>9764</v>
      </c>
      <c r="B1216" s="218" t="s">
        <v>9765</v>
      </c>
      <c r="C1216" s="218" t="s">
        <v>3534</v>
      </c>
      <c r="D1216" s="218" t="s">
        <v>9766</v>
      </c>
      <c r="E1216" s="218" t="s">
        <v>1839</v>
      </c>
      <c r="F1216" s="218" t="s">
        <v>1840</v>
      </c>
      <c r="G1216" s="218" t="s">
        <v>1841</v>
      </c>
    </row>
    <row r="1217" spans="1:7" x14ac:dyDescent="0.15">
      <c r="A1217" s="218" t="s">
        <v>9767</v>
      </c>
      <c r="B1217" s="218" t="s">
        <v>9768</v>
      </c>
      <c r="C1217" s="218" t="s">
        <v>3534</v>
      </c>
      <c r="D1217" s="218" t="s">
        <v>1677</v>
      </c>
      <c r="E1217" s="218" t="s">
        <v>1839</v>
      </c>
      <c r="F1217" s="218" t="s">
        <v>1840</v>
      </c>
      <c r="G1217" s="218" t="s">
        <v>1841</v>
      </c>
    </row>
    <row r="1218" spans="1:7" x14ac:dyDescent="0.15">
      <c r="A1218" s="218" t="s">
        <v>4363</v>
      </c>
      <c r="B1218" s="218" t="s">
        <v>4364</v>
      </c>
      <c r="C1218" s="218" t="s">
        <v>3534</v>
      </c>
      <c r="D1218" s="218" t="s">
        <v>4365</v>
      </c>
      <c r="E1218" s="218" t="s">
        <v>1839</v>
      </c>
      <c r="F1218" s="218" t="s">
        <v>1840</v>
      </c>
      <c r="G1218" s="218" t="s">
        <v>1841</v>
      </c>
    </row>
    <row r="1219" spans="1:7" x14ac:dyDescent="0.15">
      <c r="A1219" s="218" t="s">
        <v>4366</v>
      </c>
      <c r="B1219" s="218" t="s">
        <v>4367</v>
      </c>
      <c r="C1219" s="218" t="s">
        <v>3534</v>
      </c>
      <c r="D1219" s="218" t="s">
        <v>4368</v>
      </c>
      <c r="E1219" s="218" t="s">
        <v>1839</v>
      </c>
      <c r="F1219" s="218" t="s">
        <v>1840</v>
      </c>
      <c r="G1219" s="218" t="s">
        <v>1841</v>
      </c>
    </row>
    <row r="1220" spans="1:7" x14ac:dyDescent="0.15">
      <c r="A1220" s="218" t="s">
        <v>9769</v>
      </c>
      <c r="B1220" s="218" t="s">
        <v>9770</v>
      </c>
      <c r="C1220" s="218" t="s">
        <v>3534</v>
      </c>
      <c r="D1220" s="218" t="s">
        <v>1605</v>
      </c>
      <c r="E1220" s="218" t="s">
        <v>1839</v>
      </c>
      <c r="F1220" s="218" t="s">
        <v>1840</v>
      </c>
      <c r="G1220" s="218" t="s">
        <v>1841</v>
      </c>
    </row>
    <row r="1221" spans="1:7" x14ac:dyDescent="0.15">
      <c r="A1221" s="218" t="s">
        <v>4369</v>
      </c>
      <c r="B1221" s="218" t="s">
        <v>4370</v>
      </c>
      <c r="C1221" s="218" t="s">
        <v>3534</v>
      </c>
      <c r="D1221" s="218" t="s">
        <v>4371</v>
      </c>
      <c r="E1221" s="218" t="s">
        <v>1839</v>
      </c>
      <c r="F1221" s="218" t="s">
        <v>1840</v>
      </c>
      <c r="G1221" s="218" t="s">
        <v>1841</v>
      </c>
    </row>
    <row r="1222" spans="1:7" x14ac:dyDescent="0.15">
      <c r="A1222" s="218" t="s">
        <v>4372</v>
      </c>
      <c r="B1222" s="218" t="s">
        <v>4373</v>
      </c>
      <c r="C1222" s="218" t="s">
        <v>3534</v>
      </c>
      <c r="D1222" s="218" t="s">
        <v>4374</v>
      </c>
      <c r="E1222" s="218" t="s">
        <v>1839</v>
      </c>
      <c r="F1222" s="218" t="s">
        <v>1840</v>
      </c>
      <c r="G1222" s="218" t="s">
        <v>1841</v>
      </c>
    </row>
    <row r="1223" spans="1:7" x14ac:dyDescent="0.15">
      <c r="A1223" s="218" t="s">
        <v>9771</v>
      </c>
      <c r="B1223" s="218" t="s">
        <v>9772</v>
      </c>
      <c r="C1223" s="218" t="s">
        <v>3534</v>
      </c>
      <c r="D1223" s="218" t="s">
        <v>9773</v>
      </c>
      <c r="E1223" s="218" t="s">
        <v>1839</v>
      </c>
      <c r="F1223" s="218" t="s">
        <v>1840</v>
      </c>
      <c r="G1223" s="218" t="s">
        <v>1841</v>
      </c>
    </row>
    <row r="1224" spans="1:7" x14ac:dyDescent="0.15">
      <c r="A1224" s="218" t="s">
        <v>4375</v>
      </c>
      <c r="B1224" s="218" t="s">
        <v>4376</v>
      </c>
      <c r="C1224" s="218" t="s">
        <v>3534</v>
      </c>
      <c r="D1224" s="218" t="s">
        <v>4377</v>
      </c>
      <c r="E1224" s="218" t="s">
        <v>1839</v>
      </c>
      <c r="F1224" s="218" t="s">
        <v>1840</v>
      </c>
      <c r="G1224" s="218" t="s">
        <v>1841</v>
      </c>
    </row>
    <row r="1225" spans="1:7" x14ac:dyDescent="0.15">
      <c r="A1225" s="218" t="s">
        <v>9774</v>
      </c>
      <c r="B1225" s="218" t="s">
        <v>936</v>
      </c>
      <c r="C1225" s="218" t="s">
        <v>3534</v>
      </c>
      <c r="D1225" s="218" t="s">
        <v>937</v>
      </c>
      <c r="E1225" s="218" t="s">
        <v>1839</v>
      </c>
      <c r="F1225" s="218" t="s">
        <v>1840</v>
      </c>
      <c r="G1225" s="218" t="s">
        <v>1841</v>
      </c>
    </row>
    <row r="1226" spans="1:7" x14ac:dyDescent="0.15">
      <c r="A1226" s="218" t="s">
        <v>9775</v>
      </c>
      <c r="B1226" s="218" t="s">
        <v>9776</v>
      </c>
      <c r="C1226" s="218" t="s">
        <v>3534</v>
      </c>
      <c r="D1226" s="218" t="s">
        <v>9777</v>
      </c>
      <c r="E1226" s="218" t="s">
        <v>1839</v>
      </c>
      <c r="F1226" s="218" t="s">
        <v>1840</v>
      </c>
      <c r="G1226" s="218" t="s">
        <v>1841</v>
      </c>
    </row>
    <row r="1227" spans="1:7" x14ac:dyDescent="0.15">
      <c r="A1227" s="218" t="s">
        <v>4381</v>
      </c>
      <c r="B1227" s="218" t="s">
        <v>4382</v>
      </c>
      <c r="C1227" s="218" t="s">
        <v>3534</v>
      </c>
      <c r="D1227" s="218" t="s">
        <v>4383</v>
      </c>
      <c r="E1227" s="218" t="s">
        <v>1839</v>
      </c>
      <c r="F1227" s="218" t="s">
        <v>1840</v>
      </c>
      <c r="G1227" s="218" t="s">
        <v>1841</v>
      </c>
    </row>
    <row r="1228" spans="1:7" x14ac:dyDescent="0.15">
      <c r="A1228" s="218" t="s">
        <v>9778</v>
      </c>
      <c r="B1228" s="218" t="s">
        <v>1530</v>
      </c>
      <c r="C1228" s="218" t="s">
        <v>3534</v>
      </c>
      <c r="D1228" s="218" t="s">
        <v>1531</v>
      </c>
      <c r="E1228" s="218" t="s">
        <v>1839</v>
      </c>
      <c r="F1228" s="218" t="s">
        <v>1840</v>
      </c>
      <c r="G1228" s="218" t="s">
        <v>1841</v>
      </c>
    </row>
    <row r="1229" spans="1:7" x14ac:dyDescent="0.15">
      <c r="A1229" s="218" t="s">
        <v>9780</v>
      </c>
      <c r="B1229" s="218" t="s">
        <v>887</v>
      </c>
      <c r="C1229" s="218" t="s">
        <v>3534</v>
      </c>
      <c r="D1229" s="218" t="s">
        <v>888</v>
      </c>
      <c r="E1229" s="218" t="s">
        <v>1839</v>
      </c>
      <c r="F1229" s="218" t="s">
        <v>1840</v>
      </c>
      <c r="G1229" s="218" t="s">
        <v>1841</v>
      </c>
    </row>
    <row r="1230" spans="1:7" x14ac:dyDescent="0.15">
      <c r="A1230" s="218" t="s">
        <v>4386</v>
      </c>
      <c r="B1230" s="218" t="s">
        <v>4387</v>
      </c>
      <c r="C1230" s="218" t="s">
        <v>3534</v>
      </c>
      <c r="D1230" s="218" t="s">
        <v>4388</v>
      </c>
      <c r="E1230" s="218" t="s">
        <v>1839</v>
      </c>
      <c r="F1230" s="218" t="s">
        <v>1840</v>
      </c>
      <c r="G1230" s="218" t="s">
        <v>1841</v>
      </c>
    </row>
    <row r="1231" spans="1:7" x14ac:dyDescent="0.15">
      <c r="A1231" s="218" t="s">
        <v>4389</v>
      </c>
      <c r="B1231" s="218" t="s">
        <v>4390</v>
      </c>
      <c r="C1231" s="218" t="s">
        <v>3534</v>
      </c>
      <c r="D1231" s="218" t="s">
        <v>4391</v>
      </c>
      <c r="E1231" s="218" t="s">
        <v>1935</v>
      </c>
      <c r="F1231" s="218" t="s">
        <v>1840</v>
      </c>
      <c r="G1231" s="218" t="s">
        <v>1841</v>
      </c>
    </row>
    <row r="1232" spans="1:7" x14ac:dyDescent="0.15">
      <c r="A1232" s="218" t="s">
        <v>9781</v>
      </c>
      <c r="B1232" s="218" t="s">
        <v>9782</v>
      </c>
      <c r="C1232" s="218" t="s">
        <v>3534</v>
      </c>
      <c r="D1232" s="218" t="s">
        <v>9783</v>
      </c>
      <c r="E1232" s="218" t="s">
        <v>1839</v>
      </c>
      <c r="F1232" s="218" t="s">
        <v>1840</v>
      </c>
      <c r="G1232" s="218" t="s">
        <v>1841</v>
      </c>
    </row>
    <row r="1233" spans="1:7" x14ac:dyDescent="0.15">
      <c r="A1233" s="218" t="s">
        <v>9784</v>
      </c>
      <c r="B1233" s="218" t="s">
        <v>9785</v>
      </c>
      <c r="C1233" s="218" t="s">
        <v>3534</v>
      </c>
      <c r="D1233" s="218" t="s">
        <v>9786</v>
      </c>
      <c r="E1233" s="218" t="s">
        <v>1839</v>
      </c>
      <c r="F1233" s="218" t="s">
        <v>1840</v>
      </c>
      <c r="G1233" s="218" t="s">
        <v>1841</v>
      </c>
    </row>
    <row r="1234" spans="1:7" x14ac:dyDescent="0.15">
      <c r="A1234" s="218" t="s">
        <v>9787</v>
      </c>
      <c r="B1234" s="218" t="s">
        <v>9788</v>
      </c>
      <c r="C1234" s="218" t="s">
        <v>3534</v>
      </c>
      <c r="D1234" s="218" t="s">
        <v>9789</v>
      </c>
      <c r="E1234" s="218" t="s">
        <v>1839</v>
      </c>
      <c r="F1234" s="218" t="s">
        <v>1840</v>
      </c>
      <c r="G1234" s="218" t="s">
        <v>1841</v>
      </c>
    </row>
    <row r="1235" spans="1:7" x14ac:dyDescent="0.15">
      <c r="A1235" s="218" t="s">
        <v>9790</v>
      </c>
      <c r="B1235" s="218" t="s">
        <v>9791</v>
      </c>
      <c r="C1235" s="218" t="s">
        <v>3534</v>
      </c>
      <c r="D1235" s="218" t="s">
        <v>9792</v>
      </c>
      <c r="E1235" s="218" t="s">
        <v>1839</v>
      </c>
      <c r="F1235" s="218" t="s">
        <v>1840</v>
      </c>
      <c r="G1235" s="218" t="s">
        <v>1841</v>
      </c>
    </row>
    <row r="1236" spans="1:7" x14ac:dyDescent="0.15">
      <c r="A1236" s="218" t="s">
        <v>4392</v>
      </c>
      <c r="B1236" s="218" t="s">
        <v>4393</v>
      </c>
      <c r="C1236" s="218" t="s">
        <v>3534</v>
      </c>
      <c r="D1236" s="218" t="s">
        <v>4394</v>
      </c>
      <c r="E1236" s="218" t="s">
        <v>1839</v>
      </c>
      <c r="F1236" s="218" t="s">
        <v>1840</v>
      </c>
      <c r="G1236" s="218" t="s">
        <v>1841</v>
      </c>
    </row>
    <row r="1237" spans="1:7" x14ac:dyDescent="0.15">
      <c r="A1237" s="218" t="s">
        <v>4395</v>
      </c>
      <c r="B1237" s="218" t="s">
        <v>4396</v>
      </c>
      <c r="C1237" s="218" t="s">
        <v>3534</v>
      </c>
      <c r="D1237" s="218" t="s">
        <v>4397</v>
      </c>
      <c r="E1237" s="218" t="s">
        <v>1839</v>
      </c>
      <c r="F1237" s="218" t="s">
        <v>1840</v>
      </c>
      <c r="G1237" s="218" t="s">
        <v>1841</v>
      </c>
    </row>
    <row r="1238" spans="1:7" x14ac:dyDescent="0.15">
      <c r="A1238" s="218" t="s">
        <v>9793</v>
      </c>
      <c r="B1238" s="218" t="s">
        <v>9794</v>
      </c>
      <c r="C1238" s="218" t="s">
        <v>3534</v>
      </c>
      <c r="D1238" s="218" t="s">
        <v>9795</v>
      </c>
      <c r="E1238" s="218" t="s">
        <v>1839</v>
      </c>
      <c r="F1238" s="218" t="s">
        <v>1840</v>
      </c>
      <c r="G1238" s="218" t="s">
        <v>1841</v>
      </c>
    </row>
    <row r="1239" spans="1:7" x14ac:dyDescent="0.15">
      <c r="A1239" s="218" t="s">
        <v>4398</v>
      </c>
      <c r="B1239" s="218" t="s">
        <v>4399</v>
      </c>
      <c r="C1239" s="218" t="s">
        <v>3534</v>
      </c>
      <c r="D1239" s="218" t="s">
        <v>4400</v>
      </c>
      <c r="E1239" s="218" t="s">
        <v>1839</v>
      </c>
      <c r="F1239" s="218" t="s">
        <v>1840</v>
      </c>
      <c r="G1239" s="218" t="s">
        <v>1841</v>
      </c>
    </row>
    <row r="1240" spans="1:7" x14ac:dyDescent="0.15">
      <c r="A1240" s="218" t="s">
        <v>9796</v>
      </c>
      <c r="B1240" s="218" t="s">
        <v>1534</v>
      </c>
      <c r="C1240" s="218" t="s">
        <v>3534</v>
      </c>
      <c r="D1240" s="218" t="s">
        <v>1535</v>
      </c>
      <c r="E1240" s="218" t="s">
        <v>1839</v>
      </c>
      <c r="F1240" s="218" t="s">
        <v>1840</v>
      </c>
      <c r="G1240" s="218" t="s">
        <v>1841</v>
      </c>
    </row>
    <row r="1241" spans="1:7" x14ac:dyDescent="0.15">
      <c r="A1241" s="218" t="s">
        <v>9797</v>
      </c>
      <c r="B1241" s="218" t="s">
        <v>9798</v>
      </c>
      <c r="C1241" s="218" t="s">
        <v>3534</v>
      </c>
      <c r="D1241" s="218" t="s">
        <v>9799</v>
      </c>
      <c r="E1241" s="218" t="s">
        <v>1839</v>
      </c>
      <c r="F1241" s="218" t="s">
        <v>1840</v>
      </c>
      <c r="G1241" s="218" t="s">
        <v>1841</v>
      </c>
    </row>
    <row r="1242" spans="1:7" x14ac:dyDescent="0.15">
      <c r="A1242" s="218" t="s">
        <v>4401</v>
      </c>
      <c r="B1242" s="218" t="s">
        <v>4402</v>
      </c>
      <c r="C1242" s="218" t="s">
        <v>3534</v>
      </c>
      <c r="D1242" s="218" t="s">
        <v>4403</v>
      </c>
      <c r="E1242" s="218" t="s">
        <v>1839</v>
      </c>
      <c r="F1242" s="218" t="s">
        <v>1840</v>
      </c>
      <c r="G1242" s="218" t="s">
        <v>1841</v>
      </c>
    </row>
    <row r="1243" spans="1:7" x14ac:dyDescent="0.15">
      <c r="A1243" s="218" t="s">
        <v>9800</v>
      </c>
      <c r="B1243" s="218" t="s">
        <v>1457</v>
      </c>
      <c r="C1243" s="218" t="s">
        <v>3534</v>
      </c>
      <c r="D1243" s="218" t="s">
        <v>1458</v>
      </c>
      <c r="E1243" s="218" t="s">
        <v>1839</v>
      </c>
      <c r="F1243" s="218" t="s">
        <v>1840</v>
      </c>
      <c r="G1243" s="218" t="s">
        <v>1841</v>
      </c>
    </row>
    <row r="1244" spans="1:7" x14ac:dyDescent="0.15">
      <c r="A1244" s="218" t="s">
        <v>9801</v>
      </c>
      <c r="B1244" s="218" t="s">
        <v>9802</v>
      </c>
      <c r="C1244" s="218" t="s">
        <v>3534</v>
      </c>
      <c r="D1244" s="218" t="s">
        <v>9803</v>
      </c>
      <c r="E1244" s="218" t="s">
        <v>1839</v>
      </c>
      <c r="F1244" s="218" t="s">
        <v>1840</v>
      </c>
      <c r="G1244" s="218" t="s">
        <v>1841</v>
      </c>
    </row>
    <row r="1245" spans="1:7" x14ac:dyDescent="0.15">
      <c r="A1245" s="218" t="s">
        <v>9804</v>
      </c>
      <c r="B1245" s="218" t="s">
        <v>9805</v>
      </c>
      <c r="C1245" s="218" t="s">
        <v>3534</v>
      </c>
      <c r="D1245" s="218" t="s">
        <v>9806</v>
      </c>
      <c r="E1245" s="218" t="s">
        <v>1839</v>
      </c>
      <c r="F1245" s="218" t="s">
        <v>1840</v>
      </c>
      <c r="G1245" s="218" t="s">
        <v>1841</v>
      </c>
    </row>
    <row r="1246" spans="1:7" x14ac:dyDescent="0.15">
      <c r="A1246" s="218" t="s">
        <v>9807</v>
      </c>
      <c r="B1246" s="218" t="s">
        <v>9808</v>
      </c>
      <c r="C1246" s="218" t="s">
        <v>3534</v>
      </c>
      <c r="D1246" s="218" t="s">
        <v>9809</v>
      </c>
      <c r="E1246" s="218" t="s">
        <v>1839</v>
      </c>
      <c r="F1246" s="218" t="s">
        <v>1840</v>
      </c>
      <c r="G1246" s="218" t="s">
        <v>1841</v>
      </c>
    </row>
    <row r="1247" spans="1:7" x14ac:dyDescent="0.15">
      <c r="A1247" s="218" t="s">
        <v>11615</v>
      </c>
      <c r="B1247" s="218" t="s">
        <v>11616</v>
      </c>
      <c r="C1247" s="218" t="s">
        <v>3534</v>
      </c>
      <c r="D1247" s="218" t="s">
        <v>11617</v>
      </c>
      <c r="E1247" s="218" t="s">
        <v>1839</v>
      </c>
      <c r="F1247" s="218" t="s">
        <v>1840</v>
      </c>
      <c r="G1247" s="218" t="s">
        <v>1841</v>
      </c>
    </row>
    <row r="1248" spans="1:7" x14ac:dyDescent="0.15">
      <c r="A1248" s="218" t="s">
        <v>4404</v>
      </c>
      <c r="B1248" s="218" t="s">
        <v>1635</v>
      </c>
      <c r="C1248" s="218" t="s">
        <v>3534</v>
      </c>
      <c r="D1248" s="218" t="s">
        <v>1636</v>
      </c>
      <c r="E1248" s="218" t="s">
        <v>1839</v>
      </c>
      <c r="F1248" s="218" t="s">
        <v>1840</v>
      </c>
      <c r="G1248" s="218" t="s">
        <v>1841</v>
      </c>
    </row>
    <row r="1249" spans="1:7" x14ac:dyDescent="0.15">
      <c r="A1249" s="218" t="s">
        <v>9810</v>
      </c>
      <c r="B1249" s="218" t="s">
        <v>1115</v>
      </c>
      <c r="C1249" s="218" t="s">
        <v>3534</v>
      </c>
      <c r="D1249" s="218" t="s">
        <v>1116</v>
      </c>
      <c r="E1249" s="218" t="s">
        <v>1935</v>
      </c>
      <c r="F1249" s="218" t="s">
        <v>1840</v>
      </c>
      <c r="G1249" s="218" t="s">
        <v>1841</v>
      </c>
    </row>
    <row r="1250" spans="1:7" x14ac:dyDescent="0.15">
      <c r="A1250" s="218" t="s">
        <v>9811</v>
      </c>
      <c r="B1250" s="218" t="s">
        <v>9812</v>
      </c>
      <c r="C1250" s="218" t="s">
        <v>3534</v>
      </c>
      <c r="D1250" s="218" t="s">
        <v>9813</v>
      </c>
      <c r="E1250" s="218" t="s">
        <v>1935</v>
      </c>
      <c r="F1250" s="218" t="s">
        <v>1840</v>
      </c>
      <c r="G1250" s="218" t="s">
        <v>1841</v>
      </c>
    </row>
    <row r="1251" spans="1:7" x14ac:dyDescent="0.15">
      <c r="A1251" s="218" t="s">
        <v>9814</v>
      </c>
      <c r="B1251" s="218" t="s">
        <v>9815</v>
      </c>
      <c r="C1251" s="218" t="s">
        <v>3534</v>
      </c>
      <c r="D1251" s="218" t="s">
        <v>9816</v>
      </c>
      <c r="E1251" s="218" t="s">
        <v>1839</v>
      </c>
      <c r="F1251" s="218" t="s">
        <v>1840</v>
      </c>
      <c r="G1251" s="218" t="s">
        <v>1841</v>
      </c>
    </row>
    <row r="1252" spans="1:7" x14ac:dyDescent="0.15">
      <c r="A1252" s="218" t="s">
        <v>4406</v>
      </c>
      <c r="B1252" s="218" t="s">
        <v>4407</v>
      </c>
      <c r="C1252" s="218" t="s">
        <v>3534</v>
      </c>
      <c r="D1252" s="218" t="s">
        <v>4408</v>
      </c>
      <c r="E1252" s="218" t="s">
        <v>1839</v>
      </c>
      <c r="F1252" s="218" t="s">
        <v>1840</v>
      </c>
      <c r="G1252" s="218" t="s">
        <v>1841</v>
      </c>
    </row>
    <row r="1253" spans="1:7" x14ac:dyDescent="0.15">
      <c r="A1253" s="218" t="s">
        <v>4409</v>
      </c>
      <c r="B1253" s="218" t="s">
        <v>4410</v>
      </c>
      <c r="C1253" s="218" t="s">
        <v>3534</v>
      </c>
      <c r="D1253" s="218" t="s">
        <v>4411</v>
      </c>
      <c r="E1253" s="218" t="s">
        <v>1839</v>
      </c>
      <c r="F1253" s="218" t="s">
        <v>1840</v>
      </c>
      <c r="G1253" s="218" t="s">
        <v>1841</v>
      </c>
    </row>
    <row r="1254" spans="1:7" x14ac:dyDescent="0.15">
      <c r="A1254" s="218" t="s">
        <v>4412</v>
      </c>
      <c r="B1254" s="218" t="s">
        <v>4413</v>
      </c>
      <c r="C1254" s="218" t="s">
        <v>3534</v>
      </c>
      <c r="D1254" s="218" t="s">
        <v>4414</v>
      </c>
      <c r="E1254" s="218" t="s">
        <v>1839</v>
      </c>
      <c r="F1254" s="218" t="s">
        <v>1840</v>
      </c>
      <c r="G1254" s="218" t="s">
        <v>1841</v>
      </c>
    </row>
    <row r="1255" spans="1:7" x14ac:dyDescent="0.15">
      <c r="A1255" s="218" t="s">
        <v>9817</v>
      </c>
      <c r="B1255" s="218" t="s">
        <v>9818</v>
      </c>
      <c r="C1255" s="218" t="s">
        <v>3534</v>
      </c>
      <c r="D1255" s="218" t="s">
        <v>9819</v>
      </c>
      <c r="E1255" s="218" t="s">
        <v>1839</v>
      </c>
      <c r="F1255" s="218" t="s">
        <v>1840</v>
      </c>
      <c r="G1255" s="218" t="s">
        <v>1841</v>
      </c>
    </row>
    <row r="1256" spans="1:7" x14ac:dyDescent="0.15">
      <c r="A1256" s="218" t="s">
        <v>4415</v>
      </c>
      <c r="B1256" s="218" t="s">
        <v>4416</v>
      </c>
      <c r="C1256" s="218" t="s">
        <v>3534</v>
      </c>
      <c r="D1256" s="218" t="s">
        <v>4417</v>
      </c>
      <c r="E1256" s="218" t="s">
        <v>1839</v>
      </c>
      <c r="F1256" s="218" t="s">
        <v>1840</v>
      </c>
      <c r="G1256" s="218" t="s">
        <v>1841</v>
      </c>
    </row>
    <row r="1257" spans="1:7" x14ac:dyDescent="0.15">
      <c r="A1257" s="218" t="s">
        <v>9820</v>
      </c>
      <c r="B1257" s="218" t="s">
        <v>9821</v>
      </c>
      <c r="C1257" s="218" t="s">
        <v>3534</v>
      </c>
      <c r="D1257" s="218" t="s">
        <v>9822</v>
      </c>
      <c r="E1257" s="218" t="s">
        <v>1839</v>
      </c>
      <c r="F1257" s="218" t="s">
        <v>1840</v>
      </c>
      <c r="G1257" s="218" t="s">
        <v>1841</v>
      </c>
    </row>
    <row r="1258" spans="1:7" x14ac:dyDescent="0.15">
      <c r="A1258" s="218" t="s">
        <v>4418</v>
      </c>
      <c r="B1258" s="218" t="s">
        <v>4419</v>
      </c>
      <c r="C1258" s="218" t="s">
        <v>3534</v>
      </c>
      <c r="D1258" s="218" t="s">
        <v>4420</v>
      </c>
      <c r="E1258" s="218" t="s">
        <v>1839</v>
      </c>
      <c r="F1258" s="218" t="s">
        <v>1840</v>
      </c>
      <c r="G1258" s="218" t="s">
        <v>1841</v>
      </c>
    </row>
    <row r="1259" spans="1:7" x14ac:dyDescent="0.15">
      <c r="A1259" s="218" t="s">
        <v>4421</v>
      </c>
      <c r="B1259" s="218" t="s">
        <v>4422</v>
      </c>
      <c r="C1259" s="218" t="s">
        <v>3534</v>
      </c>
      <c r="D1259" s="218" t="s">
        <v>4423</v>
      </c>
      <c r="E1259" s="218" t="s">
        <v>1839</v>
      </c>
      <c r="F1259" s="218" t="s">
        <v>1840</v>
      </c>
      <c r="G1259" s="218" t="s">
        <v>1841</v>
      </c>
    </row>
    <row r="1260" spans="1:7" x14ac:dyDescent="0.15">
      <c r="A1260" s="218" t="s">
        <v>4424</v>
      </c>
      <c r="B1260" s="218" t="s">
        <v>4425</v>
      </c>
      <c r="C1260" s="218" t="s">
        <v>3534</v>
      </c>
      <c r="D1260" s="218" t="s">
        <v>4426</v>
      </c>
      <c r="E1260" s="218" t="s">
        <v>1839</v>
      </c>
      <c r="F1260" s="218" t="s">
        <v>1840</v>
      </c>
      <c r="G1260" s="218" t="s">
        <v>1841</v>
      </c>
    </row>
    <row r="1261" spans="1:7" x14ac:dyDescent="0.15">
      <c r="A1261" s="218" t="s">
        <v>9823</v>
      </c>
      <c r="B1261" s="218" t="s">
        <v>1193</v>
      </c>
      <c r="C1261" s="218" t="s">
        <v>3534</v>
      </c>
      <c r="D1261" s="218" t="s">
        <v>1194</v>
      </c>
      <c r="E1261" s="218" t="s">
        <v>1839</v>
      </c>
      <c r="F1261" s="218" t="s">
        <v>1840</v>
      </c>
      <c r="G1261" s="218" t="s">
        <v>1841</v>
      </c>
    </row>
    <row r="1262" spans="1:7" x14ac:dyDescent="0.15">
      <c r="A1262" s="218" t="s">
        <v>4430</v>
      </c>
      <c r="B1262" s="218" t="s">
        <v>4431</v>
      </c>
      <c r="C1262" s="218" t="s">
        <v>3534</v>
      </c>
      <c r="D1262" s="218" t="s">
        <v>4432</v>
      </c>
      <c r="E1262" s="218" t="s">
        <v>1839</v>
      </c>
      <c r="F1262" s="218" t="s">
        <v>1840</v>
      </c>
      <c r="G1262" s="218" t="s">
        <v>1841</v>
      </c>
    </row>
    <row r="1263" spans="1:7" x14ac:dyDescent="0.15">
      <c r="A1263" s="218" t="s">
        <v>9824</v>
      </c>
      <c r="B1263" s="218" t="s">
        <v>9825</v>
      </c>
      <c r="C1263" s="218" t="s">
        <v>3534</v>
      </c>
      <c r="D1263" s="218" t="s">
        <v>9826</v>
      </c>
      <c r="E1263" s="218" t="s">
        <v>1839</v>
      </c>
      <c r="F1263" s="218" t="s">
        <v>1840</v>
      </c>
      <c r="G1263" s="218" t="s">
        <v>1841</v>
      </c>
    </row>
    <row r="1264" spans="1:7" x14ac:dyDescent="0.15">
      <c r="A1264" s="218" t="s">
        <v>9827</v>
      </c>
      <c r="B1264" s="218" t="s">
        <v>9828</v>
      </c>
      <c r="C1264" s="218" t="s">
        <v>3534</v>
      </c>
      <c r="D1264" s="218" t="s">
        <v>9829</v>
      </c>
      <c r="E1264" s="218" t="s">
        <v>1839</v>
      </c>
      <c r="F1264" s="218" t="s">
        <v>1840</v>
      </c>
      <c r="G1264" s="218" t="s">
        <v>1841</v>
      </c>
    </row>
    <row r="1265" spans="1:7" x14ac:dyDescent="0.15">
      <c r="A1265" s="218" t="s">
        <v>4433</v>
      </c>
      <c r="B1265" s="218" t="s">
        <v>4434</v>
      </c>
      <c r="C1265" s="218" t="s">
        <v>3534</v>
      </c>
      <c r="D1265" s="218" t="s">
        <v>4435</v>
      </c>
      <c r="E1265" s="218" t="s">
        <v>1839</v>
      </c>
      <c r="F1265" s="218" t="s">
        <v>1840</v>
      </c>
      <c r="G1265" s="218" t="s">
        <v>1841</v>
      </c>
    </row>
    <row r="1266" spans="1:7" x14ac:dyDescent="0.15">
      <c r="A1266" s="218" t="s">
        <v>4436</v>
      </c>
      <c r="B1266" s="218" t="s">
        <v>4437</v>
      </c>
      <c r="C1266" s="218" t="s">
        <v>3534</v>
      </c>
      <c r="D1266" s="218" t="s">
        <v>4438</v>
      </c>
      <c r="E1266" s="218" t="s">
        <v>1839</v>
      </c>
      <c r="F1266" s="218" t="s">
        <v>1840</v>
      </c>
      <c r="G1266" s="218" t="s">
        <v>1841</v>
      </c>
    </row>
    <row r="1267" spans="1:7" x14ac:dyDescent="0.15">
      <c r="A1267" s="218" t="s">
        <v>4439</v>
      </c>
      <c r="B1267" s="218" t="s">
        <v>4440</v>
      </c>
      <c r="C1267" s="218" t="s">
        <v>3534</v>
      </c>
      <c r="D1267" s="218" t="s">
        <v>4441</v>
      </c>
      <c r="E1267" s="218" t="s">
        <v>1935</v>
      </c>
      <c r="F1267" s="218" t="s">
        <v>1840</v>
      </c>
      <c r="G1267" s="218" t="s">
        <v>1841</v>
      </c>
    </row>
    <row r="1268" spans="1:7" x14ac:dyDescent="0.15">
      <c r="A1268" s="218" t="s">
        <v>9830</v>
      </c>
      <c r="B1268" s="218" t="s">
        <v>811</v>
      </c>
      <c r="C1268" s="218" t="s">
        <v>3534</v>
      </c>
      <c r="D1268" s="218" t="s">
        <v>812</v>
      </c>
      <c r="E1268" s="218" t="s">
        <v>1839</v>
      </c>
      <c r="F1268" s="218" t="s">
        <v>1840</v>
      </c>
      <c r="G1268" s="218" t="s">
        <v>1841</v>
      </c>
    </row>
    <row r="1269" spans="1:7" x14ac:dyDescent="0.15">
      <c r="A1269" s="218" t="s">
        <v>9831</v>
      </c>
      <c r="B1269" s="218" t="s">
        <v>809</v>
      </c>
      <c r="C1269" s="218" t="s">
        <v>3534</v>
      </c>
      <c r="D1269" s="218" t="s">
        <v>810</v>
      </c>
      <c r="E1269" s="218" t="s">
        <v>1839</v>
      </c>
      <c r="F1269" s="218" t="s">
        <v>1840</v>
      </c>
      <c r="G1269" s="218" t="s">
        <v>1841</v>
      </c>
    </row>
    <row r="1270" spans="1:7" x14ac:dyDescent="0.15">
      <c r="A1270" s="218" t="s">
        <v>4442</v>
      </c>
      <c r="B1270" s="218" t="s">
        <v>4443</v>
      </c>
      <c r="C1270" s="218" t="s">
        <v>3534</v>
      </c>
      <c r="D1270" s="218" t="s">
        <v>4444</v>
      </c>
      <c r="E1270" s="218" t="s">
        <v>1839</v>
      </c>
      <c r="F1270" s="218" t="s">
        <v>1840</v>
      </c>
      <c r="G1270" s="218" t="s">
        <v>1841</v>
      </c>
    </row>
    <row r="1271" spans="1:7" x14ac:dyDescent="0.15">
      <c r="A1271" s="218" t="s">
        <v>4445</v>
      </c>
      <c r="B1271" s="218" t="s">
        <v>4446</v>
      </c>
      <c r="C1271" s="218" t="s">
        <v>3534</v>
      </c>
      <c r="D1271" s="218" t="s">
        <v>4447</v>
      </c>
      <c r="E1271" s="218" t="s">
        <v>1839</v>
      </c>
      <c r="F1271" s="218" t="s">
        <v>1840</v>
      </c>
      <c r="G1271" s="218" t="s">
        <v>1841</v>
      </c>
    </row>
    <row r="1272" spans="1:7" x14ac:dyDescent="0.15">
      <c r="A1272" s="218" t="s">
        <v>9832</v>
      </c>
      <c r="B1272" s="218" t="s">
        <v>9833</v>
      </c>
      <c r="C1272" s="218" t="s">
        <v>3534</v>
      </c>
      <c r="D1272" s="218" t="s">
        <v>9834</v>
      </c>
      <c r="E1272" s="218" t="s">
        <v>1839</v>
      </c>
      <c r="F1272" s="218" t="s">
        <v>1840</v>
      </c>
      <c r="G1272" s="218" t="s">
        <v>1841</v>
      </c>
    </row>
    <row r="1273" spans="1:7" x14ac:dyDescent="0.15">
      <c r="A1273" s="218" t="s">
        <v>4448</v>
      </c>
      <c r="B1273" s="218" t="s">
        <v>4449</v>
      </c>
      <c r="C1273" s="218" t="s">
        <v>3534</v>
      </c>
      <c r="D1273" s="218" t="s">
        <v>4450</v>
      </c>
      <c r="E1273" s="218" t="s">
        <v>1839</v>
      </c>
      <c r="F1273" s="218" t="s">
        <v>1840</v>
      </c>
      <c r="G1273" s="218" t="s">
        <v>1841</v>
      </c>
    </row>
    <row r="1274" spans="1:7" x14ac:dyDescent="0.15">
      <c r="A1274" s="218" t="s">
        <v>4451</v>
      </c>
      <c r="B1274" s="218" t="s">
        <v>4452</v>
      </c>
      <c r="C1274" s="218" t="s">
        <v>3534</v>
      </c>
      <c r="D1274" s="218" t="s">
        <v>4453</v>
      </c>
      <c r="E1274" s="218" t="s">
        <v>1839</v>
      </c>
      <c r="F1274" s="218" t="s">
        <v>1840</v>
      </c>
      <c r="G1274" s="218" t="s">
        <v>1841</v>
      </c>
    </row>
    <row r="1275" spans="1:7" x14ac:dyDescent="0.15">
      <c r="A1275" s="218" t="s">
        <v>4454</v>
      </c>
      <c r="B1275" s="218" t="s">
        <v>4455</v>
      </c>
      <c r="C1275" s="218" t="s">
        <v>3534</v>
      </c>
      <c r="D1275" s="218" t="s">
        <v>4456</v>
      </c>
      <c r="E1275" s="218" t="s">
        <v>1839</v>
      </c>
      <c r="F1275" s="218" t="s">
        <v>1840</v>
      </c>
      <c r="G1275" s="218" t="s">
        <v>1841</v>
      </c>
    </row>
    <row r="1276" spans="1:7" x14ac:dyDescent="0.15">
      <c r="A1276" s="218" t="s">
        <v>9835</v>
      </c>
      <c r="B1276" s="218" t="s">
        <v>1555</v>
      </c>
      <c r="C1276" s="218" t="s">
        <v>3534</v>
      </c>
      <c r="D1276" s="218" t="s">
        <v>1556</v>
      </c>
      <c r="E1276" s="218" t="s">
        <v>1839</v>
      </c>
      <c r="F1276" s="218" t="s">
        <v>1840</v>
      </c>
      <c r="G1276" s="218" t="s">
        <v>1841</v>
      </c>
    </row>
    <row r="1277" spans="1:7" x14ac:dyDescent="0.15">
      <c r="A1277" s="218" t="s">
        <v>9836</v>
      </c>
      <c r="B1277" s="218" t="s">
        <v>9837</v>
      </c>
      <c r="C1277" s="218" t="s">
        <v>3534</v>
      </c>
      <c r="D1277" s="218" t="s">
        <v>9838</v>
      </c>
      <c r="E1277" s="218" t="s">
        <v>1839</v>
      </c>
      <c r="F1277" s="218" t="s">
        <v>1840</v>
      </c>
      <c r="G1277" s="218" t="s">
        <v>1841</v>
      </c>
    </row>
    <row r="1278" spans="1:7" x14ac:dyDescent="0.15">
      <c r="A1278" s="218" t="s">
        <v>9839</v>
      </c>
      <c r="B1278" s="218" t="s">
        <v>9840</v>
      </c>
      <c r="C1278" s="218" t="s">
        <v>3534</v>
      </c>
      <c r="D1278" s="218" t="s">
        <v>9841</v>
      </c>
      <c r="E1278" s="218" t="s">
        <v>1839</v>
      </c>
      <c r="F1278" s="218" t="s">
        <v>1840</v>
      </c>
      <c r="G1278" s="218" t="s">
        <v>1841</v>
      </c>
    </row>
    <row r="1279" spans="1:7" x14ac:dyDescent="0.15">
      <c r="A1279" s="218" t="s">
        <v>4457</v>
      </c>
      <c r="B1279" s="218" t="s">
        <v>4458</v>
      </c>
      <c r="C1279" s="218" t="s">
        <v>3534</v>
      </c>
      <c r="D1279" s="218" t="s">
        <v>4459</v>
      </c>
      <c r="E1279" s="218" t="s">
        <v>1839</v>
      </c>
      <c r="F1279" s="218" t="s">
        <v>1840</v>
      </c>
      <c r="G1279" s="218" t="s">
        <v>1841</v>
      </c>
    </row>
    <row r="1280" spans="1:7" x14ac:dyDescent="0.15">
      <c r="A1280" s="218" t="s">
        <v>9842</v>
      </c>
      <c r="B1280" s="218" t="s">
        <v>9843</v>
      </c>
      <c r="C1280" s="218" t="s">
        <v>3534</v>
      </c>
      <c r="D1280" s="218" t="s">
        <v>9844</v>
      </c>
      <c r="E1280" s="218" t="s">
        <v>1839</v>
      </c>
      <c r="F1280" s="218" t="s">
        <v>1840</v>
      </c>
      <c r="G1280" s="218" t="s">
        <v>1841</v>
      </c>
    </row>
    <row r="1281" spans="1:7" x14ac:dyDescent="0.15">
      <c r="A1281" s="218" t="s">
        <v>9845</v>
      </c>
      <c r="B1281" s="218" t="s">
        <v>9846</v>
      </c>
      <c r="C1281" s="218" t="s">
        <v>3534</v>
      </c>
      <c r="D1281" s="218" t="s">
        <v>776</v>
      </c>
      <c r="E1281" s="218" t="s">
        <v>1839</v>
      </c>
      <c r="F1281" s="218" t="s">
        <v>1840</v>
      </c>
      <c r="G1281" s="218" t="s">
        <v>1841</v>
      </c>
    </row>
    <row r="1282" spans="1:7" x14ac:dyDescent="0.15">
      <c r="A1282" s="218" t="s">
        <v>4460</v>
      </c>
      <c r="B1282" s="218" t="s">
        <v>4461</v>
      </c>
      <c r="C1282" s="218" t="s">
        <v>3534</v>
      </c>
      <c r="D1282" s="218" t="s">
        <v>4462</v>
      </c>
      <c r="E1282" s="218" t="s">
        <v>1839</v>
      </c>
      <c r="F1282" s="218" t="s">
        <v>1840</v>
      </c>
      <c r="G1282" s="218" t="s">
        <v>1841</v>
      </c>
    </row>
    <row r="1283" spans="1:7" x14ac:dyDescent="0.15">
      <c r="A1283" s="218" t="s">
        <v>9847</v>
      </c>
      <c r="B1283" s="218" t="s">
        <v>1461</v>
      </c>
      <c r="C1283" s="218" t="s">
        <v>3534</v>
      </c>
      <c r="D1283" s="218" t="s">
        <v>1462</v>
      </c>
      <c r="E1283" s="218" t="s">
        <v>1839</v>
      </c>
      <c r="F1283" s="218" t="s">
        <v>1840</v>
      </c>
      <c r="G1283" s="218" t="s">
        <v>1841</v>
      </c>
    </row>
    <row r="1284" spans="1:7" x14ac:dyDescent="0.15">
      <c r="A1284" s="218" t="s">
        <v>9848</v>
      </c>
      <c r="B1284" s="218" t="s">
        <v>1777</v>
      </c>
      <c r="C1284" s="218" t="s">
        <v>3534</v>
      </c>
      <c r="D1284" s="218" t="s">
        <v>1778</v>
      </c>
      <c r="E1284" s="218" t="s">
        <v>1839</v>
      </c>
      <c r="F1284" s="218" t="s">
        <v>1840</v>
      </c>
      <c r="G1284" s="218" t="s">
        <v>1841</v>
      </c>
    </row>
    <row r="1285" spans="1:7" x14ac:dyDescent="0.15">
      <c r="A1285" s="218" t="s">
        <v>4463</v>
      </c>
      <c r="B1285" s="218" t="s">
        <v>4464</v>
      </c>
      <c r="C1285" s="218" t="s">
        <v>3534</v>
      </c>
      <c r="D1285" s="218" t="s">
        <v>4465</v>
      </c>
      <c r="E1285" s="218" t="s">
        <v>1839</v>
      </c>
      <c r="F1285" s="218" t="s">
        <v>1840</v>
      </c>
      <c r="G1285" s="218" t="s">
        <v>1841</v>
      </c>
    </row>
    <row r="1286" spans="1:7" x14ac:dyDescent="0.15">
      <c r="A1286" s="218" t="s">
        <v>4466</v>
      </c>
      <c r="B1286" s="218" t="s">
        <v>4467</v>
      </c>
      <c r="C1286" s="218" t="s">
        <v>3534</v>
      </c>
      <c r="D1286" s="218" t="s">
        <v>4468</v>
      </c>
      <c r="E1286" s="218" t="s">
        <v>1839</v>
      </c>
      <c r="F1286" s="218" t="s">
        <v>1840</v>
      </c>
      <c r="G1286" s="218" t="s">
        <v>1841</v>
      </c>
    </row>
    <row r="1287" spans="1:7" x14ac:dyDescent="0.15">
      <c r="A1287" s="218" t="s">
        <v>4469</v>
      </c>
      <c r="B1287" s="218" t="s">
        <v>4470</v>
      </c>
      <c r="C1287" s="218" t="s">
        <v>3534</v>
      </c>
      <c r="D1287" s="218" t="s">
        <v>4471</v>
      </c>
      <c r="E1287" s="218" t="s">
        <v>1839</v>
      </c>
      <c r="F1287" s="218" t="s">
        <v>1840</v>
      </c>
      <c r="G1287" s="218" t="s">
        <v>1841</v>
      </c>
    </row>
    <row r="1288" spans="1:7" x14ac:dyDescent="0.15">
      <c r="A1288" s="218" t="s">
        <v>4472</v>
      </c>
      <c r="B1288" s="218" t="s">
        <v>4473</v>
      </c>
      <c r="C1288" s="218" t="s">
        <v>3534</v>
      </c>
      <c r="D1288" s="218" t="s">
        <v>4474</v>
      </c>
      <c r="E1288" s="218" t="s">
        <v>1839</v>
      </c>
      <c r="F1288" s="218" t="s">
        <v>1840</v>
      </c>
      <c r="G1288" s="218" t="s">
        <v>1841</v>
      </c>
    </row>
    <row r="1289" spans="1:7" x14ac:dyDescent="0.15">
      <c r="A1289" s="218" t="s">
        <v>9849</v>
      </c>
      <c r="B1289" s="218" t="s">
        <v>1504</v>
      </c>
      <c r="C1289" s="218" t="s">
        <v>3534</v>
      </c>
      <c r="D1289" s="218" t="s">
        <v>1505</v>
      </c>
      <c r="E1289" s="218" t="s">
        <v>1839</v>
      </c>
      <c r="F1289" s="218" t="s">
        <v>1840</v>
      </c>
      <c r="G1289" s="218" t="s">
        <v>1841</v>
      </c>
    </row>
    <row r="1290" spans="1:7" x14ac:dyDescent="0.15">
      <c r="A1290" s="218" t="s">
        <v>4475</v>
      </c>
      <c r="B1290" s="218" t="s">
        <v>4476</v>
      </c>
      <c r="C1290" s="218" t="s">
        <v>3534</v>
      </c>
      <c r="D1290" s="218" t="s">
        <v>4477</v>
      </c>
      <c r="E1290" s="218" t="s">
        <v>1839</v>
      </c>
      <c r="F1290" s="218" t="s">
        <v>1840</v>
      </c>
      <c r="G1290" s="218" t="s">
        <v>1841</v>
      </c>
    </row>
    <row r="1291" spans="1:7" x14ac:dyDescent="0.15">
      <c r="A1291" s="218" t="s">
        <v>9850</v>
      </c>
      <c r="B1291" s="218" t="s">
        <v>9851</v>
      </c>
      <c r="C1291" s="218" t="s">
        <v>3534</v>
      </c>
      <c r="D1291" s="218" t="s">
        <v>9852</v>
      </c>
      <c r="E1291" s="218" t="s">
        <v>1839</v>
      </c>
      <c r="F1291" s="218" t="s">
        <v>1840</v>
      </c>
      <c r="G1291" s="218" t="s">
        <v>1841</v>
      </c>
    </row>
    <row r="1292" spans="1:7" x14ac:dyDescent="0.15">
      <c r="A1292" s="218" t="s">
        <v>9853</v>
      </c>
      <c r="B1292" s="218" t="s">
        <v>9854</v>
      </c>
      <c r="C1292" s="218" t="s">
        <v>3534</v>
      </c>
      <c r="D1292" s="218" t="s">
        <v>9855</v>
      </c>
      <c r="E1292" s="218" t="s">
        <v>1935</v>
      </c>
      <c r="F1292" s="218" t="s">
        <v>1840</v>
      </c>
      <c r="G1292" s="218" t="s">
        <v>1841</v>
      </c>
    </row>
    <row r="1293" spans="1:7" x14ac:dyDescent="0.15">
      <c r="A1293" s="218" t="s">
        <v>4478</v>
      </c>
      <c r="B1293" s="218" t="s">
        <v>4479</v>
      </c>
      <c r="C1293" s="218" t="s">
        <v>3534</v>
      </c>
      <c r="D1293" s="218" t="s">
        <v>4480</v>
      </c>
      <c r="E1293" s="218" t="s">
        <v>1839</v>
      </c>
      <c r="F1293" s="218" t="s">
        <v>1840</v>
      </c>
      <c r="G1293" s="218" t="s">
        <v>1841</v>
      </c>
    </row>
    <row r="1294" spans="1:7" x14ac:dyDescent="0.15">
      <c r="A1294" s="218" t="s">
        <v>9856</v>
      </c>
      <c r="B1294" s="218" t="s">
        <v>9857</v>
      </c>
      <c r="C1294" s="218" t="s">
        <v>3534</v>
      </c>
      <c r="D1294" s="218" t="s">
        <v>9858</v>
      </c>
      <c r="E1294" s="218" t="s">
        <v>1839</v>
      </c>
      <c r="F1294" s="218" t="s">
        <v>1840</v>
      </c>
      <c r="G1294" s="218" t="s">
        <v>1841</v>
      </c>
    </row>
    <row r="1295" spans="1:7" x14ac:dyDescent="0.15">
      <c r="A1295" s="218" t="s">
        <v>9859</v>
      </c>
      <c r="B1295" s="218" t="s">
        <v>9860</v>
      </c>
      <c r="C1295" s="218" t="s">
        <v>3534</v>
      </c>
      <c r="D1295" s="218" t="s">
        <v>9861</v>
      </c>
      <c r="E1295" s="218" t="s">
        <v>1839</v>
      </c>
      <c r="F1295" s="218" t="s">
        <v>1840</v>
      </c>
      <c r="G1295" s="218" t="s">
        <v>1841</v>
      </c>
    </row>
    <row r="1296" spans="1:7" x14ac:dyDescent="0.15">
      <c r="A1296" s="218" t="s">
        <v>9862</v>
      </c>
      <c r="B1296" s="218" t="s">
        <v>661</v>
      </c>
      <c r="C1296" s="218" t="s">
        <v>3534</v>
      </c>
      <c r="D1296" s="218" t="s">
        <v>662</v>
      </c>
      <c r="E1296" s="218" t="s">
        <v>1839</v>
      </c>
      <c r="F1296" s="218" t="s">
        <v>1840</v>
      </c>
      <c r="G1296" s="218" t="s">
        <v>1841</v>
      </c>
    </row>
    <row r="1297" spans="1:7" x14ac:dyDescent="0.15">
      <c r="A1297" s="218" t="s">
        <v>4481</v>
      </c>
      <c r="B1297" s="218" t="s">
        <v>4482</v>
      </c>
      <c r="C1297" s="218" t="s">
        <v>3534</v>
      </c>
      <c r="D1297" s="218" t="s">
        <v>4483</v>
      </c>
      <c r="E1297" s="218" t="s">
        <v>1935</v>
      </c>
      <c r="F1297" s="218" t="s">
        <v>1840</v>
      </c>
      <c r="G1297" s="218" t="s">
        <v>1841</v>
      </c>
    </row>
    <row r="1298" spans="1:7" x14ac:dyDescent="0.15">
      <c r="A1298" s="218" t="s">
        <v>9863</v>
      </c>
      <c r="B1298" s="218" t="s">
        <v>1042</v>
      </c>
      <c r="C1298" s="218" t="s">
        <v>3534</v>
      </c>
      <c r="D1298" s="218" t="s">
        <v>1043</v>
      </c>
      <c r="E1298" s="218" t="s">
        <v>1839</v>
      </c>
      <c r="F1298" s="218" t="s">
        <v>1840</v>
      </c>
      <c r="G1298" s="218" t="s">
        <v>1841</v>
      </c>
    </row>
    <row r="1299" spans="1:7" x14ac:dyDescent="0.15">
      <c r="A1299" s="218" t="s">
        <v>9864</v>
      </c>
      <c r="B1299" s="218" t="s">
        <v>710</v>
      </c>
      <c r="C1299" s="218" t="s">
        <v>3534</v>
      </c>
      <c r="D1299" s="218" t="s">
        <v>711</v>
      </c>
      <c r="E1299" s="218" t="s">
        <v>1839</v>
      </c>
      <c r="F1299" s="218" t="s">
        <v>1840</v>
      </c>
      <c r="G1299" s="218" t="s">
        <v>1841</v>
      </c>
    </row>
    <row r="1300" spans="1:7" x14ac:dyDescent="0.15">
      <c r="A1300" s="218" t="s">
        <v>9865</v>
      </c>
      <c r="B1300" s="218" t="s">
        <v>1191</v>
      </c>
      <c r="C1300" s="218" t="s">
        <v>3534</v>
      </c>
      <c r="D1300" s="218" t="s">
        <v>1192</v>
      </c>
      <c r="E1300" s="218" t="s">
        <v>1839</v>
      </c>
      <c r="F1300" s="218" t="s">
        <v>1840</v>
      </c>
      <c r="G1300" s="218" t="s">
        <v>1841</v>
      </c>
    </row>
    <row r="1301" spans="1:7" x14ac:dyDescent="0.15">
      <c r="A1301" s="218" t="s">
        <v>9866</v>
      </c>
      <c r="B1301" s="218" t="s">
        <v>1738</v>
      </c>
      <c r="C1301" s="218" t="s">
        <v>3534</v>
      </c>
      <c r="D1301" s="218" t="s">
        <v>1739</v>
      </c>
      <c r="E1301" s="218" t="s">
        <v>1839</v>
      </c>
      <c r="F1301" s="218" t="s">
        <v>1840</v>
      </c>
      <c r="G1301" s="218" t="s">
        <v>1841</v>
      </c>
    </row>
    <row r="1302" spans="1:7" x14ac:dyDescent="0.15">
      <c r="A1302" s="218" t="s">
        <v>4484</v>
      </c>
      <c r="B1302" s="218" t="s">
        <v>4485</v>
      </c>
      <c r="C1302" s="218" t="s">
        <v>3534</v>
      </c>
      <c r="D1302" s="218" t="s">
        <v>4486</v>
      </c>
      <c r="E1302" s="218" t="s">
        <v>1839</v>
      </c>
      <c r="F1302" s="218" t="s">
        <v>1840</v>
      </c>
      <c r="G1302" s="218" t="s">
        <v>1841</v>
      </c>
    </row>
    <row r="1303" spans="1:7" x14ac:dyDescent="0.15">
      <c r="A1303" s="218" t="s">
        <v>9867</v>
      </c>
      <c r="B1303" s="218" t="s">
        <v>9868</v>
      </c>
      <c r="C1303" s="218" t="s">
        <v>3534</v>
      </c>
      <c r="D1303" s="218" t="s">
        <v>9869</v>
      </c>
      <c r="E1303" s="218" t="s">
        <v>1839</v>
      </c>
      <c r="F1303" s="218" t="s">
        <v>1840</v>
      </c>
      <c r="G1303" s="218" t="s">
        <v>1841</v>
      </c>
    </row>
    <row r="1304" spans="1:7" x14ac:dyDescent="0.15">
      <c r="A1304" s="218" t="s">
        <v>9870</v>
      </c>
      <c r="B1304" s="218" t="s">
        <v>1492</v>
      </c>
      <c r="C1304" s="218" t="s">
        <v>3534</v>
      </c>
      <c r="D1304" s="218" t="s">
        <v>1493</v>
      </c>
      <c r="E1304" s="218" t="s">
        <v>1839</v>
      </c>
      <c r="F1304" s="218" t="s">
        <v>1840</v>
      </c>
      <c r="G1304" s="218" t="s">
        <v>1841</v>
      </c>
    </row>
    <row r="1305" spans="1:7" x14ac:dyDescent="0.15">
      <c r="A1305" s="218" t="s">
        <v>4487</v>
      </c>
      <c r="B1305" s="218" t="s">
        <v>4488</v>
      </c>
      <c r="C1305" s="218" t="s">
        <v>3534</v>
      </c>
      <c r="D1305" s="218" t="s">
        <v>4489</v>
      </c>
      <c r="E1305" s="218" t="s">
        <v>1839</v>
      </c>
      <c r="F1305" s="218" t="s">
        <v>1840</v>
      </c>
      <c r="G1305" s="218" t="s">
        <v>1841</v>
      </c>
    </row>
    <row r="1306" spans="1:7" x14ac:dyDescent="0.15">
      <c r="A1306" s="218" t="s">
        <v>9871</v>
      </c>
      <c r="B1306" s="218" t="s">
        <v>9872</v>
      </c>
      <c r="C1306" s="218" t="s">
        <v>3534</v>
      </c>
      <c r="D1306" s="218" t="s">
        <v>9873</v>
      </c>
      <c r="E1306" s="218" t="s">
        <v>1839</v>
      </c>
      <c r="F1306" s="218" t="s">
        <v>1840</v>
      </c>
      <c r="G1306" s="218" t="s">
        <v>1841</v>
      </c>
    </row>
    <row r="1307" spans="1:7" x14ac:dyDescent="0.15">
      <c r="A1307" s="218" t="s">
        <v>9874</v>
      </c>
      <c r="B1307" s="218" t="s">
        <v>9875</v>
      </c>
      <c r="C1307" s="218" t="s">
        <v>3534</v>
      </c>
      <c r="D1307" s="218" t="s">
        <v>9873</v>
      </c>
      <c r="E1307" s="218" t="s">
        <v>1839</v>
      </c>
      <c r="F1307" s="218" t="s">
        <v>1840</v>
      </c>
      <c r="G1307" s="218" t="s">
        <v>1841</v>
      </c>
    </row>
    <row r="1308" spans="1:7" x14ac:dyDescent="0.15">
      <c r="A1308" s="218" t="s">
        <v>9876</v>
      </c>
      <c r="B1308" s="218" t="s">
        <v>4493</v>
      </c>
      <c r="C1308" s="218" t="s">
        <v>3534</v>
      </c>
      <c r="D1308" s="218" t="s">
        <v>4494</v>
      </c>
      <c r="E1308" s="218" t="s">
        <v>1839</v>
      </c>
      <c r="F1308" s="218" t="s">
        <v>1840</v>
      </c>
      <c r="G1308" s="218" t="s">
        <v>1841</v>
      </c>
    </row>
    <row r="1309" spans="1:7" x14ac:dyDescent="0.15">
      <c r="A1309" s="218" t="s">
        <v>9877</v>
      </c>
      <c r="B1309" s="218" t="s">
        <v>1742</v>
      </c>
      <c r="C1309" s="218" t="s">
        <v>3534</v>
      </c>
      <c r="D1309" s="218" t="s">
        <v>743</v>
      </c>
      <c r="E1309" s="218" t="s">
        <v>1839</v>
      </c>
      <c r="F1309" s="218" t="s">
        <v>1840</v>
      </c>
      <c r="G1309" s="218" t="s">
        <v>1841</v>
      </c>
    </row>
    <row r="1310" spans="1:7" x14ac:dyDescent="0.15">
      <c r="A1310" s="218" t="s">
        <v>9878</v>
      </c>
      <c r="B1310" s="218" t="s">
        <v>9879</v>
      </c>
      <c r="C1310" s="218" t="s">
        <v>3534</v>
      </c>
      <c r="D1310" s="218" t="s">
        <v>1499</v>
      </c>
      <c r="E1310" s="218" t="s">
        <v>1839</v>
      </c>
      <c r="F1310" s="218" t="s">
        <v>1840</v>
      </c>
      <c r="G1310" s="218" t="s">
        <v>1841</v>
      </c>
    </row>
    <row r="1311" spans="1:7" x14ac:dyDescent="0.15">
      <c r="A1311" s="218" t="s">
        <v>9880</v>
      </c>
      <c r="B1311" s="218" t="s">
        <v>1498</v>
      </c>
      <c r="C1311" s="218" t="s">
        <v>3534</v>
      </c>
      <c r="D1311" s="218" t="s">
        <v>1499</v>
      </c>
      <c r="E1311" s="218" t="s">
        <v>1839</v>
      </c>
      <c r="F1311" s="218" t="s">
        <v>1840</v>
      </c>
      <c r="G1311" s="218" t="s">
        <v>1841</v>
      </c>
    </row>
    <row r="1312" spans="1:7" x14ac:dyDescent="0.15">
      <c r="A1312" s="218" t="s">
        <v>4495</v>
      </c>
      <c r="B1312" s="218" t="s">
        <v>4496</v>
      </c>
      <c r="C1312" s="218" t="s">
        <v>3534</v>
      </c>
      <c r="D1312" s="218" t="s">
        <v>4497</v>
      </c>
      <c r="E1312" s="218" t="s">
        <v>1839</v>
      </c>
      <c r="F1312" s="218" t="s">
        <v>1840</v>
      </c>
      <c r="G1312" s="218" t="s">
        <v>1841</v>
      </c>
    </row>
    <row r="1313" spans="1:7" x14ac:dyDescent="0.15">
      <c r="A1313" s="218" t="s">
        <v>4498</v>
      </c>
      <c r="B1313" s="218" t="s">
        <v>4499</v>
      </c>
      <c r="C1313" s="218" t="s">
        <v>3534</v>
      </c>
      <c r="D1313" s="218" t="s">
        <v>4500</v>
      </c>
      <c r="E1313" s="218" t="s">
        <v>1839</v>
      </c>
      <c r="F1313" s="218" t="s">
        <v>1840</v>
      </c>
      <c r="G1313" s="218" t="s">
        <v>1841</v>
      </c>
    </row>
    <row r="1314" spans="1:7" x14ac:dyDescent="0.15">
      <c r="A1314" s="218" t="s">
        <v>4501</v>
      </c>
      <c r="B1314" s="218" t="s">
        <v>4502</v>
      </c>
      <c r="C1314" s="218" t="s">
        <v>3534</v>
      </c>
      <c r="D1314" s="218" t="s">
        <v>4503</v>
      </c>
      <c r="E1314" s="218" t="s">
        <v>1839</v>
      </c>
      <c r="F1314" s="218" t="s">
        <v>1840</v>
      </c>
      <c r="G1314" s="218" t="s">
        <v>1841</v>
      </c>
    </row>
    <row r="1315" spans="1:7" x14ac:dyDescent="0.15">
      <c r="A1315" s="218" t="s">
        <v>4504</v>
      </c>
      <c r="B1315" s="218" t="s">
        <v>4505</v>
      </c>
      <c r="C1315" s="218" t="s">
        <v>3534</v>
      </c>
      <c r="D1315" s="218" t="s">
        <v>1741</v>
      </c>
      <c r="E1315" s="218" t="s">
        <v>1839</v>
      </c>
      <c r="F1315" s="218" t="s">
        <v>1840</v>
      </c>
      <c r="G1315" s="218" t="s">
        <v>1841</v>
      </c>
    </row>
    <row r="1316" spans="1:7" x14ac:dyDescent="0.15">
      <c r="A1316" s="218" t="s">
        <v>9881</v>
      </c>
      <c r="B1316" s="218" t="s">
        <v>1740</v>
      </c>
      <c r="C1316" s="218" t="s">
        <v>3534</v>
      </c>
      <c r="D1316" s="218" t="s">
        <v>1741</v>
      </c>
      <c r="E1316" s="218" t="s">
        <v>1839</v>
      </c>
      <c r="F1316" s="218" t="s">
        <v>1840</v>
      </c>
      <c r="G1316" s="218" t="s">
        <v>1841</v>
      </c>
    </row>
    <row r="1317" spans="1:7" x14ac:dyDescent="0.15">
      <c r="A1317" s="218" t="s">
        <v>4506</v>
      </c>
      <c r="B1317" s="218" t="s">
        <v>4507</v>
      </c>
      <c r="C1317" s="218" t="s">
        <v>3534</v>
      </c>
      <c r="D1317" s="218" t="s">
        <v>4508</v>
      </c>
      <c r="E1317" s="218" t="s">
        <v>1839</v>
      </c>
      <c r="F1317" s="218" t="s">
        <v>1840</v>
      </c>
      <c r="G1317" s="218" t="s">
        <v>1841</v>
      </c>
    </row>
    <row r="1318" spans="1:7" x14ac:dyDescent="0.15">
      <c r="A1318" s="218" t="s">
        <v>9882</v>
      </c>
      <c r="B1318" s="218" t="s">
        <v>9883</v>
      </c>
      <c r="C1318" s="218" t="s">
        <v>3534</v>
      </c>
      <c r="D1318" s="218" t="s">
        <v>4509</v>
      </c>
      <c r="E1318" s="218" t="s">
        <v>1839</v>
      </c>
      <c r="F1318" s="218" t="s">
        <v>1840</v>
      </c>
      <c r="G1318" s="218" t="s">
        <v>1841</v>
      </c>
    </row>
    <row r="1319" spans="1:7" x14ac:dyDescent="0.15">
      <c r="A1319" s="218" t="s">
        <v>9884</v>
      </c>
      <c r="B1319" s="218" t="s">
        <v>973</v>
      </c>
      <c r="C1319" s="218" t="s">
        <v>3534</v>
      </c>
      <c r="D1319" s="218" t="s">
        <v>974</v>
      </c>
      <c r="E1319" s="218" t="s">
        <v>1839</v>
      </c>
      <c r="F1319" s="218" t="s">
        <v>1840</v>
      </c>
      <c r="G1319" s="218" t="s">
        <v>1841</v>
      </c>
    </row>
    <row r="1320" spans="1:7" x14ac:dyDescent="0.15">
      <c r="A1320" s="218" t="s">
        <v>9885</v>
      </c>
      <c r="B1320" s="218" t="s">
        <v>1658</v>
      </c>
      <c r="C1320" s="218" t="s">
        <v>3534</v>
      </c>
      <c r="D1320" s="218" t="s">
        <v>1659</v>
      </c>
      <c r="E1320" s="218" t="s">
        <v>1839</v>
      </c>
      <c r="F1320" s="218" t="s">
        <v>1840</v>
      </c>
      <c r="G1320" s="218" t="s">
        <v>1841</v>
      </c>
    </row>
    <row r="1321" spans="1:7" x14ac:dyDescent="0.15">
      <c r="A1321" s="218" t="s">
        <v>4510</v>
      </c>
      <c r="B1321" s="218" t="s">
        <v>4511</v>
      </c>
      <c r="C1321" s="218" t="s">
        <v>3534</v>
      </c>
      <c r="D1321" s="218" t="s">
        <v>4512</v>
      </c>
      <c r="E1321" s="218" t="s">
        <v>1839</v>
      </c>
      <c r="F1321" s="218" t="s">
        <v>1840</v>
      </c>
      <c r="G1321" s="218" t="s">
        <v>1841</v>
      </c>
    </row>
    <row r="1322" spans="1:7" x14ac:dyDescent="0.15">
      <c r="A1322" s="218" t="s">
        <v>9886</v>
      </c>
      <c r="B1322" s="218" t="s">
        <v>9887</v>
      </c>
      <c r="C1322" s="218" t="s">
        <v>3534</v>
      </c>
      <c r="D1322" s="218" t="s">
        <v>9888</v>
      </c>
      <c r="E1322" s="218" t="s">
        <v>1839</v>
      </c>
      <c r="F1322" s="218" t="s">
        <v>1840</v>
      </c>
      <c r="G1322" s="218" t="s">
        <v>1841</v>
      </c>
    </row>
    <row r="1323" spans="1:7" x14ac:dyDescent="0.15">
      <c r="A1323" s="218" t="s">
        <v>9889</v>
      </c>
      <c r="B1323" s="218" t="s">
        <v>1524</v>
      </c>
      <c r="C1323" s="218" t="s">
        <v>3534</v>
      </c>
      <c r="D1323" s="218" t="s">
        <v>1525</v>
      </c>
      <c r="E1323" s="218" t="s">
        <v>1839</v>
      </c>
      <c r="F1323" s="218" t="s">
        <v>1840</v>
      </c>
      <c r="G1323" s="218" t="s">
        <v>1841</v>
      </c>
    </row>
    <row r="1324" spans="1:7" x14ac:dyDescent="0.15">
      <c r="A1324" s="218" t="s">
        <v>9890</v>
      </c>
      <c r="B1324" s="218" t="s">
        <v>1156</v>
      </c>
      <c r="C1324" s="218" t="s">
        <v>3534</v>
      </c>
      <c r="D1324" s="218" t="s">
        <v>1157</v>
      </c>
      <c r="E1324" s="218" t="s">
        <v>1839</v>
      </c>
      <c r="F1324" s="218" t="s">
        <v>1840</v>
      </c>
      <c r="G1324" s="218" t="s">
        <v>1841</v>
      </c>
    </row>
    <row r="1325" spans="1:7" x14ac:dyDescent="0.15">
      <c r="A1325" s="218" t="s">
        <v>11618</v>
      </c>
      <c r="B1325" s="218" t="s">
        <v>11619</v>
      </c>
      <c r="C1325" s="218" t="s">
        <v>3534</v>
      </c>
      <c r="D1325" s="218" t="s">
        <v>11620</v>
      </c>
      <c r="E1325" s="218" t="s">
        <v>1839</v>
      </c>
      <c r="F1325" s="218" t="s">
        <v>1840</v>
      </c>
      <c r="G1325" s="218" t="s">
        <v>1841</v>
      </c>
    </row>
    <row r="1326" spans="1:7" x14ac:dyDescent="0.15">
      <c r="A1326" s="218" t="s">
        <v>4513</v>
      </c>
      <c r="B1326" s="218" t="s">
        <v>4514</v>
      </c>
      <c r="C1326" s="218" t="s">
        <v>3534</v>
      </c>
      <c r="D1326" s="218" t="s">
        <v>4515</v>
      </c>
      <c r="E1326" s="218" t="s">
        <v>1839</v>
      </c>
      <c r="F1326" s="218" t="s">
        <v>1840</v>
      </c>
      <c r="G1326" s="218" t="s">
        <v>1841</v>
      </c>
    </row>
    <row r="1327" spans="1:7" x14ac:dyDescent="0.15">
      <c r="A1327" s="218" t="s">
        <v>9891</v>
      </c>
      <c r="B1327" s="218" t="s">
        <v>9892</v>
      </c>
      <c r="C1327" s="218" t="s">
        <v>3534</v>
      </c>
      <c r="D1327" s="218" t="s">
        <v>9893</v>
      </c>
      <c r="E1327" s="218" t="s">
        <v>1935</v>
      </c>
      <c r="F1327" s="218" t="s">
        <v>1840</v>
      </c>
      <c r="G1327" s="218" t="s">
        <v>1841</v>
      </c>
    </row>
    <row r="1328" spans="1:7" x14ac:dyDescent="0.15">
      <c r="A1328" s="218" t="s">
        <v>9894</v>
      </c>
      <c r="B1328" s="218" t="s">
        <v>708</v>
      </c>
      <c r="C1328" s="218" t="s">
        <v>3534</v>
      </c>
      <c r="D1328" s="218" t="s">
        <v>709</v>
      </c>
      <c r="E1328" s="218" t="s">
        <v>1839</v>
      </c>
      <c r="F1328" s="218" t="s">
        <v>1840</v>
      </c>
      <c r="G1328" s="218" t="s">
        <v>1841</v>
      </c>
    </row>
    <row r="1329" spans="1:7" x14ac:dyDescent="0.15">
      <c r="A1329" s="218" t="s">
        <v>9895</v>
      </c>
      <c r="B1329" s="218" t="s">
        <v>9896</v>
      </c>
      <c r="C1329" s="218" t="s">
        <v>3534</v>
      </c>
      <c r="D1329" s="218" t="s">
        <v>9897</v>
      </c>
      <c r="E1329" s="218" t="s">
        <v>1839</v>
      </c>
      <c r="F1329" s="218" t="s">
        <v>1840</v>
      </c>
      <c r="G1329" s="218" t="s">
        <v>1841</v>
      </c>
    </row>
    <row r="1330" spans="1:7" x14ac:dyDescent="0.15">
      <c r="A1330" s="218" t="s">
        <v>9898</v>
      </c>
      <c r="B1330" s="218" t="s">
        <v>9899</v>
      </c>
      <c r="C1330" s="218" t="s">
        <v>3534</v>
      </c>
      <c r="D1330" s="218" t="s">
        <v>9900</v>
      </c>
      <c r="E1330" s="218" t="s">
        <v>1839</v>
      </c>
      <c r="F1330" s="218" t="s">
        <v>1840</v>
      </c>
      <c r="G1330" s="218" t="s">
        <v>1841</v>
      </c>
    </row>
    <row r="1331" spans="1:7" x14ac:dyDescent="0.15">
      <c r="A1331" s="218" t="s">
        <v>9901</v>
      </c>
      <c r="B1331" s="218" t="s">
        <v>9902</v>
      </c>
      <c r="C1331" s="218" t="s">
        <v>3534</v>
      </c>
      <c r="D1331" s="218" t="s">
        <v>9903</v>
      </c>
      <c r="E1331" s="218" t="s">
        <v>1839</v>
      </c>
      <c r="F1331" s="218" t="s">
        <v>1840</v>
      </c>
      <c r="G1331" s="218" t="s">
        <v>1841</v>
      </c>
    </row>
    <row r="1332" spans="1:7" x14ac:dyDescent="0.15">
      <c r="A1332" s="218" t="s">
        <v>9904</v>
      </c>
      <c r="B1332" s="218" t="s">
        <v>1578</v>
      </c>
      <c r="C1332" s="218" t="s">
        <v>3534</v>
      </c>
      <c r="D1332" s="218" t="s">
        <v>1579</v>
      </c>
      <c r="E1332" s="218" t="s">
        <v>1839</v>
      </c>
      <c r="F1332" s="218" t="s">
        <v>1840</v>
      </c>
      <c r="G1332" s="218" t="s">
        <v>1841</v>
      </c>
    </row>
    <row r="1333" spans="1:7" x14ac:dyDescent="0.15">
      <c r="A1333" s="218" t="s">
        <v>9905</v>
      </c>
      <c r="B1333" s="218" t="s">
        <v>9906</v>
      </c>
      <c r="C1333" s="218" t="s">
        <v>3534</v>
      </c>
      <c r="D1333" s="218" t="s">
        <v>1252</v>
      </c>
      <c r="E1333" s="218" t="s">
        <v>1839</v>
      </c>
      <c r="F1333" s="218" t="s">
        <v>1840</v>
      </c>
      <c r="G1333" s="218" t="s">
        <v>1841</v>
      </c>
    </row>
    <row r="1334" spans="1:7" x14ac:dyDescent="0.15">
      <c r="A1334" s="218" t="s">
        <v>4516</v>
      </c>
      <c r="B1334" s="218" t="s">
        <v>4517</v>
      </c>
      <c r="C1334" s="218" t="s">
        <v>3534</v>
      </c>
      <c r="D1334" s="218" t="s">
        <v>4518</v>
      </c>
      <c r="E1334" s="218" t="s">
        <v>1839</v>
      </c>
      <c r="F1334" s="218" t="s">
        <v>1840</v>
      </c>
      <c r="G1334" s="218" t="s">
        <v>1841</v>
      </c>
    </row>
    <row r="1335" spans="1:7" x14ac:dyDescent="0.15">
      <c r="A1335" s="218" t="s">
        <v>4519</v>
      </c>
      <c r="B1335" s="218" t="s">
        <v>4520</v>
      </c>
      <c r="C1335" s="218" t="s">
        <v>3534</v>
      </c>
      <c r="D1335" s="218" t="s">
        <v>4521</v>
      </c>
      <c r="E1335" s="218" t="s">
        <v>1839</v>
      </c>
      <c r="F1335" s="218" t="s">
        <v>1840</v>
      </c>
      <c r="G1335" s="218" t="s">
        <v>1841</v>
      </c>
    </row>
    <row r="1336" spans="1:7" x14ac:dyDescent="0.15">
      <c r="A1336" s="218" t="s">
        <v>9907</v>
      </c>
      <c r="B1336" s="218" t="s">
        <v>1760</v>
      </c>
      <c r="C1336" s="218" t="s">
        <v>3534</v>
      </c>
      <c r="D1336" s="218" t="s">
        <v>1761</v>
      </c>
      <c r="E1336" s="218" t="s">
        <v>1839</v>
      </c>
      <c r="F1336" s="218" t="s">
        <v>1840</v>
      </c>
      <c r="G1336" s="218" t="s">
        <v>1841</v>
      </c>
    </row>
    <row r="1337" spans="1:7" x14ac:dyDescent="0.15">
      <c r="A1337" s="218" t="s">
        <v>4522</v>
      </c>
      <c r="B1337" s="218" t="s">
        <v>4523</v>
      </c>
      <c r="C1337" s="218" t="s">
        <v>3534</v>
      </c>
      <c r="D1337" s="218" t="s">
        <v>4524</v>
      </c>
      <c r="E1337" s="218" t="s">
        <v>1839</v>
      </c>
      <c r="F1337" s="218" t="s">
        <v>1840</v>
      </c>
      <c r="G1337" s="218" t="s">
        <v>1841</v>
      </c>
    </row>
    <row r="1338" spans="1:7" x14ac:dyDescent="0.15">
      <c r="A1338" s="218" t="s">
        <v>4525</v>
      </c>
      <c r="B1338" s="218" t="s">
        <v>4526</v>
      </c>
      <c r="C1338" s="218" t="s">
        <v>3534</v>
      </c>
      <c r="D1338" s="218" t="s">
        <v>4527</v>
      </c>
      <c r="E1338" s="218" t="s">
        <v>1839</v>
      </c>
      <c r="F1338" s="218" t="s">
        <v>1840</v>
      </c>
      <c r="G1338" s="218" t="s">
        <v>1841</v>
      </c>
    </row>
    <row r="1339" spans="1:7" x14ac:dyDescent="0.15">
      <c r="A1339" s="218" t="s">
        <v>4528</v>
      </c>
      <c r="B1339" s="218" t="s">
        <v>4529</v>
      </c>
      <c r="C1339" s="218" t="s">
        <v>3534</v>
      </c>
      <c r="D1339" s="218" t="s">
        <v>4530</v>
      </c>
      <c r="E1339" s="218" t="s">
        <v>1839</v>
      </c>
      <c r="F1339" s="218" t="s">
        <v>1840</v>
      </c>
      <c r="G1339" s="218" t="s">
        <v>1841</v>
      </c>
    </row>
    <row r="1340" spans="1:7" x14ac:dyDescent="0.15">
      <c r="A1340" s="218" t="s">
        <v>4531</v>
      </c>
      <c r="B1340" s="218" t="s">
        <v>4532</v>
      </c>
      <c r="C1340" s="218" t="s">
        <v>3534</v>
      </c>
      <c r="D1340" s="218" t="s">
        <v>4533</v>
      </c>
      <c r="E1340" s="218" t="s">
        <v>1839</v>
      </c>
      <c r="F1340" s="218" t="s">
        <v>1840</v>
      </c>
      <c r="G1340" s="218" t="s">
        <v>1841</v>
      </c>
    </row>
    <row r="1341" spans="1:7" x14ac:dyDescent="0.15">
      <c r="A1341" s="218" t="s">
        <v>9908</v>
      </c>
      <c r="B1341" s="218" t="s">
        <v>9909</v>
      </c>
      <c r="C1341" s="218" t="s">
        <v>3534</v>
      </c>
      <c r="D1341" s="218" t="s">
        <v>9910</v>
      </c>
      <c r="E1341" s="218" t="s">
        <v>1839</v>
      </c>
      <c r="F1341" s="218" t="s">
        <v>1840</v>
      </c>
      <c r="G1341" s="218" t="s">
        <v>1841</v>
      </c>
    </row>
    <row r="1342" spans="1:7" x14ac:dyDescent="0.15">
      <c r="A1342" s="218" t="s">
        <v>4540</v>
      </c>
      <c r="B1342" s="218" t="s">
        <v>4541</v>
      </c>
      <c r="C1342" s="218" t="s">
        <v>3534</v>
      </c>
      <c r="D1342" s="218" t="s">
        <v>4542</v>
      </c>
      <c r="E1342" s="218" t="s">
        <v>1839</v>
      </c>
      <c r="F1342" s="218" t="s">
        <v>1840</v>
      </c>
      <c r="G1342" s="218" t="s">
        <v>1841</v>
      </c>
    </row>
    <row r="1343" spans="1:7" x14ac:dyDescent="0.15">
      <c r="A1343" s="218" t="s">
        <v>4543</v>
      </c>
      <c r="B1343" s="218" t="s">
        <v>4544</v>
      </c>
      <c r="C1343" s="218" t="s">
        <v>3534</v>
      </c>
      <c r="D1343" s="218" t="s">
        <v>4545</v>
      </c>
      <c r="E1343" s="218" t="s">
        <v>1839</v>
      </c>
      <c r="F1343" s="218" t="s">
        <v>1840</v>
      </c>
      <c r="G1343" s="218" t="s">
        <v>1841</v>
      </c>
    </row>
    <row r="1344" spans="1:7" x14ac:dyDescent="0.15">
      <c r="A1344" s="218" t="s">
        <v>4546</v>
      </c>
      <c r="B1344" s="218" t="s">
        <v>4547</v>
      </c>
      <c r="C1344" s="218" t="s">
        <v>3534</v>
      </c>
      <c r="D1344" s="218" t="s">
        <v>4548</v>
      </c>
      <c r="E1344" s="218" t="s">
        <v>1839</v>
      </c>
      <c r="F1344" s="218" t="s">
        <v>1840</v>
      </c>
      <c r="G1344" s="218" t="s">
        <v>1841</v>
      </c>
    </row>
    <row r="1345" spans="1:7" x14ac:dyDescent="0.15">
      <c r="A1345" s="218" t="s">
        <v>4549</v>
      </c>
      <c r="B1345" s="218" t="s">
        <v>4550</v>
      </c>
      <c r="C1345" s="218" t="s">
        <v>3534</v>
      </c>
      <c r="D1345" s="218" t="s">
        <v>4551</v>
      </c>
      <c r="E1345" s="218" t="s">
        <v>1839</v>
      </c>
      <c r="F1345" s="218" t="s">
        <v>1840</v>
      </c>
      <c r="G1345" s="218" t="s">
        <v>1841</v>
      </c>
    </row>
    <row r="1346" spans="1:7" x14ac:dyDescent="0.15">
      <c r="A1346" s="218" t="s">
        <v>9911</v>
      </c>
      <c r="B1346" s="218" t="s">
        <v>9912</v>
      </c>
      <c r="C1346" s="218" t="s">
        <v>3534</v>
      </c>
      <c r="D1346" s="218" t="s">
        <v>9913</v>
      </c>
      <c r="E1346" s="218" t="s">
        <v>1839</v>
      </c>
      <c r="F1346" s="218" t="s">
        <v>1840</v>
      </c>
      <c r="G1346" s="218" t="s">
        <v>1841</v>
      </c>
    </row>
    <row r="1347" spans="1:7" x14ac:dyDescent="0.15">
      <c r="A1347" s="218" t="s">
        <v>4552</v>
      </c>
      <c r="B1347" s="218" t="s">
        <v>4553</v>
      </c>
      <c r="C1347" s="218" t="s">
        <v>3534</v>
      </c>
      <c r="D1347" s="218" t="s">
        <v>4554</v>
      </c>
      <c r="E1347" s="218" t="s">
        <v>1839</v>
      </c>
      <c r="F1347" s="218" t="s">
        <v>1840</v>
      </c>
      <c r="G1347" s="218" t="s">
        <v>1841</v>
      </c>
    </row>
    <row r="1348" spans="1:7" x14ac:dyDescent="0.15">
      <c r="A1348" s="218" t="s">
        <v>4555</v>
      </c>
      <c r="B1348" s="218" t="s">
        <v>4556</v>
      </c>
      <c r="C1348" s="218" t="s">
        <v>3534</v>
      </c>
      <c r="D1348" s="218" t="s">
        <v>4557</v>
      </c>
      <c r="E1348" s="218" t="s">
        <v>1839</v>
      </c>
      <c r="F1348" s="218" t="s">
        <v>1840</v>
      </c>
      <c r="G1348" s="218" t="s">
        <v>1841</v>
      </c>
    </row>
    <row r="1349" spans="1:7" x14ac:dyDescent="0.15">
      <c r="A1349" s="218" t="s">
        <v>9914</v>
      </c>
      <c r="B1349" s="218" t="s">
        <v>9915</v>
      </c>
      <c r="C1349" s="218" t="s">
        <v>3534</v>
      </c>
      <c r="D1349" s="218" t="s">
        <v>9916</v>
      </c>
      <c r="E1349" s="218" t="s">
        <v>1839</v>
      </c>
      <c r="F1349" s="218" t="s">
        <v>1840</v>
      </c>
      <c r="G1349" s="218" t="s">
        <v>1841</v>
      </c>
    </row>
    <row r="1350" spans="1:7" x14ac:dyDescent="0.15">
      <c r="A1350" s="218" t="s">
        <v>4558</v>
      </c>
      <c r="B1350" s="218" t="s">
        <v>4559</v>
      </c>
      <c r="C1350" s="218" t="s">
        <v>3534</v>
      </c>
      <c r="D1350" s="218" t="s">
        <v>4560</v>
      </c>
      <c r="E1350" s="218" t="s">
        <v>1839</v>
      </c>
      <c r="F1350" s="218" t="s">
        <v>1840</v>
      </c>
      <c r="G1350" s="218" t="s">
        <v>1841</v>
      </c>
    </row>
    <row r="1351" spans="1:7" x14ac:dyDescent="0.15">
      <c r="A1351" s="218" t="s">
        <v>11621</v>
      </c>
      <c r="B1351" s="218" t="s">
        <v>11622</v>
      </c>
      <c r="C1351" s="218" t="s">
        <v>3534</v>
      </c>
      <c r="D1351" s="218" t="s">
        <v>11623</v>
      </c>
      <c r="E1351" s="218" t="s">
        <v>1839</v>
      </c>
      <c r="F1351" s="218" t="s">
        <v>1840</v>
      </c>
      <c r="G1351" s="218" t="s">
        <v>1841</v>
      </c>
    </row>
    <row r="1352" spans="1:7" x14ac:dyDescent="0.15">
      <c r="A1352" s="218" t="s">
        <v>9917</v>
      </c>
      <c r="B1352" s="218" t="s">
        <v>9918</v>
      </c>
      <c r="C1352" s="218" t="s">
        <v>3534</v>
      </c>
      <c r="D1352" s="218" t="s">
        <v>9919</v>
      </c>
      <c r="E1352" s="218" t="s">
        <v>1839</v>
      </c>
      <c r="F1352" s="218" t="s">
        <v>1840</v>
      </c>
      <c r="G1352" s="218" t="s">
        <v>1841</v>
      </c>
    </row>
    <row r="1353" spans="1:7" x14ac:dyDescent="0.15">
      <c r="A1353" s="218" t="s">
        <v>4561</v>
      </c>
      <c r="B1353" s="218" t="s">
        <v>4562</v>
      </c>
      <c r="C1353" s="218" t="s">
        <v>3534</v>
      </c>
      <c r="D1353" s="218" t="s">
        <v>4563</v>
      </c>
      <c r="E1353" s="218" t="s">
        <v>1839</v>
      </c>
      <c r="F1353" s="218" t="s">
        <v>1840</v>
      </c>
      <c r="G1353" s="218" t="s">
        <v>1841</v>
      </c>
    </row>
    <row r="1354" spans="1:7" x14ac:dyDescent="0.15">
      <c r="A1354" s="218" t="s">
        <v>4564</v>
      </c>
      <c r="B1354" s="218" t="s">
        <v>4565</v>
      </c>
      <c r="C1354" s="218" t="s">
        <v>3534</v>
      </c>
      <c r="D1354" s="218" t="s">
        <v>4566</v>
      </c>
      <c r="E1354" s="218" t="s">
        <v>1839</v>
      </c>
      <c r="F1354" s="218" t="s">
        <v>1840</v>
      </c>
      <c r="G1354" s="218" t="s">
        <v>1841</v>
      </c>
    </row>
    <row r="1355" spans="1:7" x14ac:dyDescent="0.15">
      <c r="A1355" s="218" t="s">
        <v>4567</v>
      </c>
      <c r="B1355" s="218" t="s">
        <v>4568</v>
      </c>
      <c r="C1355" s="218" t="s">
        <v>3534</v>
      </c>
      <c r="D1355" s="218" t="s">
        <v>4569</v>
      </c>
      <c r="E1355" s="218" t="s">
        <v>1839</v>
      </c>
      <c r="F1355" s="218" t="s">
        <v>1840</v>
      </c>
      <c r="G1355" s="218" t="s">
        <v>1841</v>
      </c>
    </row>
    <row r="1356" spans="1:7" x14ac:dyDescent="0.15">
      <c r="A1356" s="218" t="s">
        <v>9920</v>
      </c>
      <c r="B1356" s="218" t="s">
        <v>9921</v>
      </c>
      <c r="C1356" s="218" t="s">
        <v>3534</v>
      </c>
      <c r="D1356" s="218" t="s">
        <v>9922</v>
      </c>
      <c r="E1356" s="218" t="s">
        <v>1839</v>
      </c>
      <c r="F1356" s="218" t="s">
        <v>1840</v>
      </c>
      <c r="G1356" s="218" t="s">
        <v>1841</v>
      </c>
    </row>
    <row r="1357" spans="1:7" x14ac:dyDescent="0.15">
      <c r="A1357" s="218" t="s">
        <v>4570</v>
      </c>
      <c r="B1357" s="218" t="s">
        <v>4571</v>
      </c>
      <c r="C1357" s="218" t="s">
        <v>3534</v>
      </c>
      <c r="D1357" s="218" t="s">
        <v>4572</v>
      </c>
      <c r="E1357" s="218" t="s">
        <v>1839</v>
      </c>
      <c r="F1357" s="218" t="s">
        <v>1840</v>
      </c>
      <c r="G1357" s="218" t="s">
        <v>1841</v>
      </c>
    </row>
    <row r="1358" spans="1:7" x14ac:dyDescent="0.15">
      <c r="A1358" s="218" t="s">
        <v>9923</v>
      </c>
      <c r="B1358" s="218" t="s">
        <v>9924</v>
      </c>
      <c r="C1358" s="218" t="s">
        <v>3534</v>
      </c>
      <c r="D1358" s="218" t="s">
        <v>9925</v>
      </c>
      <c r="E1358" s="218" t="s">
        <v>1839</v>
      </c>
      <c r="F1358" s="218" t="s">
        <v>1840</v>
      </c>
      <c r="G1358" s="218" t="s">
        <v>1841</v>
      </c>
    </row>
    <row r="1359" spans="1:7" x14ac:dyDescent="0.15">
      <c r="A1359" s="218" t="s">
        <v>4573</v>
      </c>
      <c r="B1359" s="218" t="s">
        <v>4574</v>
      </c>
      <c r="C1359" s="218" t="s">
        <v>3534</v>
      </c>
      <c r="D1359" s="218" t="s">
        <v>4575</v>
      </c>
      <c r="E1359" s="218" t="s">
        <v>1839</v>
      </c>
      <c r="F1359" s="218" t="s">
        <v>1840</v>
      </c>
      <c r="G1359" s="218" t="s">
        <v>1841</v>
      </c>
    </row>
    <row r="1360" spans="1:7" x14ac:dyDescent="0.15">
      <c r="A1360" s="218" t="s">
        <v>4576</v>
      </c>
      <c r="B1360" s="218" t="s">
        <v>4577</v>
      </c>
      <c r="C1360" s="218" t="s">
        <v>3534</v>
      </c>
      <c r="D1360" s="218" t="s">
        <v>4578</v>
      </c>
      <c r="E1360" s="218" t="s">
        <v>1839</v>
      </c>
      <c r="F1360" s="218" t="s">
        <v>1840</v>
      </c>
      <c r="G1360" s="218" t="s">
        <v>1841</v>
      </c>
    </row>
    <row r="1361" spans="1:7" x14ac:dyDescent="0.15">
      <c r="A1361" s="218" t="s">
        <v>4579</v>
      </c>
      <c r="B1361" s="218" t="s">
        <v>4580</v>
      </c>
      <c r="C1361" s="218" t="s">
        <v>3534</v>
      </c>
      <c r="D1361" s="218" t="s">
        <v>4581</v>
      </c>
      <c r="E1361" s="218" t="s">
        <v>1839</v>
      </c>
      <c r="F1361" s="218" t="s">
        <v>1840</v>
      </c>
      <c r="G1361" s="218" t="s">
        <v>1841</v>
      </c>
    </row>
    <row r="1362" spans="1:7" x14ac:dyDescent="0.15">
      <c r="A1362" s="218" t="s">
        <v>4582</v>
      </c>
      <c r="B1362" s="218" t="s">
        <v>4583</v>
      </c>
      <c r="C1362" s="218" t="s">
        <v>3534</v>
      </c>
      <c r="D1362" s="218" t="s">
        <v>4584</v>
      </c>
      <c r="E1362" s="218" t="s">
        <v>1839</v>
      </c>
      <c r="F1362" s="218" t="s">
        <v>1840</v>
      </c>
      <c r="G1362" s="218" t="s">
        <v>1841</v>
      </c>
    </row>
    <row r="1363" spans="1:7" x14ac:dyDescent="0.15">
      <c r="A1363" s="218" t="s">
        <v>9926</v>
      </c>
      <c r="B1363" s="218" t="s">
        <v>9927</v>
      </c>
      <c r="C1363" s="218" t="s">
        <v>3534</v>
      </c>
      <c r="D1363" s="218" t="s">
        <v>9928</v>
      </c>
      <c r="E1363" s="218" t="s">
        <v>1839</v>
      </c>
      <c r="F1363" s="218" t="s">
        <v>1840</v>
      </c>
      <c r="G1363" s="218" t="s">
        <v>1841</v>
      </c>
    </row>
    <row r="1364" spans="1:7" x14ac:dyDescent="0.15">
      <c r="A1364" s="218" t="s">
        <v>4585</v>
      </c>
      <c r="B1364" s="218" t="s">
        <v>4586</v>
      </c>
      <c r="C1364" s="218" t="s">
        <v>3534</v>
      </c>
      <c r="D1364" s="218" t="s">
        <v>4587</v>
      </c>
      <c r="E1364" s="218" t="s">
        <v>1839</v>
      </c>
      <c r="F1364" s="218" t="s">
        <v>1840</v>
      </c>
      <c r="G1364" s="218" t="s">
        <v>1841</v>
      </c>
    </row>
    <row r="1365" spans="1:7" x14ac:dyDescent="0.15">
      <c r="A1365" s="218" t="s">
        <v>9929</v>
      </c>
      <c r="B1365" s="218" t="s">
        <v>9930</v>
      </c>
      <c r="C1365" s="218" t="s">
        <v>3534</v>
      </c>
      <c r="D1365" s="218" t="s">
        <v>9931</v>
      </c>
      <c r="E1365" s="218" t="s">
        <v>1839</v>
      </c>
      <c r="F1365" s="218" t="s">
        <v>1840</v>
      </c>
      <c r="G1365" s="218" t="s">
        <v>1841</v>
      </c>
    </row>
    <row r="1366" spans="1:7" x14ac:dyDescent="0.15">
      <c r="A1366" s="218" t="s">
        <v>4588</v>
      </c>
      <c r="B1366" s="218" t="s">
        <v>4589</v>
      </c>
      <c r="C1366" s="218" t="s">
        <v>3534</v>
      </c>
      <c r="D1366" s="218" t="s">
        <v>4590</v>
      </c>
      <c r="E1366" s="218" t="s">
        <v>1839</v>
      </c>
      <c r="F1366" s="218" t="s">
        <v>1840</v>
      </c>
      <c r="G1366" s="218" t="s">
        <v>1841</v>
      </c>
    </row>
    <row r="1367" spans="1:7" x14ac:dyDescent="0.15">
      <c r="A1367" s="218" t="s">
        <v>9932</v>
      </c>
      <c r="B1367" s="218" t="s">
        <v>9933</v>
      </c>
      <c r="C1367" s="218" t="s">
        <v>3534</v>
      </c>
      <c r="D1367" s="218" t="s">
        <v>9934</v>
      </c>
      <c r="E1367" s="218" t="s">
        <v>1839</v>
      </c>
      <c r="F1367" s="218" t="s">
        <v>1840</v>
      </c>
      <c r="G1367" s="218" t="s">
        <v>1841</v>
      </c>
    </row>
    <row r="1368" spans="1:7" x14ac:dyDescent="0.15">
      <c r="A1368" s="218" t="s">
        <v>4591</v>
      </c>
      <c r="B1368" s="218" t="s">
        <v>4592</v>
      </c>
      <c r="C1368" s="218" t="s">
        <v>3534</v>
      </c>
      <c r="D1368" s="218" t="s">
        <v>4593</v>
      </c>
      <c r="E1368" s="218" t="s">
        <v>1839</v>
      </c>
      <c r="F1368" s="218" t="s">
        <v>1840</v>
      </c>
      <c r="G1368" s="218" t="s">
        <v>1841</v>
      </c>
    </row>
    <row r="1369" spans="1:7" x14ac:dyDescent="0.15">
      <c r="A1369" s="218" t="s">
        <v>9935</v>
      </c>
      <c r="B1369" s="218" t="s">
        <v>9936</v>
      </c>
      <c r="C1369" s="218" t="s">
        <v>3534</v>
      </c>
      <c r="D1369" s="218" t="s">
        <v>9937</v>
      </c>
      <c r="E1369" s="218" t="s">
        <v>1839</v>
      </c>
      <c r="F1369" s="218" t="s">
        <v>1840</v>
      </c>
      <c r="G1369" s="218" t="s">
        <v>1841</v>
      </c>
    </row>
    <row r="1370" spans="1:7" x14ac:dyDescent="0.15">
      <c r="A1370" s="218" t="s">
        <v>4594</v>
      </c>
      <c r="B1370" s="218" t="s">
        <v>4595</v>
      </c>
      <c r="C1370" s="218" t="s">
        <v>3534</v>
      </c>
      <c r="D1370" s="218" t="s">
        <v>4596</v>
      </c>
      <c r="E1370" s="218" t="s">
        <v>1839</v>
      </c>
      <c r="F1370" s="218" t="s">
        <v>1840</v>
      </c>
      <c r="G1370" s="218" t="s">
        <v>1841</v>
      </c>
    </row>
    <row r="1371" spans="1:7" x14ac:dyDescent="0.15">
      <c r="A1371" s="218" t="s">
        <v>4597</v>
      </c>
      <c r="B1371" s="218" t="s">
        <v>4598</v>
      </c>
      <c r="C1371" s="218" t="s">
        <v>3534</v>
      </c>
      <c r="D1371" s="218" t="s">
        <v>4599</v>
      </c>
      <c r="E1371" s="218" t="s">
        <v>1839</v>
      </c>
      <c r="F1371" s="218" t="s">
        <v>1840</v>
      </c>
      <c r="G1371" s="218" t="s">
        <v>1841</v>
      </c>
    </row>
    <row r="1372" spans="1:7" x14ac:dyDescent="0.15">
      <c r="A1372" s="218" t="s">
        <v>4600</v>
      </c>
      <c r="B1372" s="218" t="s">
        <v>4601</v>
      </c>
      <c r="C1372" s="218" t="s">
        <v>3534</v>
      </c>
      <c r="D1372" s="218" t="s">
        <v>4602</v>
      </c>
      <c r="E1372" s="218" t="s">
        <v>1839</v>
      </c>
      <c r="F1372" s="218" t="s">
        <v>1840</v>
      </c>
      <c r="G1372" s="218" t="s">
        <v>1841</v>
      </c>
    </row>
    <row r="1373" spans="1:7" x14ac:dyDescent="0.15">
      <c r="A1373" s="218" t="s">
        <v>4603</v>
      </c>
      <c r="B1373" s="218" t="s">
        <v>4604</v>
      </c>
      <c r="C1373" s="218" t="s">
        <v>3534</v>
      </c>
      <c r="D1373" s="218" t="s">
        <v>4605</v>
      </c>
      <c r="E1373" s="218" t="s">
        <v>1839</v>
      </c>
      <c r="F1373" s="218" t="s">
        <v>1840</v>
      </c>
      <c r="G1373" s="218" t="s">
        <v>1841</v>
      </c>
    </row>
    <row r="1374" spans="1:7" x14ac:dyDescent="0.15">
      <c r="A1374" s="218" t="s">
        <v>4606</v>
      </c>
      <c r="B1374" s="218" t="s">
        <v>4607</v>
      </c>
      <c r="C1374" s="218" t="s">
        <v>3534</v>
      </c>
      <c r="D1374" s="218" t="s">
        <v>4608</v>
      </c>
      <c r="E1374" s="218" t="s">
        <v>1935</v>
      </c>
      <c r="F1374" s="218" t="s">
        <v>1840</v>
      </c>
      <c r="G1374" s="218" t="s">
        <v>1841</v>
      </c>
    </row>
    <row r="1375" spans="1:7" x14ac:dyDescent="0.15">
      <c r="A1375" s="218" t="s">
        <v>9938</v>
      </c>
      <c r="B1375" s="218" t="s">
        <v>9939</v>
      </c>
      <c r="C1375" s="218" t="s">
        <v>3534</v>
      </c>
      <c r="D1375" s="218" t="s">
        <v>9940</v>
      </c>
      <c r="E1375" s="218" t="s">
        <v>1839</v>
      </c>
      <c r="F1375" s="218" t="s">
        <v>1840</v>
      </c>
      <c r="G1375" s="218" t="s">
        <v>1841</v>
      </c>
    </row>
    <row r="1376" spans="1:7" x14ac:dyDescent="0.15">
      <c r="A1376" s="218" t="s">
        <v>4609</v>
      </c>
      <c r="B1376" s="218" t="s">
        <v>4610</v>
      </c>
      <c r="C1376" s="218" t="s">
        <v>3534</v>
      </c>
      <c r="D1376" s="218" t="s">
        <v>4611</v>
      </c>
      <c r="E1376" s="218" t="s">
        <v>1839</v>
      </c>
      <c r="F1376" s="218" t="s">
        <v>1840</v>
      </c>
      <c r="G1376" s="218" t="s">
        <v>1841</v>
      </c>
    </row>
    <row r="1377" spans="1:7" x14ac:dyDescent="0.15">
      <c r="A1377" s="218" t="s">
        <v>4612</v>
      </c>
      <c r="B1377" s="218" t="s">
        <v>4613</v>
      </c>
      <c r="C1377" s="218" t="s">
        <v>3534</v>
      </c>
      <c r="D1377" s="218" t="s">
        <v>4614</v>
      </c>
      <c r="E1377" s="218" t="s">
        <v>1839</v>
      </c>
      <c r="F1377" s="218" t="s">
        <v>1840</v>
      </c>
      <c r="G1377" s="218" t="s">
        <v>1841</v>
      </c>
    </row>
    <row r="1378" spans="1:7" x14ac:dyDescent="0.15">
      <c r="A1378" s="218" t="s">
        <v>9941</v>
      </c>
      <c r="B1378" s="218" t="s">
        <v>9942</v>
      </c>
      <c r="C1378" s="218" t="s">
        <v>3534</v>
      </c>
      <c r="D1378" s="218" t="s">
        <v>9943</v>
      </c>
      <c r="E1378" s="218" t="s">
        <v>1839</v>
      </c>
      <c r="F1378" s="218" t="s">
        <v>1840</v>
      </c>
      <c r="G1378" s="218" t="s">
        <v>1841</v>
      </c>
    </row>
    <row r="1379" spans="1:7" x14ac:dyDescent="0.15">
      <c r="A1379" s="218" t="s">
        <v>9944</v>
      </c>
      <c r="B1379" s="218" t="s">
        <v>9945</v>
      </c>
      <c r="C1379" s="218" t="s">
        <v>3534</v>
      </c>
      <c r="D1379" s="218" t="s">
        <v>9946</v>
      </c>
      <c r="E1379" s="218" t="s">
        <v>1839</v>
      </c>
      <c r="F1379" s="218" t="s">
        <v>1840</v>
      </c>
      <c r="G1379" s="218" t="s">
        <v>1841</v>
      </c>
    </row>
    <row r="1380" spans="1:7" x14ac:dyDescent="0.15">
      <c r="A1380" s="218" t="s">
        <v>9947</v>
      </c>
      <c r="B1380" s="218" t="s">
        <v>9948</v>
      </c>
      <c r="C1380" s="218" t="s">
        <v>3534</v>
      </c>
      <c r="D1380" s="218" t="s">
        <v>9949</v>
      </c>
      <c r="E1380" s="218" t="s">
        <v>1839</v>
      </c>
      <c r="F1380" s="218" t="s">
        <v>1840</v>
      </c>
      <c r="G1380" s="218" t="s">
        <v>1841</v>
      </c>
    </row>
    <row r="1381" spans="1:7" x14ac:dyDescent="0.15">
      <c r="A1381" s="218" t="s">
        <v>9950</v>
      </c>
      <c r="B1381" s="218" t="s">
        <v>1653</v>
      </c>
      <c r="C1381" s="218" t="s">
        <v>3534</v>
      </c>
      <c r="D1381" s="218" t="s">
        <v>1654</v>
      </c>
      <c r="E1381" s="218" t="s">
        <v>1839</v>
      </c>
      <c r="F1381" s="218" t="s">
        <v>1840</v>
      </c>
      <c r="G1381" s="218" t="s">
        <v>1841</v>
      </c>
    </row>
    <row r="1382" spans="1:7" x14ac:dyDescent="0.15">
      <c r="A1382" s="218" t="s">
        <v>4615</v>
      </c>
      <c r="B1382" s="218" t="s">
        <v>4616</v>
      </c>
      <c r="C1382" s="218" t="s">
        <v>3534</v>
      </c>
      <c r="D1382" s="218" t="s">
        <v>4617</v>
      </c>
      <c r="E1382" s="218" t="s">
        <v>1839</v>
      </c>
      <c r="F1382" s="218" t="s">
        <v>1840</v>
      </c>
      <c r="G1382" s="218" t="s">
        <v>1841</v>
      </c>
    </row>
    <row r="1383" spans="1:7" x14ac:dyDescent="0.15">
      <c r="A1383" s="218" t="s">
        <v>9951</v>
      </c>
      <c r="B1383" s="218" t="s">
        <v>9952</v>
      </c>
      <c r="C1383" s="218" t="s">
        <v>3534</v>
      </c>
      <c r="D1383" s="218" t="s">
        <v>9953</v>
      </c>
      <c r="E1383" s="218" t="s">
        <v>1839</v>
      </c>
      <c r="F1383" s="218" t="s">
        <v>1840</v>
      </c>
      <c r="G1383" s="218" t="s">
        <v>1841</v>
      </c>
    </row>
    <row r="1384" spans="1:7" x14ac:dyDescent="0.15">
      <c r="A1384" s="218" t="s">
        <v>4618</v>
      </c>
      <c r="B1384" s="218" t="s">
        <v>4619</v>
      </c>
      <c r="C1384" s="218" t="s">
        <v>3534</v>
      </c>
      <c r="D1384" s="218" t="s">
        <v>4620</v>
      </c>
      <c r="E1384" s="218" t="s">
        <v>1839</v>
      </c>
      <c r="F1384" s="218" t="s">
        <v>1840</v>
      </c>
      <c r="G1384" s="218" t="s">
        <v>1841</v>
      </c>
    </row>
    <row r="1385" spans="1:7" x14ac:dyDescent="0.15">
      <c r="A1385" s="218" t="s">
        <v>4621</v>
      </c>
      <c r="B1385" s="218" t="s">
        <v>4622</v>
      </c>
      <c r="C1385" s="218" t="s">
        <v>3534</v>
      </c>
      <c r="D1385" s="218" t="s">
        <v>4623</v>
      </c>
      <c r="E1385" s="218" t="s">
        <v>1839</v>
      </c>
      <c r="F1385" s="218" t="s">
        <v>1840</v>
      </c>
      <c r="G1385" s="218" t="s">
        <v>1841</v>
      </c>
    </row>
    <row r="1386" spans="1:7" x14ac:dyDescent="0.15">
      <c r="A1386" s="218" t="s">
        <v>9954</v>
      </c>
      <c r="B1386" s="218" t="s">
        <v>9955</v>
      </c>
      <c r="C1386" s="218" t="s">
        <v>3534</v>
      </c>
      <c r="D1386" s="218" t="s">
        <v>9956</v>
      </c>
      <c r="E1386" s="218" t="s">
        <v>1839</v>
      </c>
      <c r="F1386" s="218" t="s">
        <v>1840</v>
      </c>
      <c r="G1386" s="218" t="s">
        <v>1841</v>
      </c>
    </row>
    <row r="1387" spans="1:7" x14ac:dyDescent="0.15">
      <c r="A1387" s="218" t="s">
        <v>4624</v>
      </c>
      <c r="B1387" s="218" t="s">
        <v>4625</v>
      </c>
      <c r="C1387" s="218" t="s">
        <v>3534</v>
      </c>
      <c r="D1387" s="218" t="s">
        <v>4626</v>
      </c>
      <c r="E1387" s="218" t="s">
        <v>1839</v>
      </c>
      <c r="F1387" s="218" t="s">
        <v>1840</v>
      </c>
      <c r="G1387" s="218" t="s">
        <v>1841</v>
      </c>
    </row>
    <row r="1388" spans="1:7" x14ac:dyDescent="0.15">
      <c r="A1388" s="218" t="s">
        <v>4627</v>
      </c>
      <c r="B1388" s="218" t="s">
        <v>4628</v>
      </c>
      <c r="C1388" s="218" t="s">
        <v>3534</v>
      </c>
      <c r="D1388" s="218" t="s">
        <v>4629</v>
      </c>
      <c r="E1388" s="218" t="s">
        <v>1935</v>
      </c>
      <c r="F1388" s="218" t="s">
        <v>1840</v>
      </c>
      <c r="G1388" s="218" t="s">
        <v>1841</v>
      </c>
    </row>
    <row r="1389" spans="1:7" x14ac:dyDescent="0.15">
      <c r="A1389" s="218" t="s">
        <v>9957</v>
      </c>
      <c r="B1389" s="218" t="s">
        <v>1384</v>
      </c>
      <c r="C1389" s="218" t="s">
        <v>3534</v>
      </c>
      <c r="D1389" s="218" t="s">
        <v>1385</v>
      </c>
      <c r="E1389" s="218" t="s">
        <v>1839</v>
      </c>
      <c r="F1389" s="218" t="s">
        <v>1840</v>
      </c>
      <c r="G1389" s="218" t="s">
        <v>1841</v>
      </c>
    </row>
    <row r="1390" spans="1:7" x14ac:dyDescent="0.15">
      <c r="A1390" s="218" t="s">
        <v>9958</v>
      </c>
      <c r="B1390" s="218" t="s">
        <v>9959</v>
      </c>
      <c r="C1390" s="218" t="s">
        <v>3534</v>
      </c>
      <c r="D1390" s="218" t="s">
        <v>9960</v>
      </c>
      <c r="E1390" s="218" t="s">
        <v>1839</v>
      </c>
      <c r="F1390" s="218" t="s">
        <v>1840</v>
      </c>
      <c r="G1390" s="218" t="s">
        <v>1841</v>
      </c>
    </row>
    <row r="1391" spans="1:7" x14ac:dyDescent="0.15">
      <c r="A1391" s="218" t="s">
        <v>9961</v>
      </c>
      <c r="B1391" s="218" t="s">
        <v>1011</v>
      </c>
      <c r="C1391" s="218" t="s">
        <v>3534</v>
      </c>
      <c r="D1391" s="218" t="s">
        <v>1012</v>
      </c>
      <c r="E1391" s="218" t="s">
        <v>1839</v>
      </c>
      <c r="F1391" s="218" t="s">
        <v>1840</v>
      </c>
      <c r="G1391" s="218" t="s">
        <v>1841</v>
      </c>
    </row>
    <row r="1392" spans="1:7" x14ac:dyDescent="0.15">
      <c r="A1392" s="218" t="s">
        <v>9962</v>
      </c>
      <c r="B1392" s="218" t="s">
        <v>9963</v>
      </c>
      <c r="C1392" s="218" t="s">
        <v>3534</v>
      </c>
      <c r="D1392" s="218" t="s">
        <v>9964</v>
      </c>
      <c r="E1392" s="218" t="s">
        <v>1839</v>
      </c>
      <c r="F1392" s="218" t="s">
        <v>1840</v>
      </c>
      <c r="G1392" s="218" t="s">
        <v>1841</v>
      </c>
    </row>
    <row r="1393" spans="1:7" x14ac:dyDescent="0.15">
      <c r="A1393" s="218" t="s">
        <v>4630</v>
      </c>
      <c r="B1393" s="218" t="s">
        <v>4631</v>
      </c>
      <c r="C1393" s="218" t="s">
        <v>3534</v>
      </c>
      <c r="D1393" s="218" t="s">
        <v>4632</v>
      </c>
      <c r="E1393" s="218" t="s">
        <v>1839</v>
      </c>
      <c r="F1393" s="218" t="s">
        <v>1840</v>
      </c>
      <c r="G1393" s="218" t="s">
        <v>1841</v>
      </c>
    </row>
    <row r="1394" spans="1:7" x14ac:dyDescent="0.15">
      <c r="A1394" s="218" t="s">
        <v>9965</v>
      </c>
      <c r="B1394" s="218" t="s">
        <v>9966</v>
      </c>
      <c r="C1394" s="218" t="s">
        <v>3534</v>
      </c>
      <c r="D1394" s="218" t="s">
        <v>9967</v>
      </c>
      <c r="E1394" s="218" t="s">
        <v>1839</v>
      </c>
      <c r="F1394" s="218" t="s">
        <v>1840</v>
      </c>
      <c r="G1394" s="218" t="s">
        <v>1841</v>
      </c>
    </row>
    <row r="1395" spans="1:7" x14ac:dyDescent="0.15">
      <c r="A1395" s="218" t="s">
        <v>4633</v>
      </c>
      <c r="B1395" s="218" t="s">
        <v>4634</v>
      </c>
      <c r="C1395" s="218" t="s">
        <v>3534</v>
      </c>
      <c r="D1395" s="218" t="s">
        <v>4635</v>
      </c>
      <c r="E1395" s="218" t="s">
        <v>1839</v>
      </c>
      <c r="F1395" s="218" t="s">
        <v>1840</v>
      </c>
      <c r="G1395" s="218" t="s">
        <v>1841</v>
      </c>
    </row>
    <row r="1396" spans="1:7" x14ac:dyDescent="0.15">
      <c r="A1396" s="218" t="s">
        <v>9968</v>
      </c>
      <c r="B1396" s="218" t="s">
        <v>9969</v>
      </c>
      <c r="C1396" s="218" t="s">
        <v>3534</v>
      </c>
      <c r="D1396" s="218" t="s">
        <v>9970</v>
      </c>
      <c r="E1396" s="218" t="s">
        <v>1839</v>
      </c>
      <c r="F1396" s="218" t="s">
        <v>1840</v>
      </c>
      <c r="G1396" s="218" t="s">
        <v>1841</v>
      </c>
    </row>
    <row r="1397" spans="1:7" x14ac:dyDescent="0.15">
      <c r="A1397" s="218" t="s">
        <v>9971</v>
      </c>
      <c r="B1397" s="218" t="s">
        <v>9972</v>
      </c>
      <c r="C1397" s="218" t="s">
        <v>3534</v>
      </c>
      <c r="D1397" s="218" t="s">
        <v>9973</v>
      </c>
      <c r="E1397" s="218" t="s">
        <v>1839</v>
      </c>
      <c r="F1397" s="218" t="s">
        <v>1840</v>
      </c>
      <c r="G1397" s="218" t="s">
        <v>1841</v>
      </c>
    </row>
    <row r="1398" spans="1:7" x14ac:dyDescent="0.15">
      <c r="A1398" s="218" t="s">
        <v>9974</v>
      </c>
      <c r="B1398" s="218" t="s">
        <v>9975</v>
      </c>
      <c r="C1398" s="218" t="s">
        <v>3534</v>
      </c>
      <c r="D1398" s="218" t="s">
        <v>9976</v>
      </c>
      <c r="E1398" s="218" t="s">
        <v>1839</v>
      </c>
      <c r="F1398" s="218" t="s">
        <v>1840</v>
      </c>
      <c r="G1398" s="218" t="s">
        <v>1841</v>
      </c>
    </row>
    <row r="1399" spans="1:7" x14ac:dyDescent="0.15">
      <c r="A1399" s="218" t="s">
        <v>9977</v>
      </c>
      <c r="B1399" s="218" t="s">
        <v>1743</v>
      </c>
      <c r="C1399" s="218" t="s">
        <v>3534</v>
      </c>
      <c r="D1399" s="218" t="s">
        <v>1744</v>
      </c>
      <c r="E1399" s="218" t="s">
        <v>1839</v>
      </c>
      <c r="F1399" s="218" t="s">
        <v>1840</v>
      </c>
      <c r="G1399" s="218" t="s">
        <v>1841</v>
      </c>
    </row>
    <row r="1400" spans="1:7" x14ac:dyDescent="0.15">
      <c r="A1400" s="218" t="s">
        <v>4636</v>
      </c>
      <c r="B1400" s="218" t="s">
        <v>4637</v>
      </c>
      <c r="C1400" s="218" t="s">
        <v>3534</v>
      </c>
      <c r="D1400" s="218" t="s">
        <v>4638</v>
      </c>
      <c r="E1400" s="218" t="s">
        <v>1839</v>
      </c>
      <c r="F1400" s="218" t="s">
        <v>1840</v>
      </c>
      <c r="G1400" s="218" t="s">
        <v>1841</v>
      </c>
    </row>
    <row r="1401" spans="1:7" x14ac:dyDescent="0.15">
      <c r="A1401" s="218" t="s">
        <v>9978</v>
      </c>
      <c r="B1401" s="218" t="s">
        <v>668</v>
      </c>
      <c r="C1401" s="218" t="s">
        <v>3534</v>
      </c>
      <c r="D1401" s="218" t="s">
        <v>669</v>
      </c>
      <c r="E1401" s="218" t="s">
        <v>1839</v>
      </c>
      <c r="F1401" s="218" t="s">
        <v>1840</v>
      </c>
      <c r="G1401" s="218" t="s">
        <v>1841</v>
      </c>
    </row>
    <row r="1402" spans="1:7" x14ac:dyDescent="0.15">
      <c r="A1402" s="218" t="s">
        <v>9979</v>
      </c>
      <c r="B1402" s="218" t="s">
        <v>9980</v>
      </c>
      <c r="C1402" s="218" t="s">
        <v>3534</v>
      </c>
      <c r="D1402" s="218" t="s">
        <v>9981</v>
      </c>
      <c r="E1402" s="218" t="s">
        <v>1839</v>
      </c>
      <c r="F1402" s="218" t="s">
        <v>1840</v>
      </c>
      <c r="G1402" s="218" t="s">
        <v>1841</v>
      </c>
    </row>
    <row r="1403" spans="1:7" x14ac:dyDescent="0.15">
      <c r="A1403" s="218" t="s">
        <v>9982</v>
      </c>
      <c r="B1403" s="218" t="s">
        <v>9983</v>
      </c>
      <c r="C1403" s="218" t="s">
        <v>3534</v>
      </c>
      <c r="D1403" s="218" t="s">
        <v>9984</v>
      </c>
      <c r="E1403" s="218" t="s">
        <v>1839</v>
      </c>
      <c r="F1403" s="218" t="s">
        <v>1840</v>
      </c>
      <c r="G1403" s="218" t="s">
        <v>1841</v>
      </c>
    </row>
    <row r="1404" spans="1:7" x14ac:dyDescent="0.15">
      <c r="A1404" s="218" t="s">
        <v>4642</v>
      </c>
      <c r="B1404" s="218" t="s">
        <v>4643</v>
      </c>
      <c r="C1404" s="218" t="s">
        <v>3534</v>
      </c>
      <c r="D1404" s="218" t="s">
        <v>4644</v>
      </c>
      <c r="E1404" s="218" t="s">
        <v>1839</v>
      </c>
      <c r="F1404" s="218" t="s">
        <v>1840</v>
      </c>
      <c r="G1404" s="218" t="s">
        <v>1841</v>
      </c>
    </row>
    <row r="1405" spans="1:7" x14ac:dyDescent="0.15">
      <c r="A1405" s="218" t="s">
        <v>4645</v>
      </c>
      <c r="B1405" s="218" t="s">
        <v>4646</v>
      </c>
      <c r="C1405" s="218" t="s">
        <v>3534</v>
      </c>
      <c r="D1405" s="218" t="s">
        <v>4647</v>
      </c>
      <c r="E1405" s="218" t="s">
        <v>1935</v>
      </c>
      <c r="F1405" s="218" t="s">
        <v>1840</v>
      </c>
      <c r="G1405" s="218" t="s">
        <v>1841</v>
      </c>
    </row>
    <row r="1406" spans="1:7" x14ac:dyDescent="0.15">
      <c r="A1406" s="218" t="s">
        <v>9985</v>
      </c>
      <c r="B1406" s="218" t="s">
        <v>1701</v>
      </c>
      <c r="C1406" s="218" t="s">
        <v>3534</v>
      </c>
      <c r="D1406" s="218" t="s">
        <v>1702</v>
      </c>
      <c r="E1406" s="218" t="s">
        <v>1839</v>
      </c>
      <c r="F1406" s="218" t="s">
        <v>1840</v>
      </c>
      <c r="G1406" s="218" t="s">
        <v>1841</v>
      </c>
    </row>
    <row r="1407" spans="1:7" x14ac:dyDescent="0.15">
      <c r="A1407" s="218" t="s">
        <v>4648</v>
      </c>
      <c r="B1407" s="218" t="s">
        <v>4649</v>
      </c>
      <c r="C1407" s="218" t="s">
        <v>3534</v>
      </c>
      <c r="D1407" s="218" t="s">
        <v>4650</v>
      </c>
      <c r="E1407" s="218" t="s">
        <v>1839</v>
      </c>
      <c r="F1407" s="218" t="s">
        <v>1840</v>
      </c>
      <c r="G1407" s="218" t="s">
        <v>1841</v>
      </c>
    </row>
    <row r="1408" spans="1:7" x14ac:dyDescent="0.15">
      <c r="A1408" s="218" t="s">
        <v>4651</v>
      </c>
      <c r="B1408" s="218" t="s">
        <v>4652</v>
      </c>
      <c r="C1408" s="218" t="s">
        <v>3534</v>
      </c>
      <c r="D1408" s="218" t="s">
        <v>4653</v>
      </c>
      <c r="E1408" s="218" t="s">
        <v>1935</v>
      </c>
      <c r="F1408" s="218" t="s">
        <v>1840</v>
      </c>
      <c r="G1408" s="218" t="s">
        <v>1841</v>
      </c>
    </row>
    <row r="1409" spans="1:7" x14ac:dyDescent="0.15">
      <c r="A1409" s="218" t="s">
        <v>4654</v>
      </c>
      <c r="B1409" s="218" t="s">
        <v>4655</v>
      </c>
      <c r="C1409" s="218" t="s">
        <v>3534</v>
      </c>
      <c r="D1409" s="218" t="s">
        <v>4656</v>
      </c>
      <c r="E1409" s="218" t="s">
        <v>1839</v>
      </c>
      <c r="F1409" s="218" t="s">
        <v>1840</v>
      </c>
      <c r="G1409" s="218" t="s">
        <v>1841</v>
      </c>
    </row>
    <row r="1410" spans="1:7" x14ac:dyDescent="0.15">
      <c r="A1410" s="218" t="s">
        <v>9986</v>
      </c>
      <c r="B1410" s="218" t="s">
        <v>9987</v>
      </c>
      <c r="C1410" s="218" t="s">
        <v>3534</v>
      </c>
      <c r="D1410" s="218" t="s">
        <v>9988</v>
      </c>
      <c r="E1410" s="218" t="s">
        <v>1839</v>
      </c>
      <c r="F1410" s="218" t="s">
        <v>1840</v>
      </c>
      <c r="G1410" s="218" t="s">
        <v>1841</v>
      </c>
    </row>
    <row r="1411" spans="1:7" x14ac:dyDescent="0.15">
      <c r="A1411" s="218" t="s">
        <v>9989</v>
      </c>
      <c r="B1411" s="218" t="s">
        <v>1178</v>
      </c>
      <c r="C1411" s="218" t="s">
        <v>3534</v>
      </c>
      <c r="D1411" s="218" t="s">
        <v>1179</v>
      </c>
      <c r="E1411" s="218" t="s">
        <v>1839</v>
      </c>
      <c r="F1411" s="218" t="s">
        <v>1840</v>
      </c>
      <c r="G1411" s="218" t="s">
        <v>1841</v>
      </c>
    </row>
    <row r="1412" spans="1:7" x14ac:dyDescent="0.15">
      <c r="A1412" s="218" t="s">
        <v>4657</v>
      </c>
      <c r="B1412" s="218" t="s">
        <v>4658</v>
      </c>
      <c r="C1412" s="218" t="s">
        <v>3534</v>
      </c>
      <c r="D1412" s="218" t="s">
        <v>4659</v>
      </c>
      <c r="E1412" s="218" t="s">
        <v>1839</v>
      </c>
      <c r="F1412" s="218" t="s">
        <v>1840</v>
      </c>
      <c r="G1412" s="218" t="s">
        <v>1841</v>
      </c>
    </row>
    <row r="1413" spans="1:7" x14ac:dyDescent="0.15">
      <c r="A1413" s="218" t="s">
        <v>4660</v>
      </c>
      <c r="B1413" s="218" t="s">
        <v>4661</v>
      </c>
      <c r="C1413" s="218" t="s">
        <v>3534</v>
      </c>
      <c r="D1413" s="218" t="s">
        <v>4662</v>
      </c>
      <c r="E1413" s="218" t="s">
        <v>1839</v>
      </c>
      <c r="F1413" s="218" t="s">
        <v>1840</v>
      </c>
      <c r="G1413" s="218" t="s">
        <v>1841</v>
      </c>
    </row>
    <row r="1414" spans="1:7" x14ac:dyDescent="0.15">
      <c r="A1414" s="218" t="s">
        <v>9990</v>
      </c>
      <c r="B1414" s="218" t="s">
        <v>1256</v>
      </c>
      <c r="C1414" s="218" t="s">
        <v>3534</v>
      </c>
      <c r="D1414" s="218" t="s">
        <v>1257</v>
      </c>
      <c r="E1414" s="218" t="s">
        <v>1839</v>
      </c>
      <c r="F1414" s="218" t="s">
        <v>1840</v>
      </c>
      <c r="G1414" s="218" t="s">
        <v>1841</v>
      </c>
    </row>
    <row r="1415" spans="1:7" x14ac:dyDescent="0.15">
      <c r="A1415" s="218" t="s">
        <v>9991</v>
      </c>
      <c r="B1415" s="218" t="s">
        <v>9992</v>
      </c>
      <c r="C1415" s="218" t="s">
        <v>3534</v>
      </c>
      <c r="D1415" s="218" t="s">
        <v>9993</v>
      </c>
      <c r="E1415" s="218" t="s">
        <v>1935</v>
      </c>
      <c r="F1415" s="218" t="s">
        <v>1840</v>
      </c>
      <c r="G1415" s="218" t="s">
        <v>1841</v>
      </c>
    </row>
    <row r="1416" spans="1:7" x14ac:dyDescent="0.15">
      <c r="A1416" s="218" t="s">
        <v>9994</v>
      </c>
      <c r="B1416" s="218" t="s">
        <v>656</v>
      </c>
      <c r="C1416" s="218" t="s">
        <v>3534</v>
      </c>
      <c r="D1416" s="218" t="s">
        <v>657</v>
      </c>
      <c r="E1416" s="218" t="s">
        <v>1839</v>
      </c>
      <c r="F1416" s="218" t="s">
        <v>1840</v>
      </c>
      <c r="G1416" s="218" t="s">
        <v>1841</v>
      </c>
    </row>
    <row r="1417" spans="1:7" x14ac:dyDescent="0.15">
      <c r="A1417" s="218" t="s">
        <v>4663</v>
      </c>
      <c r="B1417" s="218" t="s">
        <v>4664</v>
      </c>
      <c r="C1417" s="218" t="s">
        <v>3534</v>
      </c>
      <c r="D1417" s="218" t="s">
        <v>4665</v>
      </c>
      <c r="E1417" s="218" t="s">
        <v>1839</v>
      </c>
      <c r="F1417" s="218" t="s">
        <v>1840</v>
      </c>
      <c r="G1417" s="218" t="s">
        <v>1841</v>
      </c>
    </row>
    <row r="1418" spans="1:7" x14ac:dyDescent="0.15">
      <c r="A1418" s="218" t="s">
        <v>4666</v>
      </c>
      <c r="B1418" s="218" t="s">
        <v>4667</v>
      </c>
      <c r="C1418" s="218" t="s">
        <v>3534</v>
      </c>
      <c r="D1418" s="218" t="s">
        <v>4668</v>
      </c>
      <c r="E1418" s="218" t="s">
        <v>1839</v>
      </c>
      <c r="F1418" s="218" t="s">
        <v>1840</v>
      </c>
      <c r="G1418" s="218" t="s">
        <v>1841</v>
      </c>
    </row>
    <row r="1419" spans="1:7" x14ac:dyDescent="0.15">
      <c r="A1419" s="218" t="s">
        <v>4669</v>
      </c>
      <c r="B1419" s="218" t="s">
        <v>4670</v>
      </c>
      <c r="C1419" s="218" t="s">
        <v>3534</v>
      </c>
      <c r="D1419" s="218" t="s">
        <v>4671</v>
      </c>
      <c r="E1419" s="218" t="s">
        <v>1839</v>
      </c>
      <c r="F1419" s="218" t="s">
        <v>1840</v>
      </c>
      <c r="G1419" s="218" t="s">
        <v>1841</v>
      </c>
    </row>
    <row r="1420" spans="1:7" x14ac:dyDescent="0.15">
      <c r="A1420" s="218" t="s">
        <v>9995</v>
      </c>
      <c r="B1420" s="218" t="s">
        <v>1727</v>
      </c>
      <c r="C1420" s="218" t="s">
        <v>3534</v>
      </c>
      <c r="D1420" s="218" t="s">
        <v>1728</v>
      </c>
      <c r="E1420" s="218" t="s">
        <v>1839</v>
      </c>
      <c r="F1420" s="218" t="s">
        <v>1840</v>
      </c>
      <c r="G1420" s="218" t="s">
        <v>1841</v>
      </c>
    </row>
    <row r="1421" spans="1:7" x14ac:dyDescent="0.15">
      <c r="A1421" s="218" t="s">
        <v>9996</v>
      </c>
      <c r="B1421" s="218" t="s">
        <v>9997</v>
      </c>
      <c r="C1421" s="218" t="s">
        <v>3534</v>
      </c>
      <c r="D1421" s="218" t="s">
        <v>9998</v>
      </c>
      <c r="E1421" s="218" t="s">
        <v>1839</v>
      </c>
      <c r="F1421" s="218" t="s">
        <v>1840</v>
      </c>
      <c r="G1421" s="218" t="s">
        <v>1841</v>
      </c>
    </row>
    <row r="1422" spans="1:7" x14ac:dyDescent="0.15">
      <c r="A1422" s="218" t="s">
        <v>9999</v>
      </c>
      <c r="B1422" s="218" t="s">
        <v>932</v>
      </c>
      <c r="C1422" s="218" t="s">
        <v>3534</v>
      </c>
      <c r="D1422" s="218" t="s">
        <v>933</v>
      </c>
      <c r="E1422" s="218" t="s">
        <v>1839</v>
      </c>
      <c r="F1422" s="218" t="s">
        <v>1840</v>
      </c>
      <c r="G1422" s="218" t="s">
        <v>1841</v>
      </c>
    </row>
    <row r="1423" spans="1:7" x14ac:dyDescent="0.15">
      <c r="A1423" s="218" t="s">
        <v>4672</v>
      </c>
      <c r="B1423" s="218" t="s">
        <v>4673</v>
      </c>
      <c r="C1423" s="218" t="s">
        <v>3534</v>
      </c>
      <c r="D1423" s="218" t="s">
        <v>4674</v>
      </c>
      <c r="E1423" s="218" t="s">
        <v>1839</v>
      </c>
      <c r="F1423" s="218" t="s">
        <v>1840</v>
      </c>
      <c r="G1423" s="218" t="s">
        <v>1841</v>
      </c>
    </row>
    <row r="1424" spans="1:7" x14ac:dyDescent="0.15">
      <c r="A1424" s="218" t="s">
        <v>4675</v>
      </c>
      <c r="B1424" s="218" t="s">
        <v>4676</v>
      </c>
      <c r="C1424" s="218" t="s">
        <v>3534</v>
      </c>
      <c r="D1424" s="218" t="s">
        <v>4677</v>
      </c>
      <c r="E1424" s="218" t="s">
        <v>1839</v>
      </c>
      <c r="F1424" s="218" t="s">
        <v>1840</v>
      </c>
      <c r="G1424" s="218" t="s">
        <v>1841</v>
      </c>
    </row>
    <row r="1425" spans="1:7" x14ac:dyDescent="0.15">
      <c r="A1425" s="218" t="s">
        <v>4678</v>
      </c>
      <c r="B1425" s="218" t="s">
        <v>4679</v>
      </c>
      <c r="C1425" s="218" t="s">
        <v>3534</v>
      </c>
      <c r="D1425" s="218" t="s">
        <v>4680</v>
      </c>
      <c r="E1425" s="218" t="s">
        <v>1839</v>
      </c>
      <c r="F1425" s="218" t="s">
        <v>1840</v>
      </c>
      <c r="G1425" s="218" t="s">
        <v>1841</v>
      </c>
    </row>
    <row r="1426" spans="1:7" x14ac:dyDescent="0.15">
      <c r="A1426" s="218" t="s">
        <v>10000</v>
      </c>
      <c r="B1426" s="218" t="s">
        <v>10001</v>
      </c>
      <c r="C1426" s="218" t="s">
        <v>3534</v>
      </c>
      <c r="D1426" s="218" t="s">
        <v>10002</v>
      </c>
      <c r="E1426" s="218" t="s">
        <v>1839</v>
      </c>
      <c r="F1426" s="218" t="s">
        <v>1840</v>
      </c>
      <c r="G1426" s="218" t="s">
        <v>1841</v>
      </c>
    </row>
    <row r="1427" spans="1:7" x14ac:dyDescent="0.15">
      <c r="A1427" s="218" t="s">
        <v>4681</v>
      </c>
      <c r="B1427" s="218" t="s">
        <v>4682</v>
      </c>
      <c r="C1427" s="218" t="s">
        <v>3534</v>
      </c>
      <c r="D1427" s="218" t="s">
        <v>4683</v>
      </c>
      <c r="E1427" s="218" t="s">
        <v>1839</v>
      </c>
      <c r="F1427" s="218" t="s">
        <v>1840</v>
      </c>
      <c r="G1427" s="218" t="s">
        <v>1841</v>
      </c>
    </row>
    <row r="1428" spans="1:7" x14ac:dyDescent="0.15">
      <c r="A1428" s="218" t="s">
        <v>4684</v>
      </c>
      <c r="B1428" s="218" t="s">
        <v>4685</v>
      </c>
      <c r="C1428" s="218" t="s">
        <v>3534</v>
      </c>
      <c r="D1428" s="218" t="s">
        <v>4686</v>
      </c>
      <c r="E1428" s="218" t="s">
        <v>1839</v>
      </c>
      <c r="F1428" s="218" t="s">
        <v>1840</v>
      </c>
      <c r="G1428" s="218" t="s">
        <v>1841</v>
      </c>
    </row>
    <row r="1429" spans="1:7" x14ac:dyDescent="0.15">
      <c r="A1429" s="218" t="s">
        <v>4687</v>
      </c>
      <c r="B1429" s="218" t="s">
        <v>4688</v>
      </c>
      <c r="C1429" s="218" t="s">
        <v>3534</v>
      </c>
      <c r="D1429" s="218" t="s">
        <v>4689</v>
      </c>
      <c r="E1429" s="218" t="s">
        <v>1839</v>
      </c>
      <c r="F1429" s="218" t="s">
        <v>1840</v>
      </c>
      <c r="G1429" s="218" t="s">
        <v>1841</v>
      </c>
    </row>
    <row r="1430" spans="1:7" x14ac:dyDescent="0.15">
      <c r="A1430" s="218" t="s">
        <v>10003</v>
      </c>
      <c r="B1430" s="218" t="s">
        <v>1626</v>
      </c>
      <c r="C1430" s="218" t="s">
        <v>3534</v>
      </c>
      <c r="D1430" s="218" t="s">
        <v>1627</v>
      </c>
      <c r="E1430" s="218" t="s">
        <v>1839</v>
      </c>
      <c r="F1430" s="218" t="s">
        <v>1840</v>
      </c>
      <c r="G1430" s="218" t="s">
        <v>1841</v>
      </c>
    </row>
    <row r="1431" spans="1:7" x14ac:dyDescent="0.15">
      <c r="A1431" s="218" t="s">
        <v>10004</v>
      </c>
      <c r="B1431" s="218" t="s">
        <v>1480</v>
      </c>
      <c r="C1431" s="218" t="s">
        <v>3534</v>
      </c>
      <c r="D1431" s="218" t="s">
        <v>1481</v>
      </c>
      <c r="E1431" s="218" t="s">
        <v>1839</v>
      </c>
      <c r="F1431" s="218" t="s">
        <v>1840</v>
      </c>
      <c r="G1431" s="218" t="s">
        <v>1841</v>
      </c>
    </row>
    <row r="1432" spans="1:7" x14ac:dyDescent="0.15">
      <c r="A1432" s="218" t="s">
        <v>10005</v>
      </c>
      <c r="B1432" s="218" t="s">
        <v>10006</v>
      </c>
      <c r="C1432" s="218" t="s">
        <v>3534</v>
      </c>
      <c r="D1432" s="218" t="s">
        <v>10007</v>
      </c>
      <c r="E1432" s="218" t="s">
        <v>1839</v>
      </c>
      <c r="F1432" s="218" t="s">
        <v>1840</v>
      </c>
      <c r="G1432" s="218" t="s">
        <v>1841</v>
      </c>
    </row>
    <row r="1433" spans="1:7" x14ac:dyDescent="0.15">
      <c r="A1433" s="218" t="s">
        <v>4690</v>
      </c>
      <c r="B1433" s="218" t="s">
        <v>4691</v>
      </c>
      <c r="C1433" s="218" t="s">
        <v>3534</v>
      </c>
      <c r="D1433" s="218" t="s">
        <v>2555</v>
      </c>
      <c r="E1433" s="218" t="s">
        <v>1839</v>
      </c>
      <c r="F1433" s="218" t="s">
        <v>1840</v>
      </c>
      <c r="G1433" s="218" t="s">
        <v>1841</v>
      </c>
    </row>
    <row r="1434" spans="1:7" x14ac:dyDescent="0.15">
      <c r="A1434" s="218" t="s">
        <v>4692</v>
      </c>
      <c r="B1434" s="218" t="s">
        <v>4693</v>
      </c>
      <c r="C1434" s="218" t="s">
        <v>3534</v>
      </c>
      <c r="D1434" s="218" t="s">
        <v>4694</v>
      </c>
      <c r="E1434" s="218" t="s">
        <v>1839</v>
      </c>
      <c r="F1434" s="218" t="s">
        <v>1840</v>
      </c>
      <c r="G1434" s="218" t="s">
        <v>1841</v>
      </c>
    </row>
    <row r="1435" spans="1:7" x14ac:dyDescent="0.15">
      <c r="A1435" s="218" t="s">
        <v>11624</v>
      </c>
      <c r="B1435" s="218" t="s">
        <v>11625</v>
      </c>
      <c r="C1435" s="218" t="s">
        <v>3534</v>
      </c>
      <c r="D1435" s="218" t="s">
        <v>11626</v>
      </c>
      <c r="E1435" s="218" t="s">
        <v>1839</v>
      </c>
      <c r="F1435" s="218" t="s">
        <v>1840</v>
      </c>
      <c r="G1435" s="218" t="s">
        <v>1841</v>
      </c>
    </row>
    <row r="1436" spans="1:7" x14ac:dyDescent="0.15">
      <c r="A1436" s="218" t="s">
        <v>4695</v>
      </c>
      <c r="B1436" s="218" t="s">
        <v>4696</v>
      </c>
      <c r="C1436" s="218" t="s">
        <v>3534</v>
      </c>
      <c r="D1436" s="218" t="s">
        <v>4697</v>
      </c>
      <c r="E1436" s="218" t="s">
        <v>1839</v>
      </c>
      <c r="F1436" s="218" t="s">
        <v>1840</v>
      </c>
      <c r="G1436" s="218" t="s">
        <v>1841</v>
      </c>
    </row>
    <row r="1437" spans="1:7" x14ac:dyDescent="0.15">
      <c r="A1437" s="218" t="s">
        <v>10008</v>
      </c>
      <c r="B1437" s="218" t="s">
        <v>10009</v>
      </c>
      <c r="C1437" s="218" t="s">
        <v>3534</v>
      </c>
      <c r="D1437" s="218" t="s">
        <v>10010</v>
      </c>
      <c r="E1437" s="218" t="s">
        <v>1839</v>
      </c>
      <c r="F1437" s="218" t="s">
        <v>1840</v>
      </c>
      <c r="G1437" s="218" t="s">
        <v>1841</v>
      </c>
    </row>
    <row r="1438" spans="1:7" x14ac:dyDescent="0.15">
      <c r="A1438" s="218" t="s">
        <v>4698</v>
      </c>
      <c r="B1438" s="218" t="s">
        <v>4699</v>
      </c>
      <c r="C1438" s="218" t="s">
        <v>3534</v>
      </c>
      <c r="D1438" s="218" t="s">
        <v>4700</v>
      </c>
      <c r="E1438" s="218" t="s">
        <v>1839</v>
      </c>
      <c r="F1438" s="218" t="s">
        <v>1840</v>
      </c>
      <c r="G1438" s="218" t="s">
        <v>1841</v>
      </c>
    </row>
    <row r="1439" spans="1:7" x14ac:dyDescent="0.15">
      <c r="A1439" s="218" t="s">
        <v>10011</v>
      </c>
      <c r="B1439" s="218" t="s">
        <v>10012</v>
      </c>
      <c r="C1439" s="218" t="s">
        <v>3534</v>
      </c>
      <c r="D1439" s="218" t="s">
        <v>10013</v>
      </c>
      <c r="E1439" s="218" t="s">
        <v>1839</v>
      </c>
      <c r="F1439" s="218" t="s">
        <v>1840</v>
      </c>
      <c r="G1439" s="218" t="s">
        <v>1841</v>
      </c>
    </row>
    <row r="1440" spans="1:7" x14ac:dyDescent="0.15">
      <c r="A1440" s="218" t="s">
        <v>4701</v>
      </c>
      <c r="B1440" s="218" t="s">
        <v>4702</v>
      </c>
      <c r="C1440" s="218" t="s">
        <v>3534</v>
      </c>
      <c r="D1440" s="218" t="s">
        <v>4703</v>
      </c>
      <c r="E1440" s="218" t="s">
        <v>1839</v>
      </c>
      <c r="F1440" s="218" t="s">
        <v>1840</v>
      </c>
      <c r="G1440" s="218" t="s">
        <v>1841</v>
      </c>
    </row>
    <row r="1441" spans="1:7" x14ac:dyDescent="0.15">
      <c r="A1441" s="218" t="s">
        <v>4704</v>
      </c>
      <c r="B1441" s="218" t="s">
        <v>4705</v>
      </c>
      <c r="C1441" s="218" t="s">
        <v>3534</v>
      </c>
      <c r="D1441" s="218" t="s">
        <v>4706</v>
      </c>
      <c r="E1441" s="218" t="s">
        <v>1839</v>
      </c>
      <c r="F1441" s="218" t="s">
        <v>1840</v>
      </c>
      <c r="G1441" s="218" t="s">
        <v>1841</v>
      </c>
    </row>
    <row r="1442" spans="1:7" x14ac:dyDescent="0.15">
      <c r="A1442" s="218" t="s">
        <v>10014</v>
      </c>
      <c r="B1442" s="218" t="s">
        <v>10015</v>
      </c>
      <c r="C1442" s="218" t="s">
        <v>3534</v>
      </c>
      <c r="D1442" s="218" t="s">
        <v>10016</v>
      </c>
      <c r="E1442" s="218" t="s">
        <v>1839</v>
      </c>
      <c r="F1442" s="218" t="s">
        <v>1840</v>
      </c>
      <c r="G1442" s="218" t="s">
        <v>1841</v>
      </c>
    </row>
    <row r="1443" spans="1:7" x14ac:dyDescent="0.15">
      <c r="A1443" s="218" t="s">
        <v>10017</v>
      </c>
      <c r="B1443" s="218" t="s">
        <v>10018</v>
      </c>
      <c r="C1443" s="218" t="s">
        <v>3534</v>
      </c>
      <c r="D1443" s="218" t="s">
        <v>10019</v>
      </c>
      <c r="E1443" s="218" t="s">
        <v>1935</v>
      </c>
      <c r="F1443" s="218" t="s">
        <v>1840</v>
      </c>
      <c r="G1443" s="218" t="s">
        <v>1841</v>
      </c>
    </row>
    <row r="1444" spans="1:7" x14ac:dyDescent="0.15">
      <c r="A1444" s="218" t="s">
        <v>10020</v>
      </c>
      <c r="B1444" s="218" t="s">
        <v>10021</v>
      </c>
      <c r="C1444" s="218" t="s">
        <v>3534</v>
      </c>
      <c r="D1444" s="218" t="s">
        <v>10022</v>
      </c>
      <c r="E1444" s="218" t="s">
        <v>1839</v>
      </c>
      <c r="F1444" s="218" t="s">
        <v>1840</v>
      </c>
      <c r="G1444" s="218" t="s">
        <v>1841</v>
      </c>
    </row>
    <row r="1445" spans="1:7" x14ac:dyDescent="0.15">
      <c r="A1445" s="218" t="s">
        <v>10023</v>
      </c>
      <c r="B1445" s="218" t="s">
        <v>10024</v>
      </c>
      <c r="C1445" s="218" t="s">
        <v>3534</v>
      </c>
      <c r="D1445" s="218" t="s">
        <v>10025</v>
      </c>
      <c r="E1445" s="218" t="s">
        <v>1839</v>
      </c>
      <c r="F1445" s="218" t="s">
        <v>1840</v>
      </c>
      <c r="G1445" s="218" t="s">
        <v>1841</v>
      </c>
    </row>
    <row r="1446" spans="1:7" x14ac:dyDescent="0.15">
      <c r="A1446" s="218" t="s">
        <v>10026</v>
      </c>
      <c r="B1446" s="218" t="s">
        <v>10027</v>
      </c>
      <c r="C1446" s="218" t="s">
        <v>3534</v>
      </c>
      <c r="D1446" s="218" t="s">
        <v>10028</v>
      </c>
      <c r="E1446" s="218" t="s">
        <v>1839</v>
      </c>
      <c r="F1446" s="218" t="s">
        <v>1840</v>
      </c>
      <c r="G1446" s="218" t="s">
        <v>1841</v>
      </c>
    </row>
    <row r="1447" spans="1:7" x14ac:dyDescent="0.15">
      <c r="A1447" s="218" t="s">
        <v>4707</v>
      </c>
      <c r="B1447" s="218" t="s">
        <v>4708</v>
      </c>
      <c r="C1447" s="218" t="s">
        <v>3534</v>
      </c>
      <c r="D1447" s="218" t="s">
        <v>4709</v>
      </c>
      <c r="E1447" s="218" t="s">
        <v>1839</v>
      </c>
      <c r="F1447" s="218" t="s">
        <v>1840</v>
      </c>
      <c r="G1447" s="218" t="s">
        <v>1841</v>
      </c>
    </row>
    <row r="1448" spans="1:7" x14ac:dyDescent="0.15">
      <c r="A1448" s="218" t="s">
        <v>10029</v>
      </c>
      <c r="B1448" s="218" t="s">
        <v>10030</v>
      </c>
      <c r="C1448" s="218" t="s">
        <v>3534</v>
      </c>
      <c r="D1448" s="218" t="s">
        <v>10031</v>
      </c>
      <c r="E1448" s="218" t="s">
        <v>1935</v>
      </c>
      <c r="F1448" s="218" t="s">
        <v>1840</v>
      </c>
      <c r="G1448" s="218" t="s">
        <v>1841</v>
      </c>
    </row>
    <row r="1449" spans="1:7" x14ac:dyDescent="0.15">
      <c r="A1449" s="218" t="s">
        <v>11627</v>
      </c>
      <c r="B1449" s="218" t="s">
        <v>11628</v>
      </c>
      <c r="C1449" s="218" t="s">
        <v>3534</v>
      </c>
      <c r="D1449" s="218" t="s">
        <v>11629</v>
      </c>
      <c r="E1449" s="218" t="s">
        <v>1839</v>
      </c>
      <c r="F1449" s="218" t="s">
        <v>1840</v>
      </c>
      <c r="G1449" s="218" t="s">
        <v>1841</v>
      </c>
    </row>
    <row r="1450" spans="1:7" x14ac:dyDescent="0.15">
      <c r="A1450" s="218" t="s">
        <v>10032</v>
      </c>
      <c r="B1450" s="218" t="s">
        <v>1084</v>
      </c>
      <c r="C1450" s="218" t="s">
        <v>3534</v>
      </c>
      <c r="D1450" s="218" t="s">
        <v>1085</v>
      </c>
      <c r="E1450" s="218" t="s">
        <v>1839</v>
      </c>
      <c r="F1450" s="218" t="s">
        <v>1840</v>
      </c>
      <c r="G1450" s="218" t="s">
        <v>1841</v>
      </c>
    </row>
    <row r="1451" spans="1:7" x14ac:dyDescent="0.15">
      <c r="A1451" s="218" t="s">
        <v>10033</v>
      </c>
      <c r="B1451" s="218" t="s">
        <v>1019</v>
      </c>
      <c r="C1451" s="218" t="s">
        <v>3534</v>
      </c>
      <c r="D1451" s="218" t="s">
        <v>1020</v>
      </c>
      <c r="E1451" s="218" t="s">
        <v>1839</v>
      </c>
      <c r="F1451" s="218" t="s">
        <v>1840</v>
      </c>
      <c r="G1451" s="218" t="s">
        <v>1841</v>
      </c>
    </row>
    <row r="1452" spans="1:7" x14ac:dyDescent="0.15">
      <c r="A1452" s="218" t="s">
        <v>4713</v>
      </c>
      <c r="B1452" s="218" t="s">
        <v>4714</v>
      </c>
      <c r="C1452" s="218" t="s">
        <v>3534</v>
      </c>
      <c r="D1452" s="218" t="s">
        <v>4715</v>
      </c>
      <c r="E1452" s="218" t="s">
        <v>1839</v>
      </c>
      <c r="F1452" s="218" t="s">
        <v>1840</v>
      </c>
      <c r="G1452" s="218" t="s">
        <v>1841</v>
      </c>
    </row>
    <row r="1453" spans="1:7" x14ac:dyDescent="0.15">
      <c r="A1453" s="218" t="s">
        <v>4716</v>
      </c>
      <c r="B1453" s="218" t="s">
        <v>4717</v>
      </c>
      <c r="C1453" s="218" t="s">
        <v>3534</v>
      </c>
      <c r="D1453" s="218" t="s">
        <v>4718</v>
      </c>
      <c r="E1453" s="218" t="s">
        <v>1839</v>
      </c>
      <c r="F1453" s="218" t="s">
        <v>1840</v>
      </c>
      <c r="G1453" s="218" t="s">
        <v>1841</v>
      </c>
    </row>
    <row r="1454" spans="1:7" x14ac:dyDescent="0.15">
      <c r="A1454" s="218" t="s">
        <v>4719</v>
      </c>
      <c r="B1454" s="218" t="s">
        <v>4720</v>
      </c>
      <c r="C1454" s="218" t="s">
        <v>3534</v>
      </c>
      <c r="D1454" s="218" t="s">
        <v>4721</v>
      </c>
      <c r="E1454" s="218" t="s">
        <v>1839</v>
      </c>
      <c r="F1454" s="218" t="s">
        <v>1840</v>
      </c>
      <c r="G1454" s="218" t="s">
        <v>1841</v>
      </c>
    </row>
    <row r="1455" spans="1:7" x14ac:dyDescent="0.15">
      <c r="A1455" s="218" t="s">
        <v>4722</v>
      </c>
      <c r="B1455" s="218" t="s">
        <v>4723</v>
      </c>
      <c r="C1455" s="218" t="s">
        <v>3534</v>
      </c>
      <c r="D1455" s="218" t="s">
        <v>4724</v>
      </c>
      <c r="E1455" s="218" t="s">
        <v>1839</v>
      </c>
      <c r="F1455" s="218" t="s">
        <v>1840</v>
      </c>
      <c r="G1455" s="218" t="s">
        <v>1841</v>
      </c>
    </row>
    <row r="1456" spans="1:7" x14ac:dyDescent="0.15">
      <c r="A1456" s="218" t="s">
        <v>10034</v>
      </c>
      <c r="B1456" s="218" t="s">
        <v>10035</v>
      </c>
      <c r="C1456" s="218" t="s">
        <v>3534</v>
      </c>
      <c r="D1456" s="218" t="s">
        <v>10036</v>
      </c>
      <c r="E1456" s="218" t="s">
        <v>1839</v>
      </c>
      <c r="F1456" s="218" t="s">
        <v>1840</v>
      </c>
      <c r="G1456" s="218" t="s">
        <v>1841</v>
      </c>
    </row>
    <row r="1457" spans="1:7" x14ac:dyDescent="0.15">
      <c r="A1457" s="218" t="s">
        <v>4725</v>
      </c>
      <c r="B1457" s="218" t="s">
        <v>4726</v>
      </c>
      <c r="C1457" s="218" t="s">
        <v>3534</v>
      </c>
      <c r="D1457" s="218" t="s">
        <v>4727</v>
      </c>
      <c r="E1457" s="218" t="s">
        <v>1839</v>
      </c>
      <c r="F1457" s="218" t="s">
        <v>1840</v>
      </c>
      <c r="G1457" s="218" t="s">
        <v>1841</v>
      </c>
    </row>
    <row r="1458" spans="1:7" x14ac:dyDescent="0.15">
      <c r="A1458" s="218" t="s">
        <v>10037</v>
      </c>
      <c r="B1458" s="218" t="s">
        <v>10038</v>
      </c>
      <c r="C1458" s="218" t="s">
        <v>3534</v>
      </c>
      <c r="D1458" s="218" t="s">
        <v>10039</v>
      </c>
      <c r="E1458" s="218" t="s">
        <v>1839</v>
      </c>
      <c r="F1458" s="218" t="s">
        <v>1840</v>
      </c>
      <c r="G1458" s="218" t="s">
        <v>1841</v>
      </c>
    </row>
    <row r="1459" spans="1:7" x14ac:dyDescent="0.15">
      <c r="A1459" s="218" t="s">
        <v>10040</v>
      </c>
      <c r="B1459" s="218" t="s">
        <v>1473</v>
      </c>
      <c r="C1459" s="218" t="s">
        <v>3534</v>
      </c>
      <c r="D1459" s="218" t="s">
        <v>1474</v>
      </c>
      <c r="E1459" s="218" t="s">
        <v>1839</v>
      </c>
      <c r="F1459" s="218" t="s">
        <v>1840</v>
      </c>
      <c r="G1459" s="218" t="s">
        <v>1841</v>
      </c>
    </row>
    <row r="1460" spans="1:7" x14ac:dyDescent="0.15">
      <c r="A1460" s="218" t="s">
        <v>4728</v>
      </c>
      <c r="B1460" s="218" t="s">
        <v>4729</v>
      </c>
      <c r="C1460" s="218" t="s">
        <v>3534</v>
      </c>
      <c r="D1460" s="218" t="s">
        <v>4730</v>
      </c>
      <c r="E1460" s="218" t="s">
        <v>1839</v>
      </c>
      <c r="F1460" s="218" t="s">
        <v>1840</v>
      </c>
      <c r="G1460" s="218" t="s">
        <v>1841</v>
      </c>
    </row>
    <row r="1461" spans="1:7" x14ac:dyDescent="0.15">
      <c r="A1461" s="218" t="s">
        <v>10041</v>
      </c>
      <c r="B1461" s="218" t="s">
        <v>10042</v>
      </c>
      <c r="C1461" s="218" t="s">
        <v>3534</v>
      </c>
      <c r="D1461" s="218" t="s">
        <v>1475</v>
      </c>
      <c r="E1461" s="218" t="s">
        <v>1935</v>
      </c>
      <c r="F1461" s="218" t="s">
        <v>1840</v>
      </c>
      <c r="G1461" s="218" t="s">
        <v>1841</v>
      </c>
    </row>
    <row r="1462" spans="1:7" x14ac:dyDescent="0.15">
      <c r="A1462" s="218" t="s">
        <v>10043</v>
      </c>
      <c r="B1462" s="218" t="s">
        <v>1545</v>
      </c>
      <c r="C1462" s="218" t="s">
        <v>3534</v>
      </c>
      <c r="D1462" s="218" t="s">
        <v>1546</v>
      </c>
      <c r="E1462" s="218" t="s">
        <v>1839</v>
      </c>
      <c r="F1462" s="218" t="s">
        <v>1840</v>
      </c>
      <c r="G1462" s="218" t="s">
        <v>1841</v>
      </c>
    </row>
    <row r="1463" spans="1:7" x14ac:dyDescent="0.15">
      <c r="A1463" s="218" t="s">
        <v>4731</v>
      </c>
      <c r="B1463" s="218" t="s">
        <v>4732</v>
      </c>
      <c r="C1463" s="218" t="s">
        <v>3534</v>
      </c>
      <c r="D1463" s="218" t="s">
        <v>4733</v>
      </c>
      <c r="E1463" s="218" t="s">
        <v>1839</v>
      </c>
      <c r="F1463" s="218" t="s">
        <v>1840</v>
      </c>
      <c r="G1463" s="218" t="s">
        <v>1841</v>
      </c>
    </row>
    <row r="1464" spans="1:7" x14ac:dyDescent="0.15">
      <c r="A1464" s="218" t="s">
        <v>10044</v>
      </c>
      <c r="B1464" s="218" t="s">
        <v>10045</v>
      </c>
      <c r="C1464" s="218" t="s">
        <v>3534</v>
      </c>
      <c r="D1464" s="218" t="s">
        <v>10046</v>
      </c>
      <c r="E1464" s="218" t="s">
        <v>1839</v>
      </c>
      <c r="F1464" s="218" t="s">
        <v>1840</v>
      </c>
      <c r="G1464" s="218" t="s">
        <v>1841</v>
      </c>
    </row>
    <row r="1465" spans="1:7" x14ac:dyDescent="0.15">
      <c r="A1465" s="218" t="s">
        <v>10047</v>
      </c>
      <c r="B1465" s="218" t="s">
        <v>10048</v>
      </c>
      <c r="C1465" s="218" t="s">
        <v>3534</v>
      </c>
      <c r="D1465" s="218" t="s">
        <v>10049</v>
      </c>
      <c r="E1465" s="218" t="s">
        <v>1839</v>
      </c>
      <c r="F1465" s="218" t="s">
        <v>1840</v>
      </c>
      <c r="G1465" s="218" t="s">
        <v>1841</v>
      </c>
    </row>
    <row r="1466" spans="1:7" x14ac:dyDescent="0.15">
      <c r="A1466" s="218" t="s">
        <v>11630</v>
      </c>
      <c r="B1466" s="218" t="s">
        <v>11631</v>
      </c>
      <c r="C1466" s="218" t="s">
        <v>3534</v>
      </c>
      <c r="D1466" s="218" t="s">
        <v>11632</v>
      </c>
      <c r="E1466" s="218" t="s">
        <v>1935</v>
      </c>
      <c r="F1466" s="218" t="s">
        <v>1840</v>
      </c>
      <c r="G1466" s="218" t="s">
        <v>1841</v>
      </c>
    </row>
    <row r="1467" spans="1:7" x14ac:dyDescent="0.15">
      <c r="A1467" s="218" t="s">
        <v>4734</v>
      </c>
      <c r="B1467" s="218" t="s">
        <v>4735</v>
      </c>
      <c r="C1467" s="218" t="s">
        <v>3534</v>
      </c>
      <c r="D1467" s="218" t="s">
        <v>4736</v>
      </c>
      <c r="E1467" s="218" t="s">
        <v>1839</v>
      </c>
      <c r="F1467" s="218" t="s">
        <v>1840</v>
      </c>
      <c r="G1467" s="218" t="s">
        <v>1841</v>
      </c>
    </row>
    <row r="1468" spans="1:7" x14ac:dyDescent="0.15">
      <c r="A1468" s="218" t="s">
        <v>4737</v>
      </c>
      <c r="B1468" s="218" t="s">
        <v>4738</v>
      </c>
      <c r="C1468" s="218" t="s">
        <v>3534</v>
      </c>
      <c r="D1468" s="218" t="s">
        <v>4739</v>
      </c>
      <c r="E1468" s="218" t="s">
        <v>1839</v>
      </c>
      <c r="F1468" s="218" t="s">
        <v>1840</v>
      </c>
      <c r="G1468" s="218" t="s">
        <v>1841</v>
      </c>
    </row>
    <row r="1469" spans="1:7" x14ac:dyDescent="0.15">
      <c r="A1469" s="218" t="s">
        <v>10050</v>
      </c>
      <c r="B1469" s="218" t="s">
        <v>10051</v>
      </c>
      <c r="C1469" s="218" t="s">
        <v>3534</v>
      </c>
      <c r="D1469" s="218" t="s">
        <v>10052</v>
      </c>
      <c r="E1469" s="218" t="s">
        <v>1839</v>
      </c>
      <c r="F1469" s="218" t="s">
        <v>1840</v>
      </c>
      <c r="G1469" s="218" t="s">
        <v>1841</v>
      </c>
    </row>
    <row r="1470" spans="1:7" x14ac:dyDescent="0.15">
      <c r="A1470" s="218" t="s">
        <v>4740</v>
      </c>
      <c r="B1470" s="218" t="s">
        <v>4741</v>
      </c>
      <c r="C1470" s="218" t="s">
        <v>3534</v>
      </c>
      <c r="D1470" s="218" t="s">
        <v>4742</v>
      </c>
      <c r="E1470" s="218" t="s">
        <v>1839</v>
      </c>
      <c r="F1470" s="218" t="s">
        <v>1840</v>
      </c>
      <c r="G1470" s="218" t="s">
        <v>1841</v>
      </c>
    </row>
    <row r="1471" spans="1:7" x14ac:dyDescent="0.15">
      <c r="A1471" s="218" t="s">
        <v>10053</v>
      </c>
      <c r="B1471" s="218" t="s">
        <v>10054</v>
      </c>
      <c r="C1471" s="218" t="s">
        <v>3534</v>
      </c>
      <c r="D1471" s="218" t="s">
        <v>10055</v>
      </c>
      <c r="E1471" s="218" t="s">
        <v>1839</v>
      </c>
      <c r="F1471" s="218" t="s">
        <v>1840</v>
      </c>
      <c r="G1471" s="218" t="s">
        <v>1841</v>
      </c>
    </row>
    <row r="1472" spans="1:7" x14ac:dyDescent="0.15">
      <c r="A1472" s="218" t="s">
        <v>10056</v>
      </c>
      <c r="B1472" s="218" t="s">
        <v>10057</v>
      </c>
      <c r="C1472" s="218" t="s">
        <v>3534</v>
      </c>
      <c r="D1472" s="218" t="s">
        <v>10058</v>
      </c>
      <c r="E1472" s="218" t="s">
        <v>1839</v>
      </c>
      <c r="F1472" s="218" t="s">
        <v>1840</v>
      </c>
      <c r="G1472" s="218" t="s">
        <v>1841</v>
      </c>
    </row>
    <row r="1473" spans="1:7" x14ac:dyDescent="0.15">
      <c r="A1473" s="218" t="s">
        <v>4743</v>
      </c>
      <c r="B1473" s="218" t="s">
        <v>4744</v>
      </c>
      <c r="C1473" s="218" t="s">
        <v>3534</v>
      </c>
      <c r="D1473" s="218" t="s">
        <v>4745</v>
      </c>
      <c r="E1473" s="218" t="s">
        <v>1839</v>
      </c>
      <c r="F1473" s="218" t="s">
        <v>1840</v>
      </c>
      <c r="G1473" s="218" t="s">
        <v>1841</v>
      </c>
    </row>
    <row r="1474" spans="1:7" x14ac:dyDescent="0.15">
      <c r="A1474" s="218" t="s">
        <v>4746</v>
      </c>
      <c r="B1474" s="218" t="s">
        <v>4747</v>
      </c>
      <c r="C1474" s="218" t="s">
        <v>3534</v>
      </c>
      <c r="D1474" s="218" t="s">
        <v>4748</v>
      </c>
      <c r="E1474" s="218" t="s">
        <v>1839</v>
      </c>
      <c r="F1474" s="218" t="s">
        <v>1840</v>
      </c>
      <c r="G1474" s="218" t="s">
        <v>1841</v>
      </c>
    </row>
    <row r="1475" spans="1:7" x14ac:dyDescent="0.15">
      <c r="A1475" s="218" t="s">
        <v>4749</v>
      </c>
      <c r="B1475" s="218" t="s">
        <v>4750</v>
      </c>
      <c r="C1475" s="218" t="s">
        <v>3534</v>
      </c>
      <c r="D1475" s="218" t="s">
        <v>4751</v>
      </c>
      <c r="E1475" s="218" t="s">
        <v>1839</v>
      </c>
      <c r="F1475" s="218" t="s">
        <v>1840</v>
      </c>
      <c r="G1475" s="218" t="s">
        <v>1841</v>
      </c>
    </row>
    <row r="1476" spans="1:7" x14ac:dyDescent="0.15">
      <c r="A1476" s="218" t="s">
        <v>4752</v>
      </c>
      <c r="B1476" s="218" t="s">
        <v>548</v>
      </c>
      <c r="C1476" s="218" t="s">
        <v>3534</v>
      </c>
      <c r="D1476" s="218" t="s">
        <v>4753</v>
      </c>
      <c r="E1476" s="218" t="s">
        <v>1935</v>
      </c>
      <c r="F1476" s="218" t="s">
        <v>1840</v>
      </c>
      <c r="G1476" s="218" t="s">
        <v>1841</v>
      </c>
    </row>
    <row r="1477" spans="1:7" x14ac:dyDescent="0.15">
      <c r="A1477" s="218" t="s">
        <v>10059</v>
      </c>
      <c r="B1477" s="218" t="s">
        <v>10060</v>
      </c>
      <c r="C1477" s="218" t="s">
        <v>3534</v>
      </c>
      <c r="D1477" s="218" t="s">
        <v>9108</v>
      </c>
      <c r="E1477" s="218" t="s">
        <v>1839</v>
      </c>
      <c r="F1477" s="218" t="s">
        <v>1840</v>
      </c>
      <c r="G1477" s="218" t="s">
        <v>1841</v>
      </c>
    </row>
    <row r="1478" spans="1:7" x14ac:dyDescent="0.15">
      <c r="A1478" s="218" t="s">
        <v>10061</v>
      </c>
      <c r="B1478" s="218" t="s">
        <v>10062</v>
      </c>
      <c r="C1478" s="218" t="s">
        <v>3534</v>
      </c>
      <c r="D1478" s="218" t="s">
        <v>4754</v>
      </c>
      <c r="E1478" s="218" t="s">
        <v>1839</v>
      </c>
      <c r="F1478" s="218" t="s">
        <v>1840</v>
      </c>
      <c r="G1478" s="218" t="s">
        <v>1841</v>
      </c>
    </row>
    <row r="1479" spans="1:7" x14ac:dyDescent="0.15">
      <c r="A1479" s="218" t="s">
        <v>10063</v>
      </c>
      <c r="B1479" s="218" t="s">
        <v>1732</v>
      </c>
      <c r="C1479" s="218" t="s">
        <v>3534</v>
      </c>
      <c r="D1479" s="218" t="s">
        <v>1733</v>
      </c>
      <c r="E1479" s="218" t="s">
        <v>1839</v>
      </c>
      <c r="F1479" s="218" t="s">
        <v>1840</v>
      </c>
      <c r="G1479" s="218" t="s">
        <v>1841</v>
      </c>
    </row>
    <row r="1480" spans="1:7" x14ac:dyDescent="0.15">
      <c r="A1480" s="218" t="s">
        <v>10064</v>
      </c>
      <c r="B1480" s="218" t="s">
        <v>1566</v>
      </c>
      <c r="C1480" s="218" t="s">
        <v>3534</v>
      </c>
      <c r="D1480" s="218" t="s">
        <v>1567</v>
      </c>
      <c r="E1480" s="218" t="s">
        <v>1839</v>
      </c>
      <c r="F1480" s="218" t="s">
        <v>1840</v>
      </c>
      <c r="G1480" s="218" t="s">
        <v>1841</v>
      </c>
    </row>
    <row r="1481" spans="1:7" x14ac:dyDescent="0.15">
      <c r="A1481" s="218" t="s">
        <v>10065</v>
      </c>
      <c r="B1481" s="218" t="s">
        <v>10066</v>
      </c>
      <c r="C1481" s="218" t="s">
        <v>3534</v>
      </c>
      <c r="D1481" s="218" t="s">
        <v>10067</v>
      </c>
      <c r="E1481" s="218" t="s">
        <v>1839</v>
      </c>
      <c r="F1481" s="218" t="s">
        <v>1840</v>
      </c>
      <c r="G1481" s="218" t="s">
        <v>1841</v>
      </c>
    </row>
    <row r="1482" spans="1:7" x14ac:dyDescent="0.15">
      <c r="A1482" s="218" t="s">
        <v>4755</v>
      </c>
      <c r="B1482" s="218" t="s">
        <v>4756</v>
      </c>
      <c r="C1482" s="218" t="s">
        <v>3534</v>
      </c>
      <c r="D1482" s="218" t="s">
        <v>4757</v>
      </c>
      <c r="E1482" s="218" t="s">
        <v>1839</v>
      </c>
      <c r="F1482" s="218" t="s">
        <v>1840</v>
      </c>
      <c r="G1482" s="218" t="s">
        <v>1841</v>
      </c>
    </row>
    <row r="1483" spans="1:7" x14ac:dyDescent="0.15">
      <c r="A1483" s="218" t="s">
        <v>4758</v>
      </c>
      <c r="B1483" s="218" t="s">
        <v>4759</v>
      </c>
      <c r="C1483" s="218" t="s">
        <v>3534</v>
      </c>
      <c r="D1483" s="218" t="s">
        <v>4760</v>
      </c>
      <c r="E1483" s="218" t="s">
        <v>1839</v>
      </c>
      <c r="F1483" s="218" t="s">
        <v>1840</v>
      </c>
      <c r="G1483" s="218" t="s">
        <v>1841</v>
      </c>
    </row>
    <row r="1484" spans="1:7" x14ac:dyDescent="0.15">
      <c r="A1484" s="218" t="s">
        <v>10068</v>
      </c>
      <c r="B1484" s="218" t="s">
        <v>998</v>
      </c>
      <c r="C1484" s="218" t="s">
        <v>3534</v>
      </c>
      <c r="D1484" s="218" t="s">
        <v>999</v>
      </c>
      <c r="E1484" s="218" t="s">
        <v>1839</v>
      </c>
      <c r="F1484" s="218" t="s">
        <v>1840</v>
      </c>
      <c r="G1484" s="218" t="s">
        <v>1841</v>
      </c>
    </row>
    <row r="1485" spans="1:7" x14ac:dyDescent="0.15">
      <c r="A1485" s="218" t="s">
        <v>4761</v>
      </c>
      <c r="B1485" s="218" t="s">
        <v>4762</v>
      </c>
      <c r="C1485" s="218" t="s">
        <v>3534</v>
      </c>
      <c r="D1485" s="218" t="s">
        <v>4763</v>
      </c>
      <c r="E1485" s="218" t="s">
        <v>1839</v>
      </c>
      <c r="F1485" s="218" t="s">
        <v>1840</v>
      </c>
      <c r="G1485" s="218" t="s">
        <v>1841</v>
      </c>
    </row>
    <row r="1486" spans="1:7" x14ac:dyDescent="0.15">
      <c r="A1486" s="218" t="s">
        <v>4764</v>
      </c>
      <c r="B1486" s="218" t="s">
        <v>4765</v>
      </c>
      <c r="C1486" s="218" t="s">
        <v>3534</v>
      </c>
      <c r="D1486" s="218" t="s">
        <v>4766</v>
      </c>
      <c r="E1486" s="218" t="s">
        <v>1839</v>
      </c>
      <c r="F1486" s="218" t="s">
        <v>1840</v>
      </c>
      <c r="G1486" s="218" t="s">
        <v>1841</v>
      </c>
    </row>
    <row r="1487" spans="1:7" x14ac:dyDescent="0.15">
      <c r="A1487" s="218" t="s">
        <v>10069</v>
      </c>
      <c r="B1487" s="218" t="s">
        <v>10070</v>
      </c>
      <c r="C1487" s="218" t="s">
        <v>3534</v>
      </c>
      <c r="D1487" s="218" t="s">
        <v>7464</v>
      </c>
      <c r="E1487" s="218" t="s">
        <v>1839</v>
      </c>
      <c r="F1487" s="218" t="s">
        <v>1840</v>
      </c>
      <c r="G1487" s="218" t="s">
        <v>1841</v>
      </c>
    </row>
    <row r="1488" spans="1:7" x14ac:dyDescent="0.15">
      <c r="A1488" s="218" t="s">
        <v>10071</v>
      </c>
      <c r="B1488" s="218" t="s">
        <v>10072</v>
      </c>
      <c r="C1488" s="218" t="s">
        <v>3534</v>
      </c>
      <c r="D1488" s="218" t="s">
        <v>10073</v>
      </c>
      <c r="E1488" s="218" t="s">
        <v>1839</v>
      </c>
      <c r="F1488" s="218" t="s">
        <v>1840</v>
      </c>
      <c r="G1488" s="218" t="s">
        <v>1841</v>
      </c>
    </row>
    <row r="1489" spans="1:7" x14ac:dyDescent="0.15">
      <c r="A1489" s="218" t="s">
        <v>11633</v>
      </c>
      <c r="B1489" s="218" t="s">
        <v>11634</v>
      </c>
      <c r="C1489" s="218" t="s">
        <v>3534</v>
      </c>
      <c r="D1489" s="218" t="s">
        <v>11635</v>
      </c>
      <c r="E1489" s="218" t="s">
        <v>1839</v>
      </c>
      <c r="F1489" s="218" t="s">
        <v>1840</v>
      </c>
      <c r="G1489" s="218" t="s">
        <v>1841</v>
      </c>
    </row>
    <row r="1490" spans="1:7" x14ac:dyDescent="0.15">
      <c r="A1490" s="218" t="s">
        <v>10074</v>
      </c>
      <c r="B1490" s="218" t="s">
        <v>1269</v>
      </c>
      <c r="C1490" s="218" t="s">
        <v>3534</v>
      </c>
      <c r="D1490" s="218" t="s">
        <v>1270</v>
      </c>
      <c r="E1490" s="218" t="s">
        <v>1839</v>
      </c>
      <c r="F1490" s="218" t="s">
        <v>1840</v>
      </c>
      <c r="G1490" s="218" t="s">
        <v>1841</v>
      </c>
    </row>
    <row r="1491" spans="1:7" x14ac:dyDescent="0.15">
      <c r="A1491" s="218" t="s">
        <v>10075</v>
      </c>
      <c r="B1491" s="218" t="s">
        <v>981</v>
      </c>
      <c r="C1491" s="218" t="s">
        <v>3534</v>
      </c>
      <c r="D1491" s="218" t="s">
        <v>982</v>
      </c>
      <c r="E1491" s="218" t="s">
        <v>1839</v>
      </c>
      <c r="F1491" s="218" t="s">
        <v>1840</v>
      </c>
      <c r="G1491" s="218" t="s">
        <v>1841</v>
      </c>
    </row>
    <row r="1492" spans="1:7" x14ac:dyDescent="0.15">
      <c r="A1492" s="218" t="s">
        <v>4767</v>
      </c>
      <c r="B1492" s="218" t="s">
        <v>4768</v>
      </c>
      <c r="C1492" s="218" t="s">
        <v>3534</v>
      </c>
      <c r="D1492" s="218" t="s">
        <v>4769</v>
      </c>
      <c r="E1492" s="218" t="s">
        <v>1839</v>
      </c>
      <c r="F1492" s="218" t="s">
        <v>1840</v>
      </c>
      <c r="G1492" s="218" t="s">
        <v>1841</v>
      </c>
    </row>
    <row r="1493" spans="1:7" x14ac:dyDescent="0.15">
      <c r="A1493" s="218" t="s">
        <v>10076</v>
      </c>
      <c r="B1493" s="218" t="s">
        <v>1396</v>
      </c>
      <c r="C1493" s="218" t="s">
        <v>3534</v>
      </c>
      <c r="D1493" s="218" t="s">
        <v>1397</v>
      </c>
      <c r="E1493" s="218" t="s">
        <v>1839</v>
      </c>
      <c r="F1493" s="218" t="s">
        <v>1840</v>
      </c>
      <c r="G1493" s="218" t="s">
        <v>1841</v>
      </c>
    </row>
    <row r="1494" spans="1:7" x14ac:dyDescent="0.15">
      <c r="A1494" s="218" t="s">
        <v>11636</v>
      </c>
      <c r="B1494" s="218" t="s">
        <v>11637</v>
      </c>
      <c r="C1494" s="218" t="s">
        <v>3534</v>
      </c>
      <c r="D1494" s="218" t="s">
        <v>11638</v>
      </c>
      <c r="E1494" s="218" t="s">
        <v>1839</v>
      </c>
      <c r="F1494" s="218" t="s">
        <v>1840</v>
      </c>
      <c r="G1494" s="218" t="s">
        <v>1841</v>
      </c>
    </row>
    <row r="1495" spans="1:7" x14ac:dyDescent="0.15">
      <c r="A1495" s="218" t="s">
        <v>10077</v>
      </c>
      <c r="B1495" s="218" t="s">
        <v>963</v>
      </c>
      <c r="C1495" s="218" t="s">
        <v>3534</v>
      </c>
      <c r="D1495" s="218" t="s">
        <v>964</v>
      </c>
      <c r="E1495" s="218" t="s">
        <v>1839</v>
      </c>
      <c r="F1495" s="218" t="s">
        <v>1840</v>
      </c>
      <c r="G1495" s="218" t="s">
        <v>1841</v>
      </c>
    </row>
    <row r="1496" spans="1:7" x14ac:dyDescent="0.15">
      <c r="A1496" s="218" t="s">
        <v>10078</v>
      </c>
      <c r="B1496" s="218" t="s">
        <v>1463</v>
      </c>
      <c r="C1496" s="218" t="s">
        <v>3534</v>
      </c>
      <c r="D1496" s="218" t="s">
        <v>1464</v>
      </c>
      <c r="E1496" s="218" t="s">
        <v>1839</v>
      </c>
      <c r="F1496" s="218" t="s">
        <v>1840</v>
      </c>
      <c r="G1496" s="218" t="s">
        <v>1841</v>
      </c>
    </row>
    <row r="1497" spans="1:7" x14ac:dyDescent="0.15">
      <c r="A1497" s="218" t="s">
        <v>4770</v>
      </c>
      <c r="B1497" s="218" t="s">
        <v>4771</v>
      </c>
      <c r="C1497" s="218" t="s">
        <v>3534</v>
      </c>
      <c r="D1497" s="218" t="s">
        <v>4772</v>
      </c>
      <c r="E1497" s="218" t="s">
        <v>1839</v>
      </c>
      <c r="F1497" s="218" t="s">
        <v>1840</v>
      </c>
      <c r="G1497" s="218" t="s">
        <v>1841</v>
      </c>
    </row>
    <row r="1498" spans="1:7" x14ac:dyDescent="0.15">
      <c r="A1498" s="218" t="s">
        <v>4773</v>
      </c>
      <c r="B1498" s="218" t="s">
        <v>4774</v>
      </c>
      <c r="C1498" s="218" t="s">
        <v>3534</v>
      </c>
      <c r="D1498" s="218" t="s">
        <v>4775</v>
      </c>
      <c r="E1498" s="218" t="s">
        <v>1839</v>
      </c>
      <c r="F1498" s="218" t="s">
        <v>1840</v>
      </c>
      <c r="G1498" s="218" t="s">
        <v>1841</v>
      </c>
    </row>
    <row r="1499" spans="1:7" x14ac:dyDescent="0.15">
      <c r="A1499" s="218" t="s">
        <v>10079</v>
      </c>
      <c r="B1499" s="218" t="s">
        <v>10080</v>
      </c>
      <c r="C1499" s="218" t="s">
        <v>3534</v>
      </c>
      <c r="D1499" s="218" t="s">
        <v>10081</v>
      </c>
      <c r="E1499" s="218" t="s">
        <v>1839</v>
      </c>
      <c r="F1499" s="218" t="s">
        <v>1840</v>
      </c>
      <c r="G1499" s="218" t="s">
        <v>1841</v>
      </c>
    </row>
    <row r="1500" spans="1:7" x14ac:dyDescent="0.15">
      <c r="A1500" s="218" t="s">
        <v>4776</v>
      </c>
      <c r="B1500" s="218" t="s">
        <v>4777</v>
      </c>
      <c r="C1500" s="218" t="s">
        <v>3534</v>
      </c>
      <c r="D1500" s="218" t="s">
        <v>4778</v>
      </c>
      <c r="E1500" s="218" t="s">
        <v>1839</v>
      </c>
      <c r="F1500" s="218" t="s">
        <v>1840</v>
      </c>
      <c r="G1500" s="218" t="s">
        <v>1841</v>
      </c>
    </row>
    <row r="1501" spans="1:7" x14ac:dyDescent="0.15">
      <c r="A1501" s="218" t="s">
        <v>4779</v>
      </c>
      <c r="B1501" s="218" t="s">
        <v>4780</v>
      </c>
      <c r="C1501" s="218" t="s">
        <v>3534</v>
      </c>
      <c r="D1501" s="218" t="s">
        <v>4781</v>
      </c>
      <c r="E1501" s="218" t="s">
        <v>1839</v>
      </c>
      <c r="F1501" s="218" t="s">
        <v>1840</v>
      </c>
      <c r="G1501" s="218" t="s">
        <v>1841</v>
      </c>
    </row>
    <row r="1502" spans="1:7" x14ac:dyDescent="0.15">
      <c r="A1502" s="218" t="s">
        <v>10082</v>
      </c>
      <c r="B1502" s="218" t="s">
        <v>10083</v>
      </c>
      <c r="C1502" s="218" t="s">
        <v>3534</v>
      </c>
      <c r="D1502" s="218" t="s">
        <v>10084</v>
      </c>
      <c r="E1502" s="218" t="s">
        <v>1839</v>
      </c>
      <c r="F1502" s="218" t="s">
        <v>1840</v>
      </c>
      <c r="G1502" s="218" t="s">
        <v>1841</v>
      </c>
    </row>
    <row r="1503" spans="1:7" x14ac:dyDescent="0.15">
      <c r="A1503" s="218" t="s">
        <v>11639</v>
      </c>
      <c r="B1503" s="218" t="s">
        <v>11640</v>
      </c>
      <c r="C1503" s="218" t="s">
        <v>3534</v>
      </c>
      <c r="D1503" s="218" t="s">
        <v>11641</v>
      </c>
      <c r="E1503" s="218" t="s">
        <v>1839</v>
      </c>
      <c r="F1503" s="218" t="s">
        <v>1840</v>
      </c>
      <c r="G1503" s="218" t="s">
        <v>1841</v>
      </c>
    </row>
    <row r="1504" spans="1:7" x14ac:dyDescent="0.15">
      <c r="A1504" s="218" t="s">
        <v>10085</v>
      </c>
      <c r="B1504" s="218" t="s">
        <v>10086</v>
      </c>
      <c r="C1504" s="218" t="s">
        <v>3534</v>
      </c>
      <c r="D1504" s="218" t="s">
        <v>10087</v>
      </c>
      <c r="E1504" s="218" t="s">
        <v>1839</v>
      </c>
      <c r="F1504" s="218" t="s">
        <v>1840</v>
      </c>
      <c r="G1504" s="218" t="s">
        <v>1841</v>
      </c>
    </row>
    <row r="1505" spans="1:7" x14ac:dyDescent="0.15">
      <c r="A1505" s="218" t="s">
        <v>4782</v>
      </c>
      <c r="B1505" s="218" t="s">
        <v>4783</v>
      </c>
      <c r="C1505" s="218" t="s">
        <v>3534</v>
      </c>
      <c r="D1505" s="218" t="s">
        <v>4784</v>
      </c>
      <c r="E1505" s="218" t="s">
        <v>1839</v>
      </c>
      <c r="F1505" s="218" t="s">
        <v>1840</v>
      </c>
      <c r="G1505" s="218" t="s">
        <v>1841</v>
      </c>
    </row>
    <row r="1506" spans="1:7" x14ac:dyDescent="0.15">
      <c r="A1506" s="218" t="s">
        <v>10088</v>
      </c>
      <c r="B1506" s="218" t="s">
        <v>1645</v>
      </c>
      <c r="C1506" s="218" t="s">
        <v>3534</v>
      </c>
      <c r="D1506" s="218" t="s">
        <v>1646</v>
      </c>
      <c r="E1506" s="218" t="s">
        <v>1839</v>
      </c>
      <c r="F1506" s="218" t="s">
        <v>1840</v>
      </c>
      <c r="G1506" s="218" t="s">
        <v>1841</v>
      </c>
    </row>
    <row r="1507" spans="1:7" x14ac:dyDescent="0.15">
      <c r="A1507" s="218" t="s">
        <v>10089</v>
      </c>
      <c r="B1507" s="218" t="s">
        <v>1017</v>
      </c>
      <c r="C1507" s="218" t="s">
        <v>3534</v>
      </c>
      <c r="D1507" s="218" t="s">
        <v>1018</v>
      </c>
      <c r="E1507" s="218" t="s">
        <v>1839</v>
      </c>
      <c r="F1507" s="218" t="s">
        <v>1840</v>
      </c>
      <c r="G1507" s="218" t="s">
        <v>1841</v>
      </c>
    </row>
    <row r="1508" spans="1:7" x14ac:dyDescent="0.15">
      <c r="A1508" s="218" t="s">
        <v>4785</v>
      </c>
      <c r="B1508" s="218" t="s">
        <v>4786</v>
      </c>
      <c r="C1508" s="218" t="s">
        <v>3534</v>
      </c>
      <c r="D1508" s="218" t="s">
        <v>4787</v>
      </c>
      <c r="E1508" s="218" t="s">
        <v>1839</v>
      </c>
      <c r="F1508" s="218" t="s">
        <v>1840</v>
      </c>
      <c r="G1508" s="218" t="s">
        <v>1841</v>
      </c>
    </row>
    <row r="1509" spans="1:7" x14ac:dyDescent="0.15">
      <c r="A1509" s="218" t="s">
        <v>4788</v>
      </c>
      <c r="B1509" s="218" t="s">
        <v>4789</v>
      </c>
      <c r="C1509" s="218" t="s">
        <v>3534</v>
      </c>
      <c r="D1509" s="218" t="s">
        <v>4790</v>
      </c>
      <c r="E1509" s="218" t="s">
        <v>1839</v>
      </c>
      <c r="F1509" s="218" t="s">
        <v>1840</v>
      </c>
      <c r="G1509" s="218" t="s">
        <v>1841</v>
      </c>
    </row>
    <row r="1510" spans="1:7" x14ac:dyDescent="0.15">
      <c r="A1510" s="218" t="s">
        <v>10090</v>
      </c>
      <c r="B1510" s="218" t="s">
        <v>10091</v>
      </c>
      <c r="C1510" s="218" t="s">
        <v>3534</v>
      </c>
      <c r="D1510" s="218" t="s">
        <v>10092</v>
      </c>
      <c r="E1510" s="218" t="s">
        <v>1839</v>
      </c>
      <c r="F1510" s="218" t="s">
        <v>1840</v>
      </c>
      <c r="G1510" s="218" t="s">
        <v>1841</v>
      </c>
    </row>
    <row r="1511" spans="1:7" x14ac:dyDescent="0.15">
      <c r="A1511" s="218" t="s">
        <v>10093</v>
      </c>
      <c r="B1511" s="218" t="s">
        <v>1346</v>
      </c>
      <c r="C1511" s="218" t="s">
        <v>3534</v>
      </c>
      <c r="D1511" s="218" t="s">
        <v>1347</v>
      </c>
      <c r="E1511" s="218" t="s">
        <v>1935</v>
      </c>
      <c r="F1511" s="218" t="s">
        <v>1840</v>
      </c>
      <c r="G1511" s="218" t="s">
        <v>1841</v>
      </c>
    </row>
    <row r="1512" spans="1:7" x14ac:dyDescent="0.15">
      <c r="A1512" s="218" t="s">
        <v>4791</v>
      </c>
      <c r="B1512" s="218" t="s">
        <v>4792</v>
      </c>
      <c r="C1512" s="218" t="s">
        <v>3534</v>
      </c>
      <c r="D1512" s="218" t="s">
        <v>4793</v>
      </c>
      <c r="E1512" s="218" t="s">
        <v>1839</v>
      </c>
      <c r="F1512" s="218" t="s">
        <v>1840</v>
      </c>
      <c r="G1512" s="218" t="s">
        <v>1841</v>
      </c>
    </row>
    <row r="1513" spans="1:7" x14ac:dyDescent="0.15">
      <c r="A1513" s="218" t="s">
        <v>4794</v>
      </c>
      <c r="B1513" s="218" t="s">
        <v>4795</v>
      </c>
      <c r="C1513" s="218" t="s">
        <v>3534</v>
      </c>
      <c r="D1513" s="218" t="s">
        <v>4796</v>
      </c>
      <c r="E1513" s="218" t="s">
        <v>1839</v>
      </c>
      <c r="F1513" s="218" t="s">
        <v>1840</v>
      </c>
      <c r="G1513" s="218" t="s">
        <v>1841</v>
      </c>
    </row>
    <row r="1514" spans="1:7" x14ac:dyDescent="0.15">
      <c r="A1514" s="218" t="s">
        <v>10094</v>
      </c>
      <c r="B1514" s="218" t="s">
        <v>875</v>
      </c>
      <c r="C1514" s="218" t="s">
        <v>3534</v>
      </c>
      <c r="D1514" s="218" t="s">
        <v>876</v>
      </c>
      <c r="E1514" s="218" t="s">
        <v>1839</v>
      </c>
      <c r="F1514" s="218" t="s">
        <v>1840</v>
      </c>
      <c r="G1514" s="218" t="s">
        <v>1841</v>
      </c>
    </row>
    <row r="1515" spans="1:7" x14ac:dyDescent="0.15">
      <c r="A1515" s="218" t="s">
        <v>10095</v>
      </c>
      <c r="B1515" s="218" t="s">
        <v>1201</v>
      </c>
      <c r="C1515" s="218" t="s">
        <v>3534</v>
      </c>
      <c r="D1515" s="218" t="s">
        <v>1202</v>
      </c>
      <c r="E1515" s="218" t="s">
        <v>1839</v>
      </c>
      <c r="F1515" s="218" t="s">
        <v>1840</v>
      </c>
      <c r="G1515" s="218" t="s">
        <v>1841</v>
      </c>
    </row>
    <row r="1516" spans="1:7" x14ac:dyDescent="0.15">
      <c r="A1516" s="218" t="s">
        <v>10096</v>
      </c>
      <c r="B1516" s="218" t="s">
        <v>650</v>
      </c>
      <c r="C1516" s="218" t="s">
        <v>3534</v>
      </c>
      <c r="D1516" s="218" t="s">
        <v>651</v>
      </c>
      <c r="E1516" s="218" t="s">
        <v>1839</v>
      </c>
      <c r="F1516" s="218" t="s">
        <v>1840</v>
      </c>
      <c r="G1516" s="218" t="s">
        <v>1841</v>
      </c>
    </row>
    <row r="1517" spans="1:7" x14ac:dyDescent="0.15">
      <c r="A1517" s="218" t="s">
        <v>10097</v>
      </c>
      <c r="B1517" s="218" t="s">
        <v>659</v>
      </c>
      <c r="C1517" s="218" t="s">
        <v>3534</v>
      </c>
      <c r="D1517" s="218" t="s">
        <v>660</v>
      </c>
      <c r="E1517" s="218" t="s">
        <v>1839</v>
      </c>
      <c r="F1517" s="218" t="s">
        <v>1840</v>
      </c>
      <c r="G1517" s="218" t="s">
        <v>1841</v>
      </c>
    </row>
    <row r="1518" spans="1:7" x14ac:dyDescent="0.15">
      <c r="A1518" s="218" t="s">
        <v>10098</v>
      </c>
      <c r="B1518" s="218" t="s">
        <v>705</v>
      </c>
      <c r="C1518" s="218" t="s">
        <v>3534</v>
      </c>
      <c r="D1518" s="218" t="s">
        <v>706</v>
      </c>
      <c r="E1518" s="218" t="s">
        <v>1839</v>
      </c>
      <c r="F1518" s="218" t="s">
        <v>1840</v>
      </c>
      <c r="G1518" s="218" t="s">
        <v>1841</v>
      </c>
    </row>
    <row r="1519" spans="1:7" x14ac:dyDescent="0.15">
      <c r="A1519" s="218" t="s">
        <v>10099</v>
      </c>
      <c r="B1519" s="218" t="s">
        <v>10100</v>
      </c>
      <c r="C1519" s="218" t="s">
        <v>3534</v>
      </c>
      <c r="D1519" s="218" t="s">
        <v>10101</v>
      </c>
      <c r="E1519" s="218" t="s">
        <v>1839</v>
      </c>
      <c r="F1519" s="218" t="s">
        <v>1840</v>
      </c>
      <c r="G1519" s="218" t="s">
        <v>1841</v>
      </c>
    </row>
    <row r="1520" spans="1:7" x14ac:dyDescent="0.15">
      <c r="A1520" s="218" t="s">
        <v>10102</v>
      </c>
      <c r="B1520" s="218" t="s">
        <v>10103</v>
      </c>
      <c r="C1520" s="218" t="s">
        <v>3534</v>
      </c>
      <c r="D1520" s="218" t="s">
        <v>10104</v>
      </c>
      <c r="E1520" s="218" t="s">
        <v>1839</v>
      </c>
      <c r="F1520" s="218" t="s">
        <v>1840</v>
      </c>
      <c r="G1520" s="218" t="s">
        <v>1841</v>
      </c>
    </row>
    <row r="1521" spans="1:7" x14ac:dyDescent="0.15">
      <c r="A1521" s="218" t="s">
        <v>10105</v>
      </c>
      <c r="B1521" s="218" t="s">
        <v>10106</v>
      </c>
      <c r="C1521" s="218" t="s">
        <v>3534</v>
      </c>
      <c r="D1521" s="218" t="s">
        <v>10107</v>
      </c>
      <c r="E1521" s="218" t="s">
        <v>1839</v>
      </c>
      <c r="F1521" s="218" t="s">
        <v>1840</v>
      </c>
      <c r="G1521" s="218" t="s">
        <v>1841</v>
      </c>
    </row>
    <row r="1522" spans="1:7" x14ac:dyDescent="0.15">
      <c r="A1522" s="218" t="s">
        <v>4797</v>
      </c>
      <c r="B1522" s="218" t="s">
        <v>4798</v>
      </c>
      <c r="C1522" s="218" t="s">
        <v>3534</v>
      </c>
      <c r="D1522" s="218" t="s">
        <v>4799</v>
      </c>
      <c r="E1522" s="218" t="s">
        <v>1839</v>
      </c>
      <c r="F1522" s="218" t="s">
        <v>1840</v>
      </c>
      <c r="G1522" s="218" t="s">
        <v>1841</v>
      </c>
    </row>
    <row r="1523" spans="1:7" x14ac:dyDescent="0.15">
      <c r="A1523" s="218" t="s">
        <v>11642</v>
      </c>
      <c r="B1523" s="218" t="s">
        <v>11643</v>
      </c>
      <c r="C1523" s="218" t="s">
        <v>3534</v>
      </c>
      <c r="D1523" s="218" t="s">
        <v>11644</v>
      </c>
      <c r="E1523" s="218" t="s">
        <v>1839</v>
      </c>
      <c r="F1523" s="218" t="s">
        <v>1840</v>
      </c>
      <c r="G1523" s="218" t="s">
        <v>1841</v>
      </c>
    </row>
    <row r="1524" spans="1:7" x14ac:dyDescent="0.15">
      <c r="A1524" s="218" t="s">
        <v>10108</v>
      </c>
      <c r="B1524" s="218" t="s">
        <v>10109</v>
      </c>
      <c r="C1524" s="218" t="s">
        <v>3534</v>
      </c>
      <c r="D1524" s="218" t="s">
        <v>10110</v>
      </c>
      <c r="E1524" s="218" t="s">
        <v>1839</v>
      </c>
      <c r="F1524" s="218" t="s">
        <v>1840</v>
      </c>
      <c r="G1524" s="218" t="s">
        <v>1841</v>
      </c>
    </row>
    <row r="1525" spans="1:7" x14ac:dyDescent="0.15">
      <c r="A1525" s="218" t="s">
        <v>10111</v>
      </c>
      <c r="B1525" s="218" t="s">
        <v>10112</v>
      </c>
      <c r="C1525" s="218" t="s">
        <v>3534</v>
      </c>
      <c r="D1525" s="218" t="s">
        <v>10113</v>
      </c>
      <c r="E1525" s="218" t="s">
        <v>1839</v>
      </c>
      <c r="F1525" s="218" t="s">
        <v>1840</v>
      </c>
      <c r="G1525" s="218" t="s">
        <v>1841</v>
      </c>
    </row>
    <row r="1526" spans="1:7" x14ac:dyDescent="0.15">
      <c r="A1526" s="218" t="s">
        <v>10114</v>
      </c>
      <c r="B1526" s="218" t="s">
        <v>712</v>
      </c>
      <c r="C1526" s="218" t="s">
        <v>3534</v>
      </c>
      <c r="D1526" s="218" t="s">
        <v>713</v>
      </c>
      <c r="E1526" s="218" t="s">
        <v>1839</v>
      </c>
      <c r="F1526" s="218" t="s">
        <v>1840</v>
      </c>
      <c r="G1526" s="218" t="s">
        <v>1841</v>
      </c>
    </row>
    <row r="1527" spans="1:7" x14ac:dyDescent="0.15">
      <c r="A1527" s="218" t="s">
        <v>4803</v>
      </c>
      <c r="B1527" s="218" t="s">
        <v>4804</v>
      </c>
      <c r="C1527" s="218" t="s">
        <v>3534</v>
      </c>
      <c r="D1527" s="218" t="s">
        <v>4805</v>
      </c>
      <c r="E1527" s="218" t="s">
        <v>1839</v>
      </c>
      <c r="F1527" s="218" t="s">
        <v>1840</v>
      </c>
      <c r="G1527" s="218" t="s">
        <v>1841</v>
      </c>
    </row>
    <row r="1528" spans="1:7" x14ac:dyDescent="0.15">
      <c r="A1528" s="218" t="s">
        <v>10115</v>
      </c>
      <c r="B1528" s="218" t="s">
        <v>1266</v>
      </c>
      <c r="C1528" s="218" t="s">
        <v>3534</v>
      </c>
      <c r="D1528" s="218" t="s">
        <v>10116</v>
      </c>
      <c r="E1528" s="218" t="s">
        <v>1839</v>
      </c>
      <c r="F1528" s="218" t="s">
        <v>1840</v>
      </c>
      <c r="G1528" s="218" t="s">
        <v>1841</v>
      </c>
    </row>
    <row r="1529" spans="1:7" x14ac:dyDescent="0.15">
      <c r="A1529" s="218" t="s">
        <v>11645</v>
      </c>
      <c r="B1529" s="218" t="s">
        <v>11646</v>
      </c>
      <c r="C1529" s="218" t="s">
        <v>3534</v>
      </c>
      <c r="D1529" s="218" t="s">
        <v>11647</v>
      </c>
      <c r="E1529" s="218" t="s">
        <v>1839</v>
      </c>
      <c r="F1529" s="218" t="s">
        <v>1840</v>
      </c>
      <c r="G1529" s="218" t="s">
        <v>1841</v>
      </c>
    </row>
    <row r="1530" spans="1:7" x14ac:dyDescent="0.15">
      <c r="A1530" s="218" t="s">
        <v>10117</v>
      </c>
      <c r="B1530" s="218" t="s">
        <v>10118</v>
      </c>
      <c r="C1530" s="218" t="s">
        <v>3534</v>
      </c>
      <c r="D1530" s="218" t="s">
        <v>10119</v>
      </c>
      <c r="E1530" s="218" t="s">
        <v>1839</v>
      </c>
      <c r="F1530" s="218" t="s">
        <v>1840</v>
      </c>
      <c r="G1530" s="218" t="s">
        <v>1841</v>
      </c>
    </row>
    <row r="1531" spans="1:7" x14ac:dyDescent="0.15">
      <c r="A1531" s="218" t="s">
        <v>10120</v>
      </c>
      <c r="B1531" s="218" t="s">
        <v>1656</v>
      </c>
      <c r="C1531" s="218" t="s">
        <v>3534</v>
      </c>
      <c r="D1531" s="218" t="s">
        <v>1657</v>
      </c>
      <c r="E1531" s="218" t="s">
        <v>1839</v>
      </c>
      <c r="F1531" s="218" t="s">
        <v>1840</v>
      </c>
      <c r="G1531" s="218" t="s">
        <v>1841</v>
      </c>
    </row>
    <row r="1532" spans="1:7" x14ac:dyDescent="0.15">
      <c r="A1532" s="218" t="s">
        <v>4809</v>
      </c>
      <c r="B1532" s="218" t="s">
        <v>4810</v>
      </c>
      <c r="C1532" s="218" t="s">
        <v>3534</v>
      </c>
      <c r="D1532" s="218" t="s">
        <v>4811</v>
      </c>
      <c r="E1532" s="218" t="s">
        <v>1839</v>
      </c>
      <c r="F1532" s="218" t="s">
        <v>1840</v>
      </c>
      <c r="G1532" s="218" t="s">
        <v>1841</v>
      </c>
    </row>
    <row r="1533" spans="1:7" x14ac:dyDescent="0.15">
      <c r="A1533" s="218" t="s">
        <v>4812</v>
      </c>
      <c r="B1533" s="218" t="s">
        <v>4813</v>
      </c>
      <c r="C1533" s="218" t="s">
        <v>3534</v>
      </c>
      <c r="D1533" s="218" t="s">
        <v>4814</v>
      </c>
      <c r="E1533" s="218" t="s">
        <v>1839</v>
      </c>
      <c r="F1533" s="218" t="s">
        <v>1840</v>
      </c>
      <c r="G1533" s="218" t="s">
        <v>1841</v>
      </c>
    </row>
    <row r="1534" spans="1:7" x14ac:dyDescent="0.15">
      <c r="A1534" s="218" t="s">
        <v>4815</v>
      </c>
      <c r="B1534" s="218" t="s">
        <v>4816</v>
      </c>
      <c r="C1534" s="218" t="s">
        <v>3534</v>
      </c>
      <c r="D1534" s="218" t="s">
        <v>4817</v>
      </c>
      <c r="E1534" s="218" t="s">
        <v>1839</v>
      </c>
      <c r="F1534" s="218" t="s">
        <v>1840</v>
      </c>
      <c r="G1534" s="218" t="s">
        <v>1841</v>
      </c>
    </row>
    <row r="1535" spans="1:7" x14ac:dyDescent="0.15">
      <c r="A1535" s="218" t="s">
        <v>4818</v>
      </c>
      <c r="B1535" s="218" t="s">
        <v>4819</v>
      </c>
      <c r="C1535" s="218" t="s">
        <v>3534</v>
      </c>
      <c r="D1535" s="218" t="s">
        <v>4820</v>
      </c>
      <c r="E1535" s="218" t="s">
        <v>1839</v>
      </c>
      <c r="F1535" s="218" t="s">
        <v>1840</v>
      </c>
      <c r="G1535" s="218" t="s">
        <v>1841</v>
      </c>
    </row>
    <row r="1536" spans="1:7" x14ac:dyDescent="0.15">
      <c r="A1536" s="218" t="s">
        <v>4821</v>
      </c>
      <c r="B1536" s="218" t="s">
        <v>4822</v>
      </c>
      <c r="C1536" s="218" t="s">
        <v>3534</v>
      </c>
      <c r="D1536" s="218" t="s">
        <v>4823</v>
      </c>
      <c r="E1536" s="218" t="s">
        <v>1839</v>
      </c>
      <c r="F1536" s="218" t="s">
        <v>1840</v>
      </c>
      <c r="G1536" s="218" t="s">
        <v>1841</v>
      </c>
    </row>
    <row r="1537" spans="1:7" x14ac:dyDescent="0.15">
      <c r="A1537" s="218" t="s">
        <v>10121</v>
      </c>
      <c r="B1537" s="218" t="s">
        <v>1147</v>
      </c>
      <c r="C1537" s="218" t="s">
        <v>3534</v>
      </c>
      <c r="D1537" s="218" t="s">
        <v>1148</v>
      </c>
      <c r="E1537" s="218" t="s">
        <v>1839</v>
      </c>
      <c r="F1537" s="218" t="s">
        <v>1840</v>
      </c>
      <c r="G1537" s="218" t="s">
        <v>1841</v>
      </c>
    </row>
    <row r="1538" spans="1:7" x14ac:dyDescent="0.15">
      <c r="A1538" s="218" t="s">
        <v>4824</v>
      </c>
      <c r="B1538" s="218" t="s">
        <v>4825</v>
      </c>
      <c r="C1538" s="218" t="s">
        <v>3534</v>
      </c>
      <c r="D1538" s="218" t="s">
        <v>4826</v>
      </c>
      <c r="E1538" s="218" t="s">
        <v>1839</v>
      </c>
      <c r="F1538" s="218" t="s">
        <v>1840</v>
      </c>
      <c r="G1538" s="218" t="s">
        <v>1841</v>
      </c>
    </row>
    <row r="1539" spans="1:7" x14ac:dyDescent="0.15">
      <c r="A1539" s="218" t="s">
        <v>4827</v>
      </c>
      <c r="B1539" s="218" t="s">
        <v>4828</v>
      </c>
      <c r="C1539" s="218" t="s">
        <v>3534</v>
      </c>
      <c r="D1539" s="218" t="s">
        <v>4829</v>
      </c>
      <c r="E1539" s="218" t="s">
        <v>1839</v>
      </c>
      <c r="F1539" s="218" t="s">
        <v>1840</v>
      </c>
      <c r="G1539" s="218" t="s">
        <v>1841</v>
      </c>
    </row>
    <row r="1540" spans="1:7" x14ac:dyDescent="0.15">
      <c r="A1540" s="218" t="s">
        <v>10122</v>
      </c>
      <c r="B1540" s="218" t="s">
        <v>10123</v>
      </c>
      <c r="C1540" s="218" t="s">
        <v>3534</v>
      </c>
      <c r="D1540" s="218" t="s">
        <v>10124</v>
      </c>
      <c r="E1540" s="218" t="s">
        <v>1839</v>
      </c>
      <c r="F1540" s="218" t="s">
        <v>1840</v>
      </c>
      <c r="G1540" s="218" t="s">
        <v>1841</v>
      </c>
    </row>
    <row r="1541" spans="1:7" x14ac:dyDescent="0.15">
      <c r="A1541" s="218" t="s">
        <v>10125</v>
      </c>
      <c r="B1541" s="218" t="s">
        <v>10126</v>
      </c>
      <c r="C1541" s="218" t="s">
        <v>3534</v>
      </c>
      <c r="D1541" s="218" t="s">
        <v>10127</v>
      </c>
      <c r="E1541" s="218" t="s">
        <v>1839</v>
      </c>
      <c r="F1541" s="218" t="s">
        <v>1840</v>
      </c>
      <c r="G1541" s="218" t="s">
        <v>1841</v>
      </c>
    </row>
    <row r="1542" spans="1:7" x14ac:dyDescent="0.15">
      <c r="A1542" s="218" t="s">
        <v>10128</v>
      </c>
      <c r="B1542" s="218" t="s">
        <v>10129</v>
      </c>
      <c r="C1542" s="218" t="s">
        <v>3534</v>
      </c>
      <c r="D1542" s="218" t="s">
        <v>10130</v>
      </c>
      <c r="E1542" s="218" t="s">
        <v>1839</v>
      </c>
      <c r="F1542" s="218" t="s">
        <v>1840</v>
      </c>
      <c r="G1542" s="218" t="s">
        <v>1841</v>
      </c>
    </row>
    <row r="1543" spans="1:7" x14ac:dyDescent="0.15">
      <c r="A1543" s="218" t="s">
        <v>4830</v>
      </c>
      <c r="B1543" s="218" t="s">
        <v>4831</v>
      </c>
      <c r="C1543" s="218" t="s">
        <v>3534</v>
      </c>
      <c r="D1543" s="218" t="s">
        <v>4832</v>
      </c>
      <c r="E1543" s="218" t="s">
        <v>1839</v>
      </c>
      <c r="F1543" s="218" t="s">
        <v>1840</v>
      </c>
      <c r="G1543" s="218" t="s">
        <v>1841</v>
      </c>
    </row>
    <row r="1544" spans="1:7" x14ac:dyDescent="0.15">
      <c r="A1544" s="218" t="s">
        <v>4833</v>
      </c>
      <c r="B1544" s="218" t="s">
        <v>4834</v>
      </c>
      <c r="C1544" s="218" t="s">
        <v>3534</v>
      </c>
      <c r="D1544" s="218" t="s">
        <v>4835</v>
      </c>
      <c r="E1544" s="218" t="s">
        <v>1839</v>
      </c>
      <c r="F1544" s="218" t="s">
        <v>1840</v>
      </c>
      <c r="G1544" s="218" t="s">
        <v>1841</v>
      </c>
    </row>
    <row r="1545" spans="1:7" x14ac:dyDescent="0.15">
      <c r="A1545" s="218" t="s">
        <v>11648</v>
      </c>
      <c r="B1545" s="218" t="s">
        <v>11649</v>
      </c>
      <c r="C1545" s="218" t="s">
        <v>3534</v>
      </c>
      <c r="D1545" s="218" t="s">
        <v>11650</v>
      </c>
      <c r="E1545" s="218" t="s">
        <v>1839</v>
      </c>
      <c r="F1545" s="218" t="s">
        <v>1840</v>
      </c>
      <c r="G1545" s="218" t="s">
        <v>1841</v>
      </c>
    </row>
    <row r="1546" spans="1:7" x14ac:dyDescent="0.15">
      <c r="A1546" s="218" t="s">
        <v>4836</v>
      </c>
      <c r="B1546" s="218" t="s">
        <v>4837</v>
      </c>
      <c r="C1546" s="218" t="s">
        <v>3534</v>
      </c>
      <c r="D1546" s="218" t="s">
        <v>4838</v>
      </c>
      <c r="E1546" s="218" t="s">
        <v>1839</v>
      </c>
      <c r="F1546" s="218" t="s">
        <v>1840</v>
      </c>
      <c r="G1546" s="218" t="s">
        <v>1841</v>
      </c>
    </row>
    <row r="1547" spans="1:7" x14ac:dyDescent="0.15">
      <c r="A1547" s="218" t="s">
        <v>4839</v>
      </c>
      <c r="B1547" s="218" t="s">
        <v>4840</v>
      </c>
      <c r="C1547" s="218" t="s">
        <v>3534</v>
      </c>
      <c r="D1547" s="218" t="s">
        <v>4841</v>
      </c>
      <c r="E1547" s="218" t="s">
        <v>1839</v>
      </c>
      <c r="F1547" s="218" t="s">
        <v>1840</v>
      </c>
      <c r="G1547" s="218" t="s">
        <v>1841</v>
      </c>
    </row>
    <row r="1548" spans="1:7" x14ac:dyDescent="0.15">
      <c r="A1548" s="218" t="s">
        <v>4842</v>
      </c>
      <c r="B1548" s="218" t="s">
        <v>4843</v>
      </c>
      <c r="C1548" s="218" t="s">
        <v>3534</v>
      </c>
      <c r="D1548" s="218" t="s">
        <v>4844</v>
      </c>
      <c r="E1548" s="218" t="s">
        <v>1839</v>
      </c>
      <c r="F1548" s="218" t="s">
        <v>1840</v>
      </c>
      <c r="G1548" s="218" t="s">
        <v>1841</v>
      </c>
    </row>
    <row r="1549" spans="1:7" x14ac:dyDescent="0.15">
      <c r="A1549" s="218" t="s">
        <v>10131</v>
      </c>
      <c r="B1549" s="218" t="s">
        <v>10132</v>
      </c>
      <c r="C1549" s="218" t="s">
        <v>3534</v>
      </c>
      <c r="D1549" s="218" t="s">
        <v>8383</v>
      </c>
      <c r="E1549" s="218" t="s">
        <v>1839</v>
      </c>
      <c r="F1549" s="218" t="s">
        <v>1840</v>
      </c>
      <c r="G1549" s="218" t="s">
        <v>1841</v>
      </c>
    </row>
    <row r="1550" spans="1:7" x14ac:dyDescent="0.15">
      <c r="A1550" s="218" t="s">
        <v>4845</v>
      </c>
      <c r="B1550" s="218" t="s">
        <v>4846</v>
      </c>
      <c r="C1550" s="218" t="s">
        <v>3534</v>
      </c>
      <c r="D1550" s="218" t="s">
        <v>4847</v>
      </c>
      <c r="E1550" s="218" t="s">
        <v>1839</v>
      </c>
      <c r="F1550" s="218" t="s">
        <v>1840</v>
      </c>
      <c r="G1550" s="218" t="s">
        <v>1841</v>
      </c>
    </row>
    <row r="1551" spans="1:7" x14ac:dyDescent="0.15">
      <c r="A1551" s="218" t="s">
        <v>4848</v>
      </c>
      <c r="B1551" s="218" t="s">
        <v>4849</v>
      </c>
      <c r="C1551" s="218" t="s">
        <v>3534</v>
      </c>
      <c r="D1551" s="218" t="s">
        <v>4850</v>
      </c>
      <c r="E1551" s="218" t="s">
        <v>1839</v>
      </c>
      <c r="F1551" s="218" t="s">
        <v>1840</v>
      </c>
      <c r="G1551" s="218" t="s">
        <v>1841</v>
      </c>
    </row>
    <row r="1552" spans="1:7" x14ac:dyDescent="0.15">
      <c r="A1552" s="218" t="s">
        <v>4851</v>
      </c>
      <c r="B1552" s="218" t="s">
        <v>4852</v>
      </c>
      <c r="C1552" s="218" t="s">
        <v>3534</v>
      </c>
      <c r="D1552" s="218" t="s">
        <v>4853</v>
      </c>
      <c r="E1552" s="218" t="s">
        <v>1839</v>
      </c>
      <c r="F1552" s="218" t="s">
        <v>1840</v>
      </c>
      <c r="G1552" s="218" t="s">
        <v>1841</v>
      </c>
    </row>
    <row r="1553" spans="1:7" x14ac:dyDescent="0.15">
      <c r="A1553" s="218" t="s">
        <v>4854</v>
      </c>
      <c r="B1553" s="218" t="s">
        <v>582</v>
      </c>
      <c r="C1553" s="218" t="s">
        <v>3534</v>
      </c>
      <c r="D1553" s="218" t="s">
        <v>4855</v>
      </c>
      <c r="E1553" s="218" t="s">
        <v>1839</v>
      </c>
      <c r="F1553" s="218" t="s">
        <v>1840</v>
      </c>
      <c r="G1553" s="218" t="s">
        <v>1841</v>
      </c>
    </row>
    <row r="1554" spans="1:7" x14ac:dyDescent="0.15">
      <c r="A1554" s="218" t="s">
        <v>4856</v>
      </c>
      <c r="B1554" s="218" t="s">
        <v>4843</v>
      </c>
      <c r="C1554" s="218" t="s">
        <v>3534</v>
      </c>
      <c r="D1554" s="218" t="s">
        <v>2622</v>
      </c>
      <c r="E1554" s="218" t="s">
        <v>1839</v>
      </c>
      <c r="F1554" s="218" t="s">
        <v>1840</v>
      </c>
      <c r="G1554" s="218" t="s">
        <v>1841</v>
      </c>
    </row>
    <row r="1555" spans="1:7" x14ac:dyDescent="0.15">
      <c r="A1555" s="218" t="s">
        <v>10133</v>
      </c>
      <c r="B1555" s="218" t="s">
        <v>4843</v>
      </c>
      <c r="C1555" s="218" t="s">
        <v>3534</v>
      </c>
      <c r="D1555" s="218" t="s">
        <v>7585</v>
      </c>
      <c r="E1555" s="218" t="s">
        <v>1839</v>
      </c>
      <c r="F1555" s="218" t="s">
        <v>1840</v>
      </c>
      <c r="G1555" s="218" t="s">
        <v>1841</v>
      </c>
    </row>
    <row r="1556" spans="1:7" x14ac:dyDescent="0.15">
      <c r="A1556" s="218" t="s">
        <v>4857</v>
      </c>
      <c r="B1556" s="218" t="s">
        <v>4858</v>
      </c>
      <c r="C1556" s="218" t="s">
        <v>3534</v>
      </c>
      <c r="D1556" s="218" t="s">
        <v>4859</v>
      </c>
      <c r="E1556" s="218" t="s">
        <v>1839</v>
      </c>
      <c r="F1556" s="218" t="s">
        <v>1840</v>
      </c>
      <c r="G1556" s="218" t="s">
        <v>1841</v>
      </c>
    </row>
    <row r="1557" spans="1:7" x14ac:dyDescent="0.15">
      <c r="A1557" s="218" t="s">
        <v>4860</v>
      </c>
      <c r="B1557" s="218" t="s">
        <v>4861</v>
      </c>
      <c r="C1557" s="218" t="s">
        <v>3534</v>
      </c>
      <c r="D1557" s="218" t="s">
        <v>4862</v>
      </c>
      <c r="E1557" s="218" t="s">
        <v>1839</v>
      </c>
      <c r="F1557" s="218" t="s">
        <v>1840</v>
      </c>
      <c r="G1557" s="218" t="s">
        <v>1841</v>
      </c>
    </row>
    <row r="1558" spans="1:7" x14ac:dyDescent="0.15">
      <c r="A1558" s="218" t="s">
        <v>4863</v>
      </c>
      <c r="B1558" s="218" t="s">
        <v>4864</v>
      </c>
      <c r="C1558" s="218" t="s">
        <v>3534</v>
      </c>
      <c r="D1558" s="218" t="s">
        <v>4865</v>
      </c>
      <c r="E1558" s="218" t="s">
        <v>1839</v>
      </c>
      <c r="F1558" s="218" t="s">
        <v>1840</v>
      </c>
      <c r="G1558" s="218" t="s">
        <v>1841</v>
      </c>
    </row>
    <row r="1559" spans="1:7" x14ac:dyDescent="0.15">
      <c r="A1559" s="218" t="s">
        <v>10134</v>
      </c>
      <c r="B1559" s="218" t="s">
        <v>10135</v>
      </c>
      <c r="C1559" s="218" t="s">
        <v>3534</v>
      </c>
      <c r="D1559" s="218" t="s">
        <v>10136</v>
      </c>
      <c r="E1559" s="218" t="s">
        <v>1839</v>
      </c>
      <c r="F1559" s="218" t="s">
        <v>1840</v>
      </c>
      <c r="G1559" s="218" t="s">
        <v>1841</v>
      </c>
    </row>
    <row r="1560" spans="1:7" x14ac:dyDescent="0.15">
      <c r="A1560" s="218" t="s">
        <v>4866</v>
      </c>
      <c r="B1560" s="218" t="s">
        <v>4867</v>
      </c>
      <c r="C1560" s="218" t="s">
        <v>3534</v>
      </c>
      <c r="D1560" s="218" t="s">
        <v>4868</v>
      </c>
      <c r="E1560" s="218" t="s">
        <v>1839</v>
      </c>
      <c r="F1560" s="218" t="s">
        <v>1840</v>
      </c>
      <c r="G1560" s="218" t="s">
        <v>1841</v>
      </c>
    </row>
    <row r="1561" spans="1:7" x14ac:dyDescent="0.15">
      <c r="A1561" s="218" t="s">
        <v>4869</v>
      </c>
      <c r="B1561" s="218" t="s">
        <v>4870</v>
      </c>
      <c r="C1561" s="218" t="s">
        <v>3534</v>
      </c>
      <c r="D1561" s="218" t="s">
        <v>1144</v>
      </c>
      <c r="E1561" s="218" t="s">
        <v>1839</v>
      </c>
      <c r="F1561" s="218" t="s">
        <v>1840</v>
      </c>
      <c r="G1561" s="218" t="s">
        <v>1841</v>
      </c>
    </row>
    <row r="1562" spans="1:7" x14ac:dyDescent="0.15">
      <c r="A1562" s="218" t="s">
        <v>10140</v>
      </c>
      <c r="B1562" s="218" t="s">
        <v>1351</v>
      </c>
      <c r="C1562" s="218" t="s">
        <v>3534</v>
      </c>
      <c r="D1562" s="218" t="s">
        <v>1352</v>
      </c>
      <c r="E1562" s="218" t="s">
        <v>1839</v>
      </c>
      <c r="F1562" s="218" t="s">
        <v>1840</v>
      </c>
      <c r="G1562" s="218" t="s">
        <v>1841</v>
      </c>
    </row>
    <row r="1563" spans="1:7" x14ac:dyDescent="0.15">
      <c r="A1563" s="218" t="s">
        <v>4871</v>
      </c>
      <c r="B1563" s="218" t="s">
        <v>4872</v>
      </c>
      <c r="C1563" s="218" t="s">
        <v>3534</v>
      </c>
      <c r="D1563" s="218" t="s">
        <v>4873</v>
      </c>
      <c r="E1563" s="218" t="s">
        <v>1839</v>
      </c>
      <c r="F1563" s="218" t="s">
        <v>1840</v>
      </c>
      <c r="G1563" s="218" t="s">
        <v>1841</v>
      </c>
    </row>
    <row r="1564" spans="1:7" x14ac:dyDescent="0.15">
      <c r="A1564" s="218" t="s">
        <v>4874</v>
      </c>
      <c r="B1564" s="218" t="s">
        <v>4875</v>
      </c>
      <c r="C1564" s="218" t="s">
        <v>3534</v>
      </c>
      <c r="D1564" s="218" t="s">
        <v>4876</v>
      </c>
      <c r="E1564" s="218" t="s">
        <v>1839</v>
      </c>
      <c r="F1564" s="218" t="s">
        <v>1840</v>
      </c>
      <c r="G1564" s="218" t="s">
        <v>1841</v>
      </c>
    </row>
    <row r="1565" spans="1:7" x14ac:dyDescent="0.15">
      <c r="A1565" s="218" t="s">
        <v>4877</v>
      </c>
      <c r="B1565" s="218" t="s">
        <v>4878</v>
      </c>
      <c r="C1565" s="218" t="s">
        <v>3534</v>
      </c>
      <c r="D1565" s="218" t="s">
        <v>4879</v>
      </c>
      <c r="E1565" s="218" t="s">
        <v>1839</v>
      </c>
      <c r="F1565" s="218" t="s">
        <v>1840</v>
      </c>
      <c r="G1565" s="218" t="s">
        <v>1841</v>
      </c>
    </row>
    <row r="1566" spans="1:7" x14ac:dyDescent="0.15">
      <c r="A1566" s="218" t="s">
        <v>4880</v>
      </c>
      <c r="B1566" s="218" t="s">
        <v>4881</v>
      </c>
      <c r="C1566" s="218" t="s">
        <v>3534</v>
      </c>
      <c r="D1566" s="218" t="s">
        <v>4882</v>
      </c>
      <c r="E1566" s="218" t="s">
        <v>1839</v>
      </c>
      <c r="F1566" s="218" t="s">
        <v>1840</v>
      </c>
      <c r="G1566" s="218" t="s">
        <v>1841</v>
      </c>
    </row>
    <row r="1567" spans="1:7" x14ac:dyDescent="0.15">
      <c r="A1567" s="218" t="s">
        <v>10141</v>
      </c>
      <c r="B1567" s="218" t="s">
        <v>10142</v>
      </c>
      <c r="C1567" s="218" t="s">
        <v>3534</v>
      </c>
      <c r="D1567" s="218" t="s">
        <v>10143</v>
      </c>
      <c r="E1567" s="218" t="s">
        <v>1839</v>
      </c>
      <c r="F1567" s="218" t="s">
        <v>1840</v>
      </c>
      <c r="G1567" s="218" t="s">
        <v>1841</v>
      </c>
    </row>
    <row r="1568" spans="1:7" x14ac:dyDescent="0.15">
      <c r="A1568" s="218" t="s">
        <v>4884</v>
      </c>
      <c r="B1568" s="218" t="s">
        <v>4885</v>
      </c>
      <c r="C1568" s="218" t="s">
        <v>3534</v>
      </c>
      <c r="D1568" s="218" t="s">
        <v>4886</v>
      </c>
      <c r="E1568" s="218" t="s">
        <v>1839</v>
      </c>
      <c r="F1568" s="218" t="s">
        <v>1840</v>
      </c>
      <c r="G1568" s="218" t="s">
        <v>1841</v>
      </c>
    </row>
    <row r="1569" spans="1:7" x14ac:dyDescent="0.15">
      <c r="A1569" s="218" t="s">
        <v>10144</v>
      </c>
      <c r="B1569" s="218" t="s">
        <v>10145</v>
      </c>
      <c r="C1569" s="218" t="s">
        <v>3534</v>
      </c>
      <c r="D1569" s="218" t="s">
        <v>1149</v>
      </c>
      <c r="E1569" s="218" t="s">
        <v>1839</v>
      </c>
      <c r="F1569" s="218" t="s">
        <v>1840</v>
      </c>
      <c r="G1569" s="218" t="s">
        <v>1841</v>
      </c>
    </row>
    <row r="1570" spans="1:7" x14ac:dyDescent="0.15">
      <c r="A1570" s="218" t="s">
        <v>4890</v>
      </c>
      <c r="B1570" s="218" t="s">
        <v>4891</v>
      </c>
      <c r="C1570" s="218" t="s">
        <v>3534</v>
      </c>
      <c r="D1570" s="218" t="s">
        <v>4892</v>
      </c>
      <c r="E1570" s="218" t="s">
        <v>1839</v>
      </c>
      <c r="F1570" s="218" t="s">
        <v>1840</v>
      </c>
      <c r="G1570" s="218" t="s">
        <v>1841</v>
      </c>
    </row>
    <row r="1571" spans="1:7" x14ac:dyDescent="0.15">
      <c r="A1571" s="218" t="s">
        <v>10146</v>
      </c>
      <c r="B1571" s="218" t="s">
        <v>10147</v>
      </c>
      <c r="C1571" s="218" t="s">
        <v>3534</v>
      </c>
      <c r="D1571" s="218" t="s">
        <v>10148</v>
      </c>
      <c r="E1571" s="218" t="s">
        <v>1839</v>
      </c>
      <c r="F1571" s="218" t="s">
        <v>1840</v>
      </c>
      <c r="G1571" s="218" t="s">
        <v>1841</v>
      </c>
    </row>
    <row r="1572" spans="1:7" x14ac:dyDescent="0.15">
      <c r="A1572" s="218" t="s">
        <v>10149</v>
      </c>
      <c r="B1572" s="218" t="s">
        <v>10150</v>
      </c>
      <c r="C1572" s="218" t="s">
        <v>3534</v>
      </c>
      <c r="D1572" s="218" t="s">
        <v>10151</v>
      </c>
      <c r="E1572" s="218" t="s">
        <v>1839</v>
      </c>
      <c r="F1572" s="218" t="s">
        <v>1840</v>
      </c>
      <c r="G1572" s="218" t="s">
        <v>1841</v>
      </c>
    </row>
    <row r="1573" spans="1:7" x14ac:dyDescent="0.15">
      <c r="A1573" s="218" t="s">
        <v>4893</v>
      </c>
      <c r="B1573" s="218" t="s">
        <v>4894</v>
      </c>
      <c r="C1573" s="218" t="s">
        <v>3534</v>
      </c>
      <c r="D1573" s="218" t="s">
        <v>4895</v>
      </c>
      <c r="E1573" s="218" t="s">
        <v>1839</v>
      </c>
      <c r="F1573" s="218" t="s">
        <v>1840</v>
      </c>
      <c r="G1573" s="218" t="s">
        <v>1841</v>
      </c>
    </row>
    <row r="1574" spans="1:7" x14ac:dyDescent="0.15">
      <c r="A1574" s="218" t="s">
        <v>4896</v>
      </c>
      <c r="B1574" s="218" t="s">
        <v>4897</v>
      </c>
      <c r="C1574" s="218" t="s">
        <v>3534</v>
      </c>
      <c r="D1574" s="218" t="s">
        <v>4898</v>
      </c>
      <c r="E1574" s="218" t="s">
        <v>1839</v>
      </c>
      <c r="F1574" s="218" t="s">
        <v>1840</v>
      </c>
      <c r="G1574" s="218" t="s">
        <v>1841</v>
      </c>
    </row>
    <row r="1575" spans="1:7" x14ac:dyDescent="0.15">
      <c r="A1575" s="218" t="s">
        <v>11651</v>
      </c>
      <c r="B1575" s="218" t="s">
        <v>11652</v>
      </c>
      <c r="C1575" s="218" t="s">
        <v>3534</v>
      </c>
      <c r="D1575" s="218" t="s">
        <v>11653</v>
      </c>
      <c r="E1575" s="218" t="s">
        <v>1935</v>
      </c>
      <c r="F1575" s="218" t="s">
        <v>1840</v>
      </c>
      <c r="G1575" s="218" t="s">
        <v>1841</v>
      </c>
    </row>
    <row r="1576" spans="1:7" x14ac:dyDescent="0.15">
      <c r="A1576" s="218" t="s">
        <v>10152</v>
      </c>
      <c r="B1576" s="218" t="s">
        <v>10153</v>
      </c>
      <c r="C1576" s="218" t="s">
        <v>3534</v>
      </c>
      <c r="D1576" s="218" t="s">
        <v>10154</v>
      </c>
      <c r="E1576" s="218" t="s">
        <v>1935</v>
      </c>
      <c r="F1576" s="218" t="s">
        <v>1840</v>
      </c>
      <c r="G1576" s="218" t="s">
        <v>1841</v>
      </c>
    </row>
    <row r="1577" spans="1:7" x14ac:dyDescent="0.15">
      <c r="A1577" s="218" t="s">
        <v>10155</v>
      </c>
      <c r="B1577" s="218" t="s">
        <v>10156</v>
      </c>
      <c r="C1577" s="218" t="s">
        <v>3534</v>
      </c>
      <c r="D1577" s="218" t="s">
        <v>10157</v>
      </c>
      <c r="E1577" s="218" t="s">
        <v>1935</v>
      </c>
      <c r="F1577" s="218" t="s">
        <v>1840</v>
      </c>
      <c r="G1577" s="218" t="s">
        <v>1841</v>
      </c>
    </row>
    <row r="1578" spans="1:7" x14ac:dyDescent="0.15">
      <c r="A1578" s="218" t="s">
        <v>4902</v>
      </c>
      <c r="B1578" s="218" t="s">
        <v>4903</v>
      </c>
      <c r="C1578" s="218" t="s">
        <v>3534</v>
      </c>
      <c r="D1578" s="218" t="s">
        <v>4904</v>
      </c>
      <c r="E1578" s="218" t="s">
        <v>1839</v>
      </c>
      <c r="F1578" s="218" t="s">
        <v>1840</v>
      </c>
      <c r="G1578" s="218" t="s">
        <v>1841</v>
      </c>
    </row>
    <row r="1579" spans="1:7" x14ac:dyDescent="0.15">
      <c r="A1579" s="218" t="s">
        <v>4905</v>
      </c>
      <c r="B1579" s="218" t="s">
        <v>4906</v>
      </c>
      <c r="C1579" s="218" t="s">
        <v>3534</v>
      </c>
      <c r="D1579" s="218" t="s">
        <v>4907</v>
      </c>
      <c r="E1579" s="218" t="s">
        <v>1839</v>
      </c>
      <c r="F1579" s="218" t="s">
        <v>1840</v>
      </c>
      <c r="G1579" s="218" t="s">
        <v>1841</v>
      </c>
    </row>
    <row r="1580" spans="1:7" x14ac:dyDescent="0.15">
      <c r="A1580" s="218" t="s">
        <v>4908</v>
      </c>
      <c r="B1580" s="218" t="s">
        <v>4909</v>
      </c>
      <c r="C1580" s="218" t="s">
        <v>3534</v>
      </c>
      <c r="D1580" s="218" t="s">
        <v>4910</v>
      </c>
      <c r="E1580" s="218" t="s">
        <v>1839</v>
      </c>
      <c r="F1580" s="218" t="s">
        <v>1840</v>
      </c>
      <c r="G1580" s="218" t="s">
        <v>1841</v>
      </c>
    </row>
    <row r="1581" spans="1:7" x14ac:dyDescent="0.15">
      <c r="A1581" s="218" t="s">
        <v>4911</v>
      </c>
      <c r="B1581" s="218" t="s">
        <v>4912</v>
      </c>
      <c r="C1581" s="218" t="s">
        <v>3534</v>
      </c>
      <c r="D1581" s="218" t="s">
        <v>4913</v>
      </c>
      <c r="E1581" s="218" t="s">
        <v>1839</v>
      </c>
      <c r="F1581" s="218" t="s">
        <v>1840</v>
      </c>
      <c r="G1581" s="218" t="s">
        <v>1841</v>
      </c>
    </row>
    <row r="1582" spans="1:7" x14ac:dyDescent="0.15">
      <c r="A1582" s="218" t="s">
        <v>4914</v>
      </c>
      <c r="B1582" s="218" t="s">
        <v>4915</v>
      </c>
      <c r="C1582" s="218" t="s">
        <v>3534</v>
      </c>
      <c r="D1582" s="218" t="s">
        <v>4916</v>
      </c>
      <c r="E1582" s="218" t="s">
        <v>1839</v>
      </c>
      <c r="F1582" s="218" t="s">
        <v>1840</v>
      </c>
      <c r="G1582" s="218" t="s">
        <v>1841</v>
      </c>
    </row>
    <row r="1583" spans="1:7" x14ac:dyDescent="0.15">
      <c r="A1583" s="218" t="s">
        <v>10158</v>
      </c>
      <c r="B1583" s="218" t="s">
        <v>799</v>
      </c>
      <c r="C1583" s="218" t="s">
        <v>3534</v>
      </c>
      <c r="D1583" s="218" t="s">
        <v>800</v>
      </c>
      <c r="E1583" s="218" t="s">
        <v>1839</v>
      </c>
      <c r="F1583" s="218" t="s">
        <v>1840</v>
      </c>
      <c r="G1583" s="218" t="s">
        <v>1841</v>
      </c>
    </row>
    <row r="1584" spans="1:7" x14ac:dyDescent="0.15">
      <c r="A1584" s="218" t="s">
        <v>10159</v>
      </c>
      <c r="B1584" s="218" t="s">
        <v>10160</v>
      </c>
      <c r="C1584" s="218" t="s">
        <v>3534</v>
      </c>
      <c r="D1584" s="218" t="s">
        <v>10161</v>
      </c>
      <c r="E1584" s="218" t="s">
        <v>1839</v>
      </c>
      <c r="F1584" s="218" t="s">
        <v>1840</v>
      </c>
      <c r="G1584" s="218" t="s">
        <v>1841</v>
      </c>
    </row>
    <row r="1585" spans="1:7" x14ac:dyDescent="0.15">
      <c r="A1585" s="218" t="s">
        <v>10162</v>
      </c>
      <c r="B1585" s="218" t="s">
        <v>10163</v>
      </c>
      <c r="C1585" s="218" t="s">
        <v>3534</v>
      </c>
      <c r="D1585" s="218" t="s">
        <v>10164</v>
      </c>
      <c r="E1585" s="218" t="s">
        <v>1839</v>
      </c>
      <c r="F1585" s="218" t="s">
        <v>1840</v>
      </c>
      <c r="G1585" s="218" t="s">
        <v>1841</v>
      </c>
    </row>
    <row r="1586" spans="1:7" x14ac:dyDescent="0.15">
      <c r="A1586" s="218" t="s">
        <v>10165</v>
      </c>
      <c r="B1586" s="218" t="s">
        <v>10166</v>
      </c>
      <c r="C1586" s="218" t="s">
        <v>3534</v>
      </c>
      <c r="D1586" s="218" t="s">
        <v>10167</v>
      </c>
      <c r="E1586" s="218" t="s">
        <v>1839</v>
      </c>
      <c r="F1586" s="218" t="s">
        <v>1840</v>
      </c>
      <c r="G1586" s="218" t="s">
        <v>1841</v>
      </c>
    </row>
    <row r="1587" spans="1:7" x14ac:dyDescent="0.15">
      <c r="A1587" s="218" t="s">
        <v>10168</v>
      </c>
      <c r="B1587" s="218" t="s">
        <v>10169</v>
      </c>
      <c r="C1587" s="218" t="s">
        <v>3534</v>
      </c>
      <c r="D1587" s="218" t="s">
        <v>10170</v>
      </c>
      <c r="E1587" s="218" t="s">
        <v>1839</v>
      </c>
      <c r="F1587" s="218" t="s">
        <v>1840</v>
      </c>
      <c r="G1587" s="218" t="s">
        <v>1841</v>
      </c>
    </row>
    <row r="1588" spans="1:7" x14ac:dyDescent="0.15">
      <c r="A1588" s="218" t="s">
        <v>4917</v>
      </c>
      <c r="B1588" s="218" t="s">
        <v>4918</v>
      </c>
      <c r="C1588" s="218" t="s">
        <v>3534</v>
      </c>
      <c r="D1588" s="218" t="s">
        <v>4919</v>
      </c>
      <c r="E1588" s="218" t="s">
        <v>1839</v>
      </c>
      <c r="F1588" s="218" t="s">
        <v>1840</v>
      </c>
      <c r="G1588" s="218" t="s">
        <v>1841</v>
      </c>
    </row>
    <row r="1589" spans="1:7" x14ac:dyDescent="0.15">
      <c r="A1589" s="218" t="s">
        <v>10171</v>
      </c>
      <c r="B1589" s="218" t="s">
        <v>1002</v>
      </c>
      <c r="C1589" s="218" t="s">
        <v>3534</v>
      </c>
      <c r="D1589" s="218" t="s">
        <v>1003</v>
      </c>
      <c r="E1589" s="218" t="s">
        <v>1839</v>
      </c>
      <c r="F1589" s="218" t="s">
        <v>1840</v>
      </c>
      <c r="G1589" s="218" t="s">
        <v>1841</v>
      </c>
    </row>
    <row r="1590" spans="1:7" x14ac:dyDescent="0.15">
      <c r="A1590" s="218" t="s">
        <v>4920</v>
      </c>
      <c r="B1590" s="218" t="s">
        <v>4921</v>
      </c>
      <c r="C1590" s="218" t="s">
        <v>3534</v>
      </c>
      <c r="D1590" s="218" t="s">
        <v>4922</v>
      </c>
      <c r="E1590" s="218" t="s">
        <v>1839</v>
      </c>
      <c r="F1590" s="218" t="s">
        <v>1840</v>
      </c>
      <c r="G1590" s="218" t="s">
        <v>1841</v>
      </c>
    </row>
    <row r="1591" spans="1:7" x14ac:dyDescent="0.15">
      <c r="A1591" s="218" t="s">
        <v>10172</v>
      </c>
      <c r="B1591" s="218" t="s">
        <v>10173</v>
      </c>
      <c r="C1591" s="218" t="s">
        <v>3534</v>
      </c>
      <c r="D1591" s="218" t="s">
        <v>10174</v>
      </c>
      <c r="E1591" s="218" t="s">
        <v>1839</v>
      </c>
      <c r="F1591" s="218" t="s">
        <v>1840</v>
      </c>
      <c r="G1591" s="218" t="s">
        <v>1841</v>
      </c>
    </row>
    <row r="1592" spans="1:7" x14ac:dyDescent="0.15">
      <c r="A1592" s="218" t="s">
        <v>4923</v>
      </c>
      <c r="B1592" s="218" t="s">
        <v>4924</v>
      </c>
      <c r="C1592" s="218" t="s">
        <v>3534</v>
      </c>
      <c r="D1592" s="218" t="s">
        <v>4925</v>
      </c>
      <c r="E1592" s="218" t="s">
        <v>1839</v>
      </c>
      <c r="F1592" s="218" t="s">
        <v>1840</v>
      </c>
      <c r="G1592" s="218" t="s">
        <v>1841</v>
      </c>
    </row>
    <row r="1593" spans="1:7" x14ac:dyDescent="0.15">
      <c r="A1593" s="218" t="s">
        <v>4926</v>
      </c>
      <c r="B1593" s="218" t="s">
        <v>4927</v>
      </c>
      <c r="C1593" s="218" t="s">
        <v>3534</v>
      </c>
      <c r="D1593" s="218" t="s">
        <v>1348</v>
      </c>
      <c r="E1593" s="218" t="s">
        <v>1839</v>
      </c>
      <c r="F1593" s="218" t="s">
        <v>1840</v>
      </c>
      <c r="G1593" s="218" t="s">
        <v>1841</v>
      </c>
    </row>
    <row r="1594" spans="1:7" x14ac:dyDescent="0.15">
      <c r="A1594" s="218" t="s">
        <v>10175</v>
      </c>
      <c r="B1594" s="218" t="s">
        <v>10176</v>
      </c>
      <c r="C1594" s="218" t="s">
        <v>3534</v>
      </c>
      <c r="D1594" s="218" t="s">
        <v>10177</v>
      </c>
      <c r="E1594" s="218" t="s">
        <v>1839</v>
      </c>
      <c r="F1594" s="218" t="s">
        <v>1840</v>
      </c>
      <c r="G1594" s="218" t="s">
        <v>1841</v>
      </c>
    </row>
    <row r="1595" spans="1:7" x14ac:dyDescent="0.15">
      <c r="A1595" s="218" t="s">
        <v>4931</v>
      </c>
      <c r="B1595" s="218" t="s">
        <v>4932</v>
      </c>
      <c r="C1595" s="218" t="s">
        <v>3534</v>
      </c>
      <c r="D1595" s="218" t="s">
        <v>4933</v>
      </c>
      <c r="E1595" s="218" t="s">
        <v>1839</v>
      </c>
      <c r="F1595" s="218" t="s">
        <v>1840</v>
      </c>
      <c r="G1595" s="218" t="s">
        <v>1841</v>
      </c>
    </row>
    <row r="1596" spans="1:7" x14ac:dyDescent="0.15">
      <c r="A1596" s="218" t="s">
        <v>4934</v>
      </c>
      <c r="B1596" s="218" t="s">
        <v>4935</v>
      </c>
      <c r="C1596" s="218" t="s">
        <v>3534</v>
      </c>
      <c r="D1596" s="218" t="s">
        <v>4936</v>
      </c>
      <c r="E1596" s="218" t="s">
        <v>1839</v>
      </c>
      <c r="F1596" s="218" t="s">
        <v>1840</v>
      </c>
      <c r="G1596" s="218" t="s">
        <v>1841</v>
      </c>
    </row>
    <row r="1597" spans="1:7" x14ac:dyDescent="0.15">
      <c r="A1597" s="218" t="s">
        <v>4937</v>
      </c>
      <c r="B1597" s="218" t="s">
        <v>4938</v>
      </c>
      <c r="C1597" s="218" t="s">
        <v>3534</v>
      </c>
      <c r="D1597" s="218" t="s">
        <v>4939</v>
      </c>
      <c r="E1597" s="218" t="s">
        <v>1839</v>
      </c>
      <c r="F1597" s="218" t="s">
        <v>1840</v>
      </c>
      <c r="G1597" s="218" t="s">
        <v>1841</v>
      </c>
    </row>
    <row r="1598" spans="1:7" x14ac:dyDescent="0.15">
      <c r="A1598" s="218" t="s">
        <v>4940</v>
      </c>
      <c r="B1598" s="218" t="s">
        <v>4941</v>
      </c>
      <c r="C1598" s="218" t="s">
        <v>3534</v>
      </c>
      <c r="D1598" s="218" t="s">
        <v>4942</v>
      </c>
      <c r="E1598" s="218" t="s">
        <v>1839</v>
      </c>
      <c r="F1598" s="218" t="s">
        <v>1840</v>
      </c>
      <c r="G1598" s="218" t="s">
        <v>1841</v>
      </c>
    </row>
    <row r="1599" spans="1:7" x14ac:dyDescent="0.15">
      <c r="A1599" s="218" t="s">
        <v>4943</v>
      </c>
      <c r="B1599" s="218" t="s">
        <v>4944</v>
      </c>
      <c r="C1599" s="218" t="s">
        <v>3534</v>
      </c>
      <c r="D1599" s="218" t="s">
        <v>4945</v>
      </c>
      <c r="E1599" s="218" t="s">
        <v>1839</v>
      </c>
      <c r="F1599" s="218" t="s">
        <v>1840</v>
      </c>
      <c r="G1599" s="218" t="s">
        <v>1841</v>
      </c>
    </row>
    <row r="1600" spans="1:7" x14ac:dyDescent="0.15">
      <c r="A1600" s="218" t="s">
        <v>4946</v>
      </c>
      <c r="B1600" s="218" t="s">
        <v>4947</v>
      </c>
      <c r="C1600" s="218" t="s">
        <v>3534</v>
      </c>
      <c r="D1600" s="218" t="s">
        <v>4948</v>
      </c>
      <c r="E1600" s="218" t="s">
        <v>1839</v>
      </c>
      <c r="F1600" s="218" t="s">
        <v>1840</v>
      </c>
      <c r="G1600" s="218" t="s">
        <v>1841</v>
      </c>
    </row>
    <row r="1601" spans="1:7" x14ac:dyDescent="0.15">
      <c r="A1601" s="218" t="s">
        <v>10178</v>
      </c>
      <c r="B1601" s="218" t="s">
        <v>10179</v>
      </c>
      <c r="C1601" s="218" t="s">
        <v>3534</v>
      </c>
      <c r="D1601" s="218" t="s">
        <v>10180</v>
      </c>
      <c r="E1601" s="218" t="s">
        <v>1839</v>
      </c>
      <c r="F1601" s="218" t="s">
        <v>1840</v>
      </c>
      <c r="G1601" s="218" t="s">
        <v>1841</v>
      </c>
    </row>
    <row r="1602" spans="1:7" x14ac:dyDescent="0.15">
      <c r="A1602" s="218" t="s">
        <v>4949</v>
      </c>
      <c r="B1602" s="218" t="s">
        <v>4950</v>
      </c>
      <c r="C1602" s="218" t="s">
        <v>3534</v>
      </c>
      <c r="D1602" s="218" t="s">
        <v>4951</v>
      </c>
      <c r="E1602" s="218" t="s">
        <v>1839</v>
      </c>
      <c r="F1602" s="218" t="s">
        <v>1840</v>
      </c>
      <c r="G1602" s="218" t="s">
        <v>1841</v>
      </c>
    </row>
    <row r="1603" spans="1:7" x14ac:dyDescent="0.15">
      <c r="A1603" s="218" t="s">
        <v>10181</v>
      </c>
      <c r="B1603" s="218" t="s">
        <v>670</v>
      </c>
      <c r="C1603" s="218" t="s">
        <v>3534</v>
      </c>
      <c r="D1603" s="218" t="s">
        <v>671</v>
      </c>
      <c r="E1603" s="218" t="s">
        <v>1839</v>
      </c>
      <c r="F1603" s="218" t="s">
        <v>1840</v>
      </c>
      <c r="G1603" s="218" t="s">
        <v>1841</v>
      </c>
    </row>
    <row r="1604" spans="1:7" x14ac:dyDescent="0.15">
      <c r="A1604" s="218" t="s">
        <v>4952</v>
      </c>
      <c r="B1604" s="218" t="s">
        <v>4953</v>
      </c>
      <c r="C1604" s="218" t="s">
        <v>3534</v>
      </c>
      <c r="D1604" s="218" t="s">
        <v>4954</v>
      </c>
      <c r="E1604" s="218" t="s">
        <v>1839</v>
      </c>
      <c r="F1604" s="218" t="s">
        <v>1840</v>
      </c>
      <c r="G1604" s="218" t="s">
        <v>1841</v>
      </c>
    </row>
    <row r="1605" spans="1:7" x14ac:dyDescent="0.15">
      <c r="A1605" s="218" t="s">
        <v>10182</v>
      </c>
      <c r="B1605" s="218" t="s">
        <v>10183</v>
      </c>
      <c r="C1605" s="218" t="s">
        <v>3534</v>
      </c>
      <c r="D1605" s="218" t="s">
        <v>10184</v>
      </c>
      <c r="E1605" s="218" t="s">
        <v>1839</v>
      </c>
      <c r="F1605" s="218" t="s">
        <v>1840</v>
      </c>
      <c r="G1605" s="218" t="s">
        <v>1841</v>
      </c>
    </row>
    <row r="1606" spans="1:7" x14ac:dyDescent="0.15">
      <c r="A1606" s="218" t="s">
        <v>4955</v>
      </c>
      <c r="B1606" s="218" t="s">
        <v>4956</v>
      </c>
      <c r="C1606" s="218" t="s">
        <v>3534</v>
      </c>
      <c r="D1606" s="218" t="s">
        <v>4957</v>
      </c>
      <c r="E1606" s="218" t="s">
        <v>1839</v>
      </c>
      <c r="F1606" s="218" t="s">
        <v>1840</v>
      </c>
      <c r="G1606" s="218" t="s">
        <v>1841</v>
      </c>
    </row>
    <row r="1607" spans="1:7" x14ac:dyDescent="0.15">
      <c r="A1607" s="218" t="s">
        <v>4958</v>
      </c>
      <c r="B1607" s="218" t="s">
        <v>4959</v>
      </c>
      <c r="C1607" s="218" t="s">
        <v>3534</v>
      </c>
      <c r="D1607" s="218" t="s">
        <v>4960</v>
      </c>
      <c r="E1607" s="218" t="s">
        <v>1839</v>
      </c>
      <c r="F1607" s="218" t="s">
        <v>1840</v>
      </c>
      <c r="G1607" s="218" t="s">
        <v>1841</v>
      </c>
    </row>
    <row r="1608" spans="1:7" x14ac:dyDescent="0.15">
      <c r="A1608" s="218" t="s">
        <v>4961</v>
      </c>
      <c r="B1608" s="218" t="s">
        <v>4962</v>
      </c>
      <c r="C1608" s="218" t="s">
        <v>3534</v>
      </c>
      <c r="D1608" s="218" t="s">
        <v>4963</v>
      </c>
      <c r="E1608" s="218" t="s">
        <v>1839</v>
      </c>
      <c r="F1608" s="218" t="s">
        <v>1840</v>
      </c>
      <c r="G1608" s="218" t="s">
        <v>1841</v>
      </c>
    </row>
    <row r="1609" spans="1:7" x14ac:dyDescent="0.15">
      <c r="A1609" s="218" t="s">
        <v>10185</v>
      </c>
      <c r="B1609" s="218" t="s">
        <v>10186</v>
      </c>
      <c r="C1609" s="218" t="s">
        <v>3534</v>
      </c>
      <c r="D1609" s="218" t="s">
        <v>10187</v>
      </c>
      <c r="E1609" s="218" t="s">
        <v>1839</v>
      </c>
      <c r="F1609" s="218" t="s">
        <v>1840</v>
      </c>
      <c r="G1609" s="218" t="s">
        <v>1841</v>
      </c>
    </row>
    <row r="1610" spans="1:7" x14ac:dyDescent="0.15">
      <c r="A1610" s="218" t="s">
        <v>10188</v>
      </c>
      <c r="B1610" s="218" t="s">
        <v>10189</v>
      </c>
      <c r="C1610" s="218" t="s">
        <v>3534</v>
      </c>
      <c r="D1610" s="218" t="s">
        <v>10190</v>
      </c>
      <c r="E1610" s="218" t="s">
        <v>1839</v>
      </c>
      <c r="F1610" s="218" t="s">
        <v>1840</v>
      </c>
      <c r="G1610" s="218" t="s">
        <v>1841</v>
      </c>
    </row>
    <row r="1611" spans="1:7" x14ac:dyDescent="0.15">
      <c r="A1611" s="218" t="s">
        <v>4964</v>
      </c>
      <c r="B1611" s="218" t="s">
        <v>4965</v>
      </c>
      <c r="C1611" s="218" t="s">
        <v>3534</v>
      </c>
      <c r="D1611" s="218" t="s">
        <v>4966</v>
      </c>
      <c r="E1611" s="218" t="s">
        <v>1839</v>
      </c>
      <c r="F1611" s="218" t="s">
        <v>1840</v>
      </c>
      <c r="G1611" s="218" t="s">
        <v>1841</v>
      </c>
    </row>
    <row r="1612" spans="1:7" x14ac:dyDescent="0.15">
      <c r="A1612" s="218" t="s">
        <v>10191</v>
      </c>
      <c r="B1612" s="218" t="s">
        <v>10192</v>
      </c>
      <c r="C1612" s="218" t="s">
        <v>3534</v>
      </c>
      <c r="D1612" s="218" t="s">
        <v>10193</v>
      </c>
      <c r="E1612" s="218" t="s">
        <v>1839</v>
      </c>
      <c r="F1612" s="218" t="s">
        <v>1840</v>
      </c>
      <c r="G1612" s="218" t="s">
        <v>1841</v>
      </c>
    </row>
    <row r="1613" spans="1:7" x14ac:dyDescent="0.15">
      <c r="A1613" s="218" t="s">
        <v>4967</v>
      </c>
      <c r="B1613" s="218" t="s">
        <v>4968</v>
      </c>
      <c r="C1613" s="218" t="s">
        <v>3534</v>
      </c>
      <c r="D1613" s="218" t="s">
        <v>4969</v>
      </c>
      <c r="E1613" s="218" t="s">
        <v>1839</v>
      </c>
      <c r="F1613" s="218" t="s">
        <v>1840</v>
      </c>
      <c r="G1613" s="218" t="s">
        <v>1841</v>
      </c>
    </row>
    <row r="1614" spans="1:7" x14ac:dyDescent="0.15">
      <c r="A1614" s="218" t="s">
        <v>10194</v>
      </c>
      <c r="B1614" s="218" t="s">
        <v>10195</v>
      </c>
      <c r="C1614" s="218" t="s">
        <v>3534</v>
      </c>
      <c r="D1614" s="218" t="s">
        <v>10196</v>
      </c>
      <c r="E1614" s="218" t="s">
        <v>1839</v>
      </c>
      <c r="F1614" s="218" t="s">
        <v>1840</v>
      </c>
      <c r="G1614" s="218" t="s">
        <v>1841</v>
      </c>
    </row>
    <row r="1615" spans="1:7" x14ac:dyDescent="0.15">
      <c r="A1615" s="218" t="s">
        <v>10197</v>
      </c>
      <c r="B1615" s="218" t="s">
        <v>10198</v>
      </c>
      <c r="C1615" s="218" t="s">
        <v>3534</v>
      </c>
      <c r="D1615" s="218" t="s">
        <v>4970</v>
      </c>
      <c r="E1615" s="218" t="s">
        <v>1839</v>
      </c>
      <c r="F1615" s="218" t="s">
        <v>1840</v>
      </c>
      <c r="G1615" s="218" t="s">
        <v>1841</v>
      </c>
    </row>
    <row r="1616" spans="1:7" x14ac:dyDescent="0.15">
      <c r="A1616" s="218" t="s">
        <v>4971</v>
      </c>
      <c r="B1616" s="218" t="s">
        <v>4972</v>
      </c>
      <c r="C1616" s="218" t="s">
        <v>3534</v>
      </c>
      <c r="D1616" s="218" t="s">
        <v>4973</v>
      </c>
      <c r="E1616" s="218" t="s">
        <v>1839</v>
      </c>
      <c r="F1616" s="218" t="s">
        <v>1840</v>
      </c>
      <c r="G1616" s="218" t="s">
        <v>1841</v>
      </c>
    </row>
    <row r="1617" spans="1:7" x14ac:dyDescent="0.15">
      <c r="A1617" s="218" t="s">
        <v>4974</v>
      </c>
      <c r="B1617" s="218" t="s">
        <v>4975</v>
      </c>
      <c r="C1617" s="218" t="s">
        <v>3534</v>
      </c>
      <c r="D1617" s="218" t="s">
        <v>4976</v>
      </c>
      <c r="E1617" s="218" t="s">
        <v>1839</v>
      </c>
      <c r="F1617" s="218" t="s">
        <v>1840</v>
      </c>
      <c r="G1617" s="218" t="s">
        <v>1841</v>
      </c>
    </row>
    <row r="1618" spans="1:7" x14ac:dyDescent="0.15">
      <c r="A1618" s="218" t="s">
        <v>10199</v>
      </c>
      <c r="B1618" s="218" t="s">
        <v>10200</v>
      </c>
      <c r="C1618" s="218" t="s">
        <v>3534</v>
      </c>
      <c r="D1618" s="218" t="s">
        <v>10201</v>
      </c>
      <c r="E1618" s="218" t="s">
        <v>1935</v>
      </c>
      <c r="F1618" s="218" t="s">
        <v>1840</v>
      </c>
      <c r="G1618" s="218" t="s">
        <v>1841</v>
      </c>
    </row>
    <row r="1619" spans="1:7" x14ac:dyDescent="0.15">
      <c r="A1619" s="218" t="s">
        <v>4978</v>
      </c>
      <c r="B1619" s="218" t="s">
        <v>4979</v>
      </c>
      <c r="C1619" s="218" t="s">
        <v>3534</v>
      </c>
      <c r="D1619" s="218" t="s">
        <v>1112</v>
      </c>
      <c r="E1619" s="218" t="s">
        <v>1839</v>
      </c>
      <c r="F1619" s="218" t="s">
        <v>1840</v>
      </c>
      <c r="G1619" s="218" t="s">
        <v>1841</v>
      </c>
    </row>
    <row r="1620" spans="1:7" x14ac:dyDescent="0.15">
      <c r="A1620" s="218" t="s">
        <v>10202</v>
      </c>
      <c r="B1620" s="218" t="s">
        <v>10203</v>
      </c>
      <c r="C1620" s="218" t="s">
        <v>3534</v>
      </c>
      <c r="D1620" s="218" t="s">
        <v>10204</v>
      </c>
      <c r="E1620" s="218" t="s">
        <v>1839</v>
      </c>
      <c r="F1620" s="218" t="s">
        <v>1840</v>
      </c>
      <c r="G1620" s="218" t="s">
        <v>1841</v>
      </c>
    </row>
    <row r="1621" spans="1:7" x14ac:dyDescent="0.15">
      <c r="A1621" s="218" t="s">
        <v>10205</v>
      </c>
      <c r="B1621" s="218" t="s">
        <v>10206</v>
      </c>
      <c r="C1621" s="218" t="s">
        <v>3534</v>
      </c>
      <c r="D1621" s="218" t="s">
        <v>10207</v>
      </c>
      <c r="E1621" s="218" t="s">
        <v>1839</v>
      </c>
      <c r="F1621" s="218" t="s">
        <v>1840</v>
      </c>
      <c r="G1621" s="218" t="s">
        <v>1841</v>
      </c>
    </row>
    <row r="1622" spans="1:7" x14ac:dyDescent="0.15">
      <c r="A1622" s="218" t="s">
        <v>10208</v>
      </c>
      <c r="B1622" s="218" t="s">
        <v>10209</v>
      </c>
      <c r="C1622" s="218" t="s">
        <v>3534</v>
      </c>
      <c r="D1622" s="218" t="s">
        <v>10210</v>
      </c>
      <c r="E1622" s="218" t="s">
        <v>1935</v>
      </c>
      <c r="F1622" s="218" t="s">
        <v>1840</v>
      </c>
      <c r="G1622" s="218" t="s">
        <v>1841</v>
      </c>
    </row>
    <row r="1623" spans="1:7" x14ac:dyDescent="0.15">
      <c r="A1623" s="218" t="s">
        <v>4980</v>
      </c>
      <c r="B1623" s="218" t="s">
        <v>4981</v>
      </c>
      <c r="C1623" s="218" t="s">
        <v>3534</v>
      </c>
      <c r="D1623" s="218" t="s">
        <v>4982</v>
      </c>
      <c r="E1623" s="218" t="s">
        <v>1839</v>
      </c>
      <c r="F1623" s="218" t="s">
        <v>1840</v>
      </c>
      <c r="G1623" s="218" t="s">
        <v>1841</v>
      </c>
    </row>
    <row r="1624" spans="1:7" x14ac:dyDescent="0.15">
      <c r="A1624" s="218" t="s">
        <v>4983</v>
      </c>
      <c r="B1624" s="218" t="s">
        <v>4984</v>
      </c>
      <c r="C1624" s="218" t="s">
        <v>3534</v>
      </c>
      <c r="D1624" s="218" t="s">
        <v>4985</v>
      </c>
      <c r="E1624" s="218" t="s">
        <v>1839</v>
      </c>
      <c r="F1624" s="218" t="s">
        <v>1840</v>
      </c>
      <c r="G1624" s="218" t="s">
        <v>1841</v>
      </c>
    </row>
    <row r="1625" spans="1:7" x14ac:dyDescent="0.15">
      <c r="A1625" s="218" t="s">
        <v>10211</v>
      </c>
      <c r="B1625" s="218" t="s">
        <v>10212</v>
      </c>
      <c r="C1625" s="218" t="s">
        <v>3534</v>
      </c>
      <c r="D1625" s="218" t="s">
        <v>10213</v>
      </c>
      <c r="E1625" s="218" t="s">
        <v>1839</v>
      </c>
      <c r="F1625" s="218" t="s">
        <v>1840</v>
      </c>
      <c r="G1625" s="218" t="s">
        <v>1841</v>
      </c>
    </row>
    <row r="1626" spans="1:7" x14ac:dyDescent="0.15">
      <c r="A1626" s="218" t="s">
        <v>10214</v>
      </c>
      <c r="B1626" s="218" t="s">
        <v>663</v>
      </c>
      <c r="C1626" s="218" t="s">
        <v>3534</v>
      </c>
      <c r="D1626" s="218" t="s">
        <v>664</v>
      </c>
      <c r="E1626" s="218" t="s">
        <v>1839</v>
      </c>
      <c r="F1626" s="218" t="s">
        <v>1840</v>
      </c>
      <c r="G1626" s="218" t="s">
        <v>1841</v>
      </c>
    </row>
    <row r="1627" spans="1:7" x14ac:dyDescent="0.15">
      <c r="A1627" s="218" t="s">
        <v>4986</v>
      </c>
      <c r="B1627" s="218" t="s">
        <v>4987</v>
      </c>
      <c r="C1627" s="218" t="s">
        <v>3534</v>
      </c>
      <c r="D1627" s="218" t="s">
        <v>4988</v>
      </c>
      <c r="E1627" s="218" t="s">
        <v>1839</v>
      </c>
      <c r="F1627" s="218" t="s">
        <v>1840</v>
      </c>
      <c r="G1627" s="218" t="s">
        <v>1841</v>
      </c>
    </row>
    <row r="1628" spans="1:7" x14ac:dyDescent="0.15">
      <c r="A1628" s="218" t="s">
        <v>10215</v>
      </c>
      <c r="B1628" s="218" t="s">
        <v>10216</v>
      </c>
      <c r="C1628" s="218" t="s">
        <v>3534</v>
      </c>
      <c r="D1628" s="218" t="s">
        <v>1676</v>
      </c>
      <c r="E1628" s="218" t="s">
        <v>1839</v>
      </c>
      <c r="F1628" s="218" t="s">
        <v>1840</v>
      </c>
      <c r="G1628" s="218" t="s">
        <v>1841</v>
      </c>
    </row>
    <row r="1629" spans="1:7" x14ac:dyDescent="0.15">
      <c r="A1629" s="218" t="s">
        <v>4989</v>
      </c>
      <c r="B1629" s="218" t="s">
        <v>4990</v>
      </c>
      <c r="C1629" s="218" t="s">
        <v>3534</v>
      </c>
      <c r="D1629" s="218" t="s">
        <v>4991</v>
      </c>
      <c r="E1629" s="218" t="s">
        <v>1839</v>
      </c>
      <c r="F1629" s="218" t="s">
        <v>1840</v>
      </c>
      <c r="G1629" s="218" t="s">
        <v>1841</v>
      </c>
    </row>
    <row r="1630" spans="1:7" x14ac:dyDescent="0.15">
      <c r="A1630" s="218" t="s">
        <v>4992</v>
      </c>
      <c r="B1630" s="218" t="s">
        <v>4993</v>
      </c>
      <c r="C1630" s="218" t="s">
        <v>3534</v>
      </c>
      <c r="D1630" s="218" t="s">
        <v>4994</v>
      </c>
      <c r="E1630" s="218" t="s">
        <v>1839</v>
      </c>
      <c r="F1630" s="218" t="s">
        <v>1840</v>
      </c>
      <c r="G1630" s="218" t="s">
        <v>1841</v>
      </c>
    </row>
    <row r="1631" spans="1:7" x14ac:dyDescent="0.15">
      <c r="A1631" s="218" t="s">
        <v>4995</v>
      </c>
      <c r="B1631" s="218" t="s">
        <v>4996</v>
      </c>
      <c r="C1631" s="218" t="s">
        <v>3534</v>
      </c>
      <c r="D1631" s="218" t="s">
        <v>4997</v>
      </c>
      <c r="E1631" s="218" t="s">
        <v>1839</v>
      </c>
      <c r="F1631" s="218" t="s">
        <v>1840</v>
      </c>
      <c r="G1631" s="218" t="s">
        <v>1841</v>
      </c>
    </row>
    <row r="1632" spans="1:7" x14ac:dyDescent="0.15">
      <c r="A1632" s="218" t="s">
        <v>4998</v>
      </c>
      <c r="B1632" s="218" t="s">
        <v>4999</v>
      </c>
      <c r="C1632" s="218" t="s">
        <v>3534</v>
      </c>
      <c r="D1632" s="218" t="s">
        <v>4997</v>
      </c>
      <c r="E1632" s="218" t="s">
        <v>1839</v>
      </c>
      <c r="F1632" s="218" t="s">
        <v>1840</v>
      </c>
      <c r="G1632" s="218" t="s">
        <v>1841</v>
      </c>
    </row>
    <row r="1633" spans="1:7" x14ac:dyDescent="0.15">
      <c r="A1633" s="218" t="s">
        <v>10217</v>
      </c>
      <c r="B1633" s="218" t="s">
        <v>10218</v>
      </c>
      <c r="C1633" s="218" t="s">
        <v>3534</v>
      </c>
      <c r="D1633" s="218" t="s">
        <v>8119</v>
      </c>
      <c r="E1633" s="218" t="s">
        <v>1839</v>
      </c>
      <c r="F1633" s="218" t="s">
        <v>1840</v>
      </c>
      <c r="G1633" s="218" t="s">
        <v>1841</v>
      </c>
    </row>
    <row r="1634" spans="1:7" x14ac:dyDescent="0.15">
      <c r="A1634" s="218" t="s">
        <v>5000</v>
      </c>
      <c r="B1634" s="218" t="s">
        <v>5001</v>
      </c>
      <c r="C1634" s="218" t="s">
        <v>3534</v>
      </c>
      <c r="D1634" s="218" t="s">
        <v>1137</v>
      </c>
      <c r="E1634" s="218" t="s">
        <v>1839</v>
      </c>
      <c r="F1634" s="218" t="s">
        <v>1840</v>
      </c>
      <c r="G1634" s="218" t="s">
        <v>1841</v>
      </c>
    </row>
    <row r="1635" spans="1:7" x14ac:dyDescent="0.15">
      <c r="A1635" s="218" t="s">
        <v>10219</v>
      </c>
      <c r="B1635" s="218" t="s">
        <v>1651</v>
      </c>
      <c r="C1635" s="218" t="s">
        <v>3534</v>
      </c>
      <c r="D1635" s="218" t="s">
        <v>1652</v>
      </c>
      <c r="E1635" s="218" t="s">
        <v>1839</v>
      </c>
      <c r="F1635" s="218" t="s">
        <v>1840</v>
      </c>
      <c r="G1635" s="218" t="s">
        <v>1841</v>
      </c>
    </row>
    <row r="1636" spans="1:7" x14ac:dyDescent="0.15">
      <c r="A1636" s="218" t="s">
        <v>5002</v>
      </c>
      <c r="B1636" s="218" t="s">
        <v>5003</v>
      </c>
      <c r="C1636" s="218" t="s">
        <v>3534</v>
      </c>
      <c r="D1636" s="218" t="s">
        <v>5004</v>
      </c>
      <c r="E1636" s="218" t="s">
        <v>1839</v>
      </c>
      <c r="F1636" s="218" t="s">
        <v>1840</v>
      </c>
      <c r="G1636" s="218" t="s">
        <v>1841</v>
      </c>
    </row>
    <row r="1637" spans="1:7" x14ac:dyDescent="0.15">
      <c r="A1637" s="218" t="s">
        <v>5005</v>
      </c>
      <c r="B1637" s="218" t="s">
        <v>5006</v>
      </c>
      <c r="C1637" s="218" t="s">
        <v>3534</v>
      </c>
      <c r="D1637" s="218" t="s">
        <v>5007</v>
      </c>
      <c r="E1637" s="218" t="s">
        <v>1839</v>
      </c>
      <c r="F1637" s="218" t="s">
        <v>1840</v>
      </c>
      <c r="G1637" s="218" t="s">
        <v>1841</v>
      </c>
    </row>
    <row r="1638" spans="1:7" x14ac:dyDescent="0.15">
      <c r="A1638" s="218" t="s">
        <v>5008</v>
      </c>
      <c r="B1638" s="218" t="s">
        <v>5009</v>
      </c>
      <c r="C1638" s="218" t="s">
        <v>3534</v>
      </c>
      <c r="D1638" s="218" t="s">
        <v>5010</v>
      </c>
      <c r="E1638" s="218" t="s">
        <v>1839</v>
      </c>
      <c r="F1638" s="218" t="s">
        <v>1840</v>
      </c>
      <c r="G1638" s="218" t="s">
        <v>1841</v>
      </c>
    </row>
    <row r="1639" spans="1:7" x14ac:dyDescent="0.15">
      <c r="A1639" s="218" t="s">
        <v>10220</v>
      </c>
      <c r="B1639" s="218" t="s">
        <v>10221</v>
      </c>
      <c r="C1639" s="218" t="s">
        <v>3534</v>
      </c>
      <c r="D1639" s="218" t="s">
        <v>10222</v>
      </c>
      <c r="E1639" s="218" t="s">
        <v>1839</v>
      </c>
      <c r="F1639" s="218" t="s">
        <v>1840</v>
      </c>
      <c r="G1639" s="218" t="s">
        <v>1841</v>
      </c>
    </row>
    <row r="1640" spans="1:7" x14ac:dyDescent="0.15">
      <c r="A1640" s="218" t="s">
        <v>10223</v>
      </c>
      <c r="B1640" s="218" t="s">
        <v>1040</v>
      </c>
      <c r="C1640" s="218" t="s">
        <v>3534</v>
      </c>
      <c r="D1640" s="218" t="s">
        <v>1041</v>
      </c>
      <c r="E1640" s="218" t="s">
        <v>1839</v>
      </c>
      <c r="F1640" s="218" t="s">
        <v>1840</v>
      </c>
      <c r="G1640" s="218" t="s">
        <v>1841</v>
      </c>
    </row>
    <row r="1641" spans="1:7" x14ac:dyDescent="0.15">
      <c r="A1641" s="218" t="s">
        <v>5011</v>
      </c>
      <c r="B1641" s="218" t="s">
        <v>5012</v>
      </c>
      <c r="C1641" s="218" t="s">
        <v>3534</v>
      </c>
      <c r="D1641" s="218" t="s">
        <v>5013</v>
      </c>
      <c r="E1641" s="218" t="s">
        <v>1839</v>
      </c>
      <c r="F1641" s="218" t="s">
        <v>1840</v>
      </c>
      <c r="G1641" s="218" t="s">
        <v>1841</v>
      </c>
    </row>
    <row r="1642" spans="1:7" x14ac:dyDescent="0.15">
      <c r="A1642" s="218" t="s">
        <v>10224</v>
      </c>
      <c r="B1642" s="218" t="s">
        <v>10225</v>
      </c>
      <c r="C1642" s="218" t="s">
        <v>3534</v>
      </c>
      <c r="D1642" s="218" t="s">
        <v>10226</v>
      </c>
      <c r="E1642" s="218" t="s">
        <v>1839</v>
      </c>
      <c r="F1642" s="218" t="s">
        <v>1840</v>
      </c>
      <c r="G1642" s="218" t="s">
        <v>1841</v>
      </c>
    </row>
    <row r="1643" spans="1:7" x14ac:dyDescent="0.15">
      <c r="A1643" s="218" t="s">
        <v>5014</v>
      </c>
      <c r="B1643" s="218" t="s">
        <v>5015</v>
      </c>
      <c r="C1643" s="218" t="s">
        <v>3534</v>
      </c>
      <c r="D1643" s="218" t="s">
        <v>5016</v>
      </c>
      <c r="E1643" s="218" t="s">
        <v>1839</v>
      </c>
      <c r="F1643" s="218" t="s">
        <v>1840</v>
      </c>
      <c r="G1643" s="218" t="s">
        <v>1841</v>
      </c>
    </row>
    <row r="1644" spans="1:7" x14ac:dyDescent="0.15">
      <c r="A1644" s="218" t="s">
        <v>10227</v>
      </c>
      <c r="B1644" s="218" t="s">
        <v>10228</v>
      </c>
      <c r="C1644" s="218" t="s">
        <v>3534</v>
      </c>
      <c r="D1644" s="218" t="s">
        <v>10229</v>
      </c>
      <c r="E1644" s="218" t="s">
        <v>1839</v>
      </c>
      <c r="F1644" s="218" t="s">
        <v>1840</v>
      </c>
      <c r="G1644" s="218" t="s">
        <v>1841</v>
      </c>
    </row>
    <row r="1645" spans="1:7" x14ac:dyDescent="0.15">
      <c r="A1645" s="218" t="s">
        <v>5017</v>
      </c>
      <c r="B1645" s="218" t="s">
        <v>5018</v>
      </c>
      <c r="C1645" s="218" t="s">
        <v>3534</v>
      </c>
      <c r="D1645" s="218" t="s">
        <v>5019</v>
      </c>
      <c r="E1645" s="218" t="s">
        <v>1839</v>
      </c>
      <c r="F1645" s="218" t="s">
        <v>1840</v>
      </c>
      <c r="G1645" s="218" t="s">
        <v>1841</v>
      </c>
    </row>
    <row r="1646" spans="1:7" x14ac:dyDescent="0.15">
      <c r="A1646" s="218" t="s">
        <v>10230</v>
      </c>
      <c r="B1646" s="218" t="s">
        <v>10231</v>
      </c>
      <c r="C1646" s="218" t="s">
        <v>3534</v>
      </c>
      <c r="D1646" s="218" t="s">
        <v>978</v>
      </c>
      <c r="E1646" s="218" t="s">
        <v>1839</v>
      </c>
      <c r="F1646" s="218" t="s">
        <v>1840</v>
      </c>
      <c r="G1646" s="218" t="s">
        <v>1841</v>
      </c>
    </row>
    <row r="1647" spans="1:7" x14ac:dyDescent="0.15">
      <c r="A1647" s="218" t="s">
        <v>10232</v>
      </c>
      <c r="B1647" s="218" t="s">
        <v>977</v>
      </c>
      <c r="C1647" s="218" t="s">
        <v>3534</v>
      </c>
      <c r="D1647" s="218" t="s">
        <v>978</v>
      </c>
      <c r="E1647" s="218" t="s">
        <v>1839</v>
      </c>
      <c r="F1647" s="218" t="s">
        <v>1840</v>
      </c>
      <c r="G1647" s="218" t="s">
        <v>1841</v>
      </c>
    </row>
    <row r="1648" spans="1:7" x14ac:dyDescent="0.15">
      <c r="A1648" s="218" t="s">
        <v>10233</v>
      </c>
      <c r="B1648" s="218" t="s">
        <v>10234</v>
      </c>
      <c r="C1648" s="218" t="s">
        <v>3534</v>
      </c>
      <c r="D1648" s="218" t="s">
        <v>8616</v>
      </c>
      <c r="E1648" s="218" t="s">
        <v>1839</v>
      </c>
      <c r="F1648" s="218" t="s">
        <v>1840</v>
      </c>
      <c r="G1648" s="218" t="s">
        <v>1841</v>
      </c>
    </row>
    <row r="1649" spans="1:7" x14ac:dyDescent="0.15">
      <c r="A1649" s="218" t="s">
        <v>5020</v>
      </c>
      <c r="B1649" s="218" t="s">
        <v>5021</v>
      </c>
      <c r="C1649" s="218" t="s">
        <v>3534</v>
      </c>
      <c r="D1649" s="218" t="s">
        <v>5022</v>
      </c>
      <c r="E1649" s="218" t="s">
        <v>1839</v>
      </c>
      <c r="F1649" s="218" t="s">
        <v>1840</v>
      </c>
      <c r="G1649" s="218" t="s">
        <v>1841</v>
      </c>
    </row>
    <row r="1650" spans="1:7" x14ac:dyDescent="0.15">
      <c r="A1650" s="218" t="s">
        <v>5023</v>
      </c>
      <c r="B1650" s="218" t="s">
        <v>5024</v>
      </c>
      <c r="C1650" s="218" t="s">
        <v>3534</v>
      </c>
      <c r="D1650" s="218" t="s">
        <v>5025</v>
      </c>
      <c r="E1650" s="218" t="s">
        <v>1839</v>
      </c>
      <c r="F1650" s="218" t="s">
        <v>1840</v>
      </c>
      <c r="G1650" s="218" t="s">
        <v>1841</v>
      </c>
    </row>
    <row r="1651" spans="1:7" x14ac:dyDescent="0.15">
      <c r="A1651" s="218" t="s">
        <v>5026</v>
      </c>
      <c r="B1651" s="218" t="s">
        <v>5027</v>
      </c>
      <c r="C1651" s="218" t="s">
        <v>3534</v>
      </c>
      <c r="D1651" s="218" t="s">
        <v>5028</v>
      </c>
      <c r="E1651" s="218" t="s">
        <v>1839</v>
      </c>
      <c r="F1651" s="218" t="s">
        <v>1840</v>
      </c>
      <c r="G1651" s="218" t="s">
        <v>1841</v>
      </c>
    </row>
    <row r="1652" spans="1:7" x14ac:dyDescent="0.15">
      <c r="A1652" s="218" t="s">
        <v>5031</v>
      </c>
      <c r="B1652" s="218" t="s">
        <v>5032</v>
      </c>
      <c r="C1652" s="218" t="s">
        <v>3534</v>
      </c>
      <c r="D1652" s="218" t="s">
        <v>5033</v>
      </c>
      <c r="E1652" s="218" t="s">
        <v>1839</v>
      </c>
      <c r="F1652" s="218" t="s">
        <v>1840</v>
      </c>
      <c r="G1652" s="218" t="s">
        <v>1841</v>
      </c>
    </row>
    <row r="1653" spans="1:7" x14ac:dyDescent="0.15">
      <c r="A1653" s="218" t="s">
        <v>10235</v>
      </c>
      <c r="B1653" s="218" t="s">
        <v>10236</v>
      </c>
      <c r="C1653" s="218" t="s">
        <v>3534</v>
      </c>
      <c r="D1653" s="218" t="s">
        <v>10237</v>
      </c>
      <c r="E1653" s="218" t="s">
        <v>1839</v>
      </c>
      <c r="F1653" s="218" t="s">
        <v>1840</v>
      </c>
      <c r="G1653" s="218" t="s">
        <v>1841</v>
      </c>
    </row>
    <row r="1654" spans="1:7" x14ac:dyDescent="0.15">
      <c r="A1654" s="218" t="s">
        <v>5034</v>
      </c>
      <c r="B1654" s="218" t="s">
        <v>5035</v>
      </c>
      <c r="C1654" s="218" t="s">
        <v>3534</v>
      </c>
      <c r="D1654" s="218" t="s">
        <v>5036</v>
      </c>
      <c r="E1654" s="218" t="s">
        <v>1839</v>
      </c>
      <c r="F1654" s="218" t="s">
        <v>1840</v>
      </c>
      <c r="G1654" s="218" t="s">
        <v>1841</v>
      </c>
    </row>
    <row r="1655" spans="1:7" x14ac:dyDescent="0.15">
      <c r="A1655" s="218" t="s">
        <v>10238</v>
      </c>
      <c r="B1655" s="218" t="s">
        <v>10239</v>
      </c>
      <c r="C1655" s="218" t="s">
        <v>3534</v>
      </c>
      <c r="D1655" s="218" t="s">
        <v>10240</v>
      </c>
      <c r="E1655" s="218" t="s">
        <v>1839</v>
      </c>
      <c r="F1655" s="218" t="s">
        <v>1840</v>
      </c>
      <c r="G1655" s="218" t="s">
        <v>1841</v>
      </c>
    </row>
    <row r="1656" spans="1:7" x14ac:dyDescent="0.15">
      <c r="A1656" s="218" t="s">
        <v>10241</v>
      </c>
      <c r="B1656" s="218" t="s">
        <v>10242</v>
      </c>
      <c r="C1656" s="218" t="s">
        <v>3534</v>
      </c>
      <c r="D1656" s="218" t="s">
        <v>10243</v>
      </c>
      <c r="E1656" s="218" t="s">
        <v>1839</v>
      </c>
      <c r="F1656" s="218" t="s">
        <v>1840</v>
      </c>
      <c r="G1656" s="218" t="s">
        <v>1841</v>
      </c>
    </row>
    <row r="1657" spans="1:7" x14ac:dyDescent="0.15">
      <c r="A1657" s="218" t="s">
        <v>5037</v>
      </c>
      <c r="B1657" s="218" t="s">
        <v>5038</v>
      </c>
      <c r="C1657" s="218" t="s">
        <v>3534</v>
      </c>
      <c r="D1657" s="218" t="s">
        <v>5039</v>
      </c>
      <c r="E1657" s="218" t="s">
        <v>1839</v>
      </c>
      <c r="F1657" s="218" t="s">
        <v>1840</v>
      </c>
      <c r="G1657" s="218" t="s">
        <v>1841</v>
      </c>
    </row>
    <row r="1658" spans="1:7" x14ac:dyDescent="0.15">
      <c r="A1658" s="218" t="s">
        <v>5040</v>
      </c>
      <c r="B1658" s="218" t="s">
        <v>5041</v>
      </c>
      <c r="C1658" s="218" t="s">
        <v>3534</v>
      </c>
      <c r="D1658" s="218" t="s">
        <v>5042</v>
      </c>
      <c r="E1658" s="218" t="s">
        <v>1839</v>
      </c>
      <c r="F1658" s="218" t="s">
        <v>1840</v>
      </c>
      <c r="G1658" s="218" t="s">
        <v>1841</v>
      </c>
    </row>
    <row r="1659" spans="1:7" x14ac:dyDescent="0.15">
      <c r="A1659" s="218" t="s">
        <v>5043</v>
      </c>
      <c r="B1659" s="218" t="s">
        <v>5044</v>
      </c>
      <c r="C1659" s="218" t="s">
        <v>3534</v>
      </c>
      <c r="D1659" s="218" t="s">
        <v>5045</v>
      </c>
      <c r="E1659" s="218" t="s">
        <v>1839</v>
      </c>
      <c r="F1659" s="218" t="s">
        <v>1840</v>
      </c>
      <c r="G1659" s="218" t="s">
        <v>1841</v>
      </c>
    </row>
    <row r="1660" spans="1:7" x14ac:dyDescent="0.15">
      <c r="A1660" s="218" t="s">
        <v>5046</v>
      </c>
      <c r="B1660" s="218" t="s">
        <v>5047</v>
      </c>
      <c r="C1660" s="218" t="s">
        <v>3534</v>
      </c>
      <c r="D1660" s="218" t="s">
        <v>5048</v>
      </c>
      <c r="E1660" s="218" t="s">
        <v>1839</v>
      </c>
      <c r="F1660" s="218" t="s">
        <v>1840</v>
      </c>
      <c r="G1660" s="218" t="s">
        <v>1841</v>
      </c>
    </row>
    <row r="1661" spans="1:7" x14ac:dyDescent="0.15">
      <c r="A1661" s="218" t="s">
        <v>10244</v>
      </c>
      <c r="B1661" s="218" t="s">
        <v>10245</v>
      </c>
      <c r="C1661" s="218" t="s">
        <v>3534</v>
      </c>
      <c r="D1661" s="218" t="s">
        <v>10246</v>
      </c>
      <c r="E1661" s="218" t="s">
        <v>1839</v>
      </c>
      <c r="F1661" s="218" t="s">
        <v>1840</v>
      </c>
      <c r="G1661" s="218" t="s">
        <v>1841</v>
      </c>
    </row>
    <row r="1662" spans="1:7" x14ac:dyDescent="0.15">
      <c r="A1662" s="218" t="s">
        <v>5049</v>
      </c>
      <c r="B1662" s="218" t="s">
        <v>5050</v>
      </c>
      <c r="C1662" s="218" t="s">
        <v>3534</v>
      </c>
      <c r="D1662" s="218" t="s">
        <v>5051</v>
      </c>
      <c r="E1662" s="218" t="s">
        <v>1839</v>
      </c>
      <c r="F1662" s="218" t="s">
        <v>1840</v>
      </c>
      <c r="G1662" s="218" t="s">
        <v>1841</v>
      </c>
    </row>
    <row r="1663" spans="1:7" x14ac:dyDescent="0.15">
      <c r="A1663" s="218" t="s">
        <v>10247</v>
      </c>
      <c r="B1663" s="218" t="s">
        <v>10248</v>
      </c>
      <c r="C1663" s="218" t="s">
        <v>3534</v>
      </c>
      <c r="D1663" s="218" t="s">
        <v>10249</v>
      </c>
      <c r="E1663" s="218" t="s">
        <v>1839</v>
      </c>
      <c r="F1663" s="218" t="s">
        <v>1840</v>
      </c>
      <c r="G1663" s="218" t="s">
        <v>1841</v>
      </c>
    </row>
    <row r="1664" spans="1:7" x14ac:dyDescent="0.15">
      <c r="A1664" s="218" t="s">
        <v>10250</v>
      </c>
      <c r="B1664" s="218" t="s">
        <v>10251</v>
      </c>
      <c r="C1664" s="218" t="s">
        <v>3534</v>
      </c>
      <c r="D1664" s="218" t="s">
        <v>7518</v>
      </c>
      <c r="E1664" s="218" t="s">
        <v>1839</v>
      </c>
      <c r="F1664" s="218" t="s">
        <v>1840</v>
      </c>
      <c r="G1664" s="218" t="s">
        <v>1841</v>
      </c>
    </row>
    <row r="1665" spans="1:7" x14ac:dyDescent="0.15">
      <c r="A1665" s="218" t="s">
        <v>5052</v>
      </c>
      <c r="B1665" s="218" t="s">
        <v>5053</v>
      </c>
      <c r="C1665" s="218" t="s">
        <v>3534</v>
      </c>
      <c r="D1665" s="218" t="s">
        <v>5054</v>
      </c>
      <c r="E1665" s="218" t="s">
        <v>1839</v>
      </c>
      <c r="F1665" s="218" t="s">
        <v>1840</v>
      </c>
      <c r="G1665" s="218" t="s">
        <v>1841</v>
      </c>
    </row>
    <row r="1666" spans="1:7" x14ac:dyDescent="0.15">
      <c r="A1666" s="218" t="s">
        <v>5055</v>
      </c>
      <c r="B1666" s="218" t="s">
        <v>5056</v>
      </c>
      <c r="C1666" s="218" t="s">
        <v>3534</v>
      </c>
      <c r="D1666" s="218" t="s">
        <v>5054</v>
      </c>
      <c r="E1666" s="218" t="s">
        <v>1839</v>
      </c>
      <c r="F1666" s="218" t="s">
        <v>1840</v>
      </c>
      <c r="G1666" s="218" t="s">
        <v>1841</v>
      </c>
    </row>
    <row r="1667" spans="1:7" x14ac:dyDescent="0.15">
      <c r="A1667" s="218" t="s">
        <v>11654</v>
      </c>
      <c r="B1667" s="218" t="s">
        <v>11655</v>
      </c>
      <c r="C1667" s="218" t="s">
        <v>3534</v>
      </c>
      <c r="D1667" s="218" t="s">
        <v>11656</v>
      </c>
      <c r="E1667" s="218" t="s">
        <v>1935</v>
      </c>
      <c r="F1667" s="218" t="s">
        <v>1840</v>
      </c>
      <c r="G1667" s="218" t="s">
        <v>1841</v>
      </c>
    </row>
    <row r="1668" spans="1:7" x14ac:dyDescent="0.15">
      <c r="A1668" s="218" t="s">
        <v>10252</v>
      </c>
      <c r="B1668" s="218" t="s">
        <v>703</v>
      </c>
      <c r="C1668" s="218" t="s">
        <v>3534</v>
      </c>
      <c r="D1668" s="218" t="s">
        <v>704</v>
      </c>
      <c r="E1668" s="218" t="s">
        <v>1839</v>
      </c>
      <c r="F1668" s="218" t="s">
        <v>1840</v>
      </c>
      <c r="G1668" s="218" t="s">
        <v>1841</v>
      </c>
    </row>
    <row r="1669" spans="1:7" x14ac:dyDescent="0.15">
      <c r="A1669" s="218" t="s">
        <v>5057</v>
      </c>
      <c r="B1669" s="218" t="s">
        <v>5058</v>
      </c>
      <c r="C1669" s="218" t="s">
        <v>3534</v>
      </c>
      <c r="D1669" s="218" t="s">
        <v>5059</v>
      </c>
      <c r="E1669" s="218" t="s">
        <v>1839</v>
      </c>
      <c r="F1669" s="218" t="s">
        <v>1840</v>
      </c>
      <c r="G1669" s="218" t="s">
        <v>1841</v>
      </c>
    </row>
    <row r="1670" spans="1:7" x14ac:dyDescent="0.15">
      <c r="A1670" s="218" t="s">
        <v>10253</v>
      </c>
      <c r="B1670" s="218" t="s">
        <v>10254</v>
      </c>
      <c r="C1670" s="218" t="s">
        <v>3534</v>
      </c>
      <c r="D1670" s="218" t="s">
        <v>10255</v>
      </c>
      <c r="E1670" s="218" t="s">
        <v>1839</v>
      </c>
      <c r="F1670" s="218" t="s">
        <v>1840</v>
      </c>
      <c r="G1670" s="218" t="s">
        <v>1841</v>
      </c>
    </row>
    <row r="1671" spans="1:7" x14ac:dyDescent="0.15">
      <c r="A1671" s="218" t="s">
        <v>10256</v>
      </c>
      <c r="B1671" s="218" t="s">
        <v>10257</v>
      </c>
      <c r="C1671" s="218" t="s">
        <v>3534</v>
      </c>
      <c r="D1671" s="218" t="s">
        <v>10258</v>
      </c>
      <c r="E1671" s="218" t="s">
        <v>1839</v>
      </c>
      <c r="F1671" s="218" t="s">
        <v>1840</v>
      </c>
      <c r="G1671" s="218" t="s">
        <v>1841</v>
      </c>
    </row>
    <row r="1672" spans="1:7" x14ac:dyDescent="0.15">
      <c r="A1672" s="218" t="s">
        <v>10259</v>
      </c>
      <c r="B1672" s="218" t="s">
        <v>678</v>
      </c>
      <c r="C1672" s="218" t="s">
        <v>3534</v>
      </c>
      <c r="D1672" s="218" t="s">
        <v>679</v>
      </c>
      <c r="E1672" s="218" t="s">
        <v>1839</v>
      </c>
      <c r="F1672" s="218" t="s">
        <v>1840</v>
      </c>
      <c r="G1672" s="218" t="s">
        <v>1841</v>
      </c>
    </row>
    <row r="1673" spans="1:7" x14ac:dyDescent="0.15">
      <c r="A1673" s="218" t="s">
        <v>5060</v>
      </c>
      <c r="B1673" s="218" t="s">
        <v>5061</v>
      </c>
      <c r="C1673" s="218" t="s">
        <v>3534</v>
      </c>
      <c r="D1673" s="218" t="s">
        <v>5062</v>
      </c>
      <c r="E1673" s="218" t="s">
        <v>1839</v>
      </c>
      <c r="F1673" s="218" t="s">
        <v>1840</v>
      </c>
      <c r="G1673" s="218" t="s">
        <v>1841</v>
      </c>
    </row>
    <row r="1674" spans="1:7" x14ac:dyDescent="0.15">
      <c r="A1674" s="218" t="s">
        <v>10260</v>
      </c>
      <c r="B1674" s="218" t="s">
        <v>703</v>
      </c>
      <c r="C1674" s="218" t="s">
        <v>3534</v>
      </c>
      <c r="D1674" s="218" t="s">
        <v>10261</v>
      </c>
      <c r="E1674" s="218" t="s">
        <v>1839</v>
      </c>
      <c r="F1674" s="218" t="s">
        <v>1840</v>
      </c>
      <c r="G1674" s="218" t="s">
        <v>1841</v>
      </c>
    </row>
    <row r="1675" spans="1:7" x14ac:dyDescent="0.15">
      <c r="A1675" s="218" t="s">
        <v>5063</v>
      </c>
      <c r="B1675" s="218" t="s">
        <v>5064</v>
      </c>
      <c r="C1675" s="218" t="s">
        <v>3534</v>
      </c>
      <c r="D1675" s="218" t="s">
        <v>5065</v>
      </c>
      <c r="E1675" s="218" t="s">
        <v>1839</v>
      </c>
      <c r="F1675" s="218" t="s">
        <v>1840</v>
      </c>
      <c r="G1675" s="218" t="s">
        <v>1841</v>
      </c>
    </row>
    <row r="1676" spans="1:7" x14ac:dyDescent="0.15">
      <c r="A1676" s="218" t="s">
        <v>10262</v>
      </c>
      <c r="B1676" s="218" t="s">
        <v>1000</v>
      </c>
      <c r="C1676" s="218" t="s">
        <v>3534</v>
      </c>
      <c r="D1676" s="218" t="s">
        <v>1001</v>
      </c>
      <c r="E1676" s="218" t="s">
        <v>1839</v>
      </c>
      <c r="F1676" s="218" t="s">
        <v>1840</v>
      </c>
      <c r="G1676" s="218" t="s">
        <v>1841</v>
      </c>
    </row>
    <row r="1677" spans="1:7" x14ac:dyDescent="0.15">
      <c r="A1677" s="218" t="s">
        <v>5066</v>
      </c>
      <c r="B1677" s="218" t="s">
        <v>5067</v>
      </c>
      <c r="C1677" s="218" t="s">
        <v>3534</v>
      </c>
      <c r="D1677" s="218" t="s">
        <v>5068</v>
      </c>
      <c r="E1677" s="218" t="s">
        <v>1839</v>
      </c>
      <c r="F1677" s="218" t="s">
        <v>1840</v>
      </c>
      <c r="G1677" s="218" t="s">
        <v>1841</v>
      </c>
    </row>
    <row r="1678" spans="1:7" x14ac:dyDescent="0.15">
      <c r="A1678" s="218" t="s">
        <v>10263</v>
      </c>
      <c r="B1678" s="218" t="s">
        <v>1250</v>
      </c>
      <c r="C1678" s="218" t="s">
        <v>3534</v>
      </c>
      <c r="D1678" s="218" t="s">
        <v>1251</v>
      </c>
      <c r="E1678" s="218" t="s">
        <v>1839</v>
      </c>
      <c r="F1678" s="218" t="s">
        <v>1840</v>
      </c>
      <c r="G1678" s="218" t="s">
        <v>1841</v>
      </c>
    </row>
    <row r="1679" spans="1:7" x14ac:dyDescent="0.15">
      <c r="A1679" s="218" t="s">
        <v>10264</v>
      </c>
      <c r="B1679" s="218" t="s">
        <v>10265</v>
      </c>
      <c r="C1679" s="218" t="s">
        <v>3534</v>
      </c>
      <c r="D1679" s="218" t="s">
        <v>10266</v>
      </c>
      <c r="E1679" s="218" t="s">
        <v>1839</v>
      </c>
      <c r="F1679" s="218" t="s">
        <v>1840</v>
      </c>
      <c r="G1679" s="218" t="s">
        <v>1841</v>
      </c>
    </row>
    <row r="1680" spans="1:7" x14ac:dyDescent="0.15">
      <c r="A1680" s="218" t="s">
        <v>5069</v>
      </c>
      <c r="B1680" s="218" t="s">
        <v>5070</v>
      </c>
      <c r="C1680" s="218" t="s">
        <v>3534</v>
      </c>
      <c r="D1680" s="218" t="s">
        <v>5071</v>
      </c>
      <c r="E1680" s="218" t="s">
        <v>1839</v>
      </c>
      <c r="F1680" s="218" t="s">
        <v>1840</v>
      </c>
      <c r="G1680" s="218" t="s">
        <v>1841</v>
      </c>
    </row>
    <row r="1681" spans="1:7" x14ac:dyDescent="0.15">
      <c r="A1681" s="218" t="s">
        <v>10269</v>
      </c>
      <c r="B1681" s="218" t="s">
        <v>10270</v>
      </c>
      <c r="C1681" s="218" t="s">
        <v>3534</v>
      </c>
      <c r="D1681" s="218" t="s">
        <v>10271</v>
      </c>
      <c r="E1681" s="218" t="s">
        <v>1839</v>
      </c>
      <c r="F1681" s="218" t="s">
        <v>1840</v>
      </c>
      <c r="G1681" s="218" t="s">
        <v>1841</v>
      </c>
    </row>
    <row r="1682" spans="1:7" x14ac:dyDescent="0.15">
      <c r="A1682" s="218" t="s">
        <v>5072</v>
      </c>
      <c r="B1682" s="218" t="s">
        <v>5073</v>
      </c>
      <c r="C1682" s="218" t="s">
        <v>3534</v>
      </c>
      <c r="D1682" s="218" t="s">
        <v>5074</v>
      </c>
      <c r="E1682" s="218" t="s">
        <v>1839</v>
      </c>
      <c r="F1682" s="218" t="s">
        <v>1840</v>
      </c>
      <c r="G1682" s="218" t="s">
        <v>1841</v>
      </c>
    </row>
    <row r="1683" spans="1:7" x14ac:dyDescent="0.15">
      <c r="A1683" s="218" t="s">
        <v>10272</v>
      </c>
      <c r="B1683" s="218" t="s">
        <v>10273</v>
      </c>
      <c r="C1683" s="218" t="s">
        <v>3534</v>
      </c>
      <c r="D1683" s="218" t="s">
        <v>10274</v>
      </c>
      <c r="E1683" s="218" t="s">
        <v>1839</v>
      </c>
      <c r="F1683" s="218" t="s">
        <v>1840</v>
      </c>
      <c r="G1683" s="218" t="s">
        <v>1841</v>
      </c>
    </row>
    <row r="1684" spans="1:7" x14ac:dyDescent="0.15">
      <c r="A1684" s="218" t="s">
        <v>5075</v>
      </c>
      <c r="B1684" s="218" t="s">
        <v>5076</v>
      </c>
      <c r="C1684" s="218" t="s">
        <v>3534</v>
      </c>
      <c r="D1684" s="218" t="s">
        <v>5077</v>
      </c>
      <c r="E1684" s="218" t="s">
        <v>1839</v>
      </c>
      <c r="F1684" s="218" t="s">
        <v>1840</v>
      </c>
      <c r="G1684" s="218" t="s">
        <v>1841</v>
      </c>
    </row>
    <row r="1685" spans="1:7" x14ac:dyDescent="0.15">
      <c r="A1685" s="218" t="s">
        <v>10275</v>
      </c>
      <c r="B1685" s="218" t="s">
        <v>10276</v>
      </c>
      <c r="C1685" s="218" t="s">
        <v>3534</v>
      </c>
      <c r="D1685" s="218" t="s">
        <v>10277</v>
      </c>
      <c r="E1685" s="218" t="s">
        <v>1839</v>
      </c>
      <c r="F1685" s="218" t="s">
        <v>1840</v>
      </c>
      <c r="G1685" s="218" t="s">
        <v>1841</v>
      </c>
    </row>
    <row r="1686" spans="1:7" x14ac:dyDescent="0.15">
      <c r="A1686" s="218" t="s">
        <v>11657</v>
      </c>
      <c r="B1686" s="218" t="s">
        <v>11658</v>
      </c>
      <c r="C1686" s="218" t="s">
        <v>3534</v>
      </c>
      <c r="D1686" s="218" t="s">
        <v>11659</v>
      </c>
      <c r="E1686" s="218" t="s">
        <v>1935</v>
      </c>
      <c r="F1686" s="218" t="s">
        <v>1840</v>
      </c>
      <c r="G1686" s="218" t="s">
        <v>1841</v>
      </c>
    </row>
    <row r="1687" spans="1:7" x14ac:dyDescent="0.15">
      <c r="A1687" s="218" t="s">
        <v>5078</v>
      </c>
      <c r="B1687" s="218" t="s">
        <v>5079</v>
      </c>
      <c r="C1687" s="218" t="s">
        <v>3534</v>
      </c>
      <c r="D1687" s="218" t="s">
        <v>5080</v>
      </c>
      <c r="E1687" s="218" t="s">
        <v>1839</v>
      </c>
      <c r="F1687" s="218" t="s">
        <v>1840</v>
      </c>
      <c r="G1687" s="218" t="s">
        <v>1841</v>
      </c>
    </row>
    <row r="1688" spans="1:7" x14ac:dyDescent="0.15">
      <c r="A1688" s="218" t="s">
        <v>5081</v>
      </c>
      <c r="B1688" s="218" t="s">
        <v>5082</v>
      </c>
      <c r="C1688" s="218" t="s">
        <v>3534</v>
      </c>
      <c r="D1688" s="218" t="s">
        <v>5083</v>
      </c>
      <c r="E1688" s="218" t="s">
        <v>1839</v>
      </c>
      <c r="F1688" s="218" t="s">
        <v>1840</v>
      </c>
      <c r="G1688" s="218" t="s">
        <v>1841</v>
      </c>
    </row>
    <row r="1689" spans="1:7" x14ac:dyDescent="0.15">
      <c r="A1689" s="218" t="s">
        <v>10278</v>
      </c>
      <c r="B1689" s="218" t="s">
        <v>1431</v>
      </c>
      <c r="C1689" s="218" t="s">
        <v>3534</v>
      </c>
      <c r="D1689" s="218" t="s">
        <v>1432</v>
      </c>
      <c r="E1689" s="218" t="s">
        <v>1839</v>
      </c>
      <c r="F1689" s="218" t="s">
        <v>1840</v>
      </c>
      <c r="G1689" s="218" t="s">
        <v>1841</v>
      </c>
    </row>
    <row r="1690" spans="1:7" x14ac:dyDescent="0.15">
      <c r="A1690" s="218" t="s">
        <v>5084</v>
      </c>
      <c r="B1690" s="218" t="s">
        <v>5085</v>
      </c>
      <c r="C1690" s="218" t="s">
        <v>3534</v>
      </c>
      <c r="D1690" s="218" t="s">
        <v>5086</v>
      </c>
      <c r="E1690" s="218" t="s">
        <v>1839</v>
      </c>
      <c r="F1690" s="218" t="s">
        <v>1840</v>
      </c>
      <c r="G1690" s="218" t="s">
        <v>1841</v>
      </c>
    </row>
    <row r="1691" spans="1:7" x14ac:dyDescent="0.15">
      <c r="A1691" s="218" t="s">
        <v>10279</v>
      </c>
      <c r="B1691" s="218" t="s">
        <v>10280</v>
      </c>
      <c r="C1691" s="218" t="s">
        <v>3534</v>
      </c>
      <c r="D1691" s="218" t="s">
        <v>10281</v>
      </c>
      <c r="E1691" s="218" t="s">
        <v>1839</v>
      </c>
      <c r="F1691" s="218" t="s">
        <v>1840</v>
      </c>
      <c r="G1691" s="218" t="s">
        <v>1841</v>
      </c>
    </row>
    <row r="1692" spans="1:7" x14ac:dyDescent="0.15">
      <c r="A1692" s="218" t="s">
        <v>10282</v>
      </c>
      <c r="B1692" s="218" t="s">
        <v>10283</v>
      </c>
      <c r="C1692" s="218" t="s">
        <v>3534</v>
      </c>
      <c r="D1692" s="218" t="s">
        <v>10284</v>
      </c>
      <c r="E1692" s="218" t="s">
        <v>1839</v>
      </c>
      <c r="F1692" s="218" t="s">
        <v>1840</v>
      </c>
      <c r="G1692" s="218" t="s">
        <v>1841</v>
      </c>
    </row>
    <row r="1693" spans="1:7" x14ac:dyDescent="0.15">
      <c r="A1693" s="218" t="s">
        <v>5087</v>
      </c>
      <c r="B1693" s="218" t="s">
        <v>5088</v>
      </c>
      <c r="C1693" s="218" t="s">
        <v>3534</v>
      </c>
      <c r="D1693" s="218" t="s">
        <v>5089</v>
      </c>
      <c r="E1693" s="218" t="s">
        <v>1839</v>
      </c>
      <c r="F1693" s="218" t="s">
        <v>1840</v>
      </c>
      <c r="G1693" s="218" t="s">
        <v>1841</v>
      </c>
    </row>
    <row r="1694" spans="1:7" x14ac:dyDescent="0.15">
      <c r="A1694" s="218" t="s">
        <v>5090</v>
      </c>
      <c r="B1694" s="218" t="s">
        <v>5091</v>
      </c>
      <c r="C1694" s="218" t="s">
        <v>3534</v>
      </c>
      <c r="D1694" s="218" t="s">
        <v>5092</v>
      </c>
      <c r="E1694" s="218" t="s">
        <v>1839</v>
      </c>
      <c r="F1694" s="218" t="s">
        <v>1840</v>
      </c>
      <c r="G1694" s="218" t="s">
        <v>1841</v>
      </c>
    </row>
    <row r="1695" spans="1:7" x14ac:dyDescent="0.15">
      <c r="A1695" s="218" t="s">
        <v>5093</v>
      </c>
      <c r="B1695" s="218" t="s">
        <v>5094</v>
      </c>
      <c r="C1695" s="218" t="s">
        <v>3534</v>
      </c>
      <c r="D1695" s="218" t="s">
        <v>5095</v>
      </c>
      <c r="E1695" s="218" t="s">
        <v>1839</v>
      </c>
      <c r="F1695" s="218" t="s">
        <v>1840</v>
      </c>
      <c r="G1695" s="218" t="s">
        <v>1841</v>
      </c>
    </row>
    <row r="1696" spans="1:7" x14ac:dyDescent="0.15">
      <c r="A1696" s="218" t="s">
        <v>10285</v>
      </c>
      <c r="B1696" s="218" t="s">
        <v>10286</v>
      </c>
      <c r="C1696" s="218" t="s">
        <v>3534</v>
      </c>
      <c r="D1696" s="218" t="s">
        <v>10287</v>
      </c>
      <c r="E1696" s="218" t="s">
        <v>1839</v>
      </c>
      <c r="F1696" s="218" t="s">
        <v>1840</v>
      </c>
      <c r="G1696" s="218" t="s">
        <v>1841</v>
      </c>
    </row>
    <row r="1697" spans="1:7" x14ac:dyDescent="0.15">
      <c r="A1697" s="218" t="s">
        <v>5096</v>
      </c>
      <c r="B1697" s="218" t="s">
        <v>5097</v>
      </c>
      <c r="C1697" s="218" t="s">
        <v>3534</v>
      </c>
      <c r="D1697" s="218" t="s">
        <v>5098</v>
      </c>
      <c r="E1697" s="218" t="s">
        <v>1839</v>
      </c>
      <c r="F1697" s="218" t="s">
        <v>1840</v>
      </c>
      <c r="G1697" s="218" t="s">
        <v>1841</v>
      </c>
    </row>
    <row r="1698" spans="1:7" x14ac:dyDescent="0.15">
      <c r="A1698" s="218" t="s">
        <v>10288</v>
      </c>
      <c r="B1698" s="218" t="s">
        <v>10289</v>
      </c>
      <c r="C1698" s="218" t="s">
        <v>3534</v>
      </c>
      <c r="D1698" s="218" t="s">
        <v>10290</v>
      </c>
      <c r="E1698" s="218" t="s">
        <v>1839</v>
      </c>
      <c r="F1698" s="218" t="s">
        <v>1840</v>
      </c>
      <c r="G1698" s="218" t="s">
        <v>1841</v>
      </c>
    </row>
    <row r="1699" spans="1:7" x14ac:dyDescent="0.15">
      <c r="A1699" s="218" t="s">
        <v>5099</v>
      </c>
      <c r="B1699" s="218" t="s">
        <v>5100</v>
      </c>
      <c r="C1699" s="218" t="s">
        <v>3534</v>
      </c>
      <c r="D1699" s="218" t="s">
        <v>5101</v>
      </c>
      <c r="E1699" s="218" t="s">
        <v>1839</v>
      </c>
      <c r="F1699" s="218" t="s">
        <v>1840</v>
      </c>
      <c r="G1699" s="218" t="s">
        <v>1841</v>
      </c>
    </row>
    <row r="1700" spans="1:7" x14ac:dyDescent="0.15">
      <c r="A1700" s="218" t="s">
        <v>10291</v>
      </c>
      <c r="B1700" s="218" t="s">
        <v>10292</v>
      </c>
      <c r="C1700" s="218" t="s">
        <v>3534</v>
      </c>
      <c r="D1700" s="218" t="s">
        <v>10293</v>
      </c>
      <c r="E1700" s="218" t="s">
        <v>1839</v>
      </c>
      <c r="F1700" s="218" t="s">
        <v>1840</v>
      </c>
      <c r="G1700" s="218" t="s">
        <v>1841</v>
      </c>
    </row>
    <row r="1701" spans="1:7" x14ac:dyDescent="0.15">
      <c r="A1701" s="218" t="s">
        <v>5102</v>
      </c>
      <c r="B1701" s="218" t="s">
        <v>5103</v>
      </c>
      <c r="C1701" s="218" t="s">
        <v>3534</v>
      </c>
      <c r="D1701" s="218" t="s">
        <v>5104</v>
      </c>
      <c r="E1701" s="218" t="s">
        <v>1839</v>
      </c>
      <c r="F1701" s="218" t="s">
        <v>1840</v>
      </c>
      <c r="G1701" s="218" t="s">
        <v>1841</v>
      </c>
    </row>
    <row r="1702" spans="1:7" x14ac:dyDescent="0.15">
      <c r="A1702" s="218" t="s">
        <v>10294</v>
      </c>
      <c r="B1702" s="218" t="s">
        <v>10295</v>
      </c>
      <c r="C1702" s="218" t="s">
        <v>3534</v>
      </c>
      <c r="D1702" s="218" t="s">
        <v>10296</v>
      </c>
      <c r="E1702" s="218" t="s">
        <v>1839</v>
      </c>
      <c r="F1702" s="218" t="s">
        <v>1840</v>
      </c>
      <c r="G1702" s="218" t="s">
        <v>1841</v>
      </c>
    </row>
    <row r="1703" spans="1:7" x14ac:dyDescent="0.15">
      <c r="A1703" s="218" t="s">
        <v>5105</v>
      </c>
      <c r="B1703" s="218" t="s">
        <v>5106</v>
      </c>
      <c r="C1703" s="218" t="s">
        <v>3534</v>
      </c>
      <c r="D1703" s="218" t="s">
        <v>5107</v>
      </c>
      <c r="E1703" s="218" t="s">
        <v>1839</v>
      </c>
      <c r="F1703" s="218" t="s">
        <v>1840</v>
      </c>
      <c r="G1703" s="218" t="s">
        <v>1841</v>
      </c>
    </row>
    <row r="1704" spans="1:7" x14ac:dyDescent="0.15">
      <c r="A1704" s="218" t="s">
        <v>5108</v>
      </c>
      <c r="B1704" s="218" t="s">
        <v>5109</v>
      </c>
      <c r="C1704" s="218" t="s">
        <v>3534</v>
      </c>
      <c r="D1704" s="218" t="s">
        <v>5110</v>
      </c>
      <c r="E1704" s="218" t="s">
        <v>1839</v>
      </c>
      <c r="F1704" s="218" t="s">
        <v>1840</v>
      </c>
      <c r="G1704" s="218" t="s">
        <v>1841</v>
      </c>
    </row>
    <row r="1705" spans="1:7" x14ac:dyDescent="0.15">
      <c r="A1705" s="218" t="s">
        <v>11660</v>
      </c>
      <c r="B1705" s="218" t="s">
        <v>11661</v>
      </c>
      <c r="C1705" s="218" t="s">
        <v>3534</v>
      </c>
      <c r="D1705" s="218" t="s">
        <v>11662</v>
      </c>
      <c r="E1705" s="218" t="s">
        <v>1935</v>
      </c>
      <c r="F1705" s="218" t="s">
        <v>1840</v>
      </c>
      <c r="G1705" s="218" t="s">
        <v>1841</v>
      </c>
    </row>
    <row r="1706" spans="1:7" x14ac:dyDescent="0.15">
      <c r="A1706" s="218" t="s">
        <v>10297</v>
      </c>
      <c r="B1706" s="218" t="s">
        <v>10298</v>
      </c>
      <c r="C1706" s="218" t="s">
        <v>3534</v>
      </c>
      <c r="D1706" s="218" t="s">
        <v>10299</v>
      </c>
      <c r="E1706" s="218" t="s">
        <v>1839</v>
      </c>
      <c r="F1706" s="218" t="s">
        <v>1840</v>
      </c>
      <c r="G1706" s="218" t="s">
        <v>1841</v>
      </c>
    </row>
    <row r="1707" spans="1:7" x14ac:dyDescent="0.15">
      <c r="A1707" s="218" t="s">
        <v>10300</v>
      </c>
      <c r="B1707" s="218" t="s">
        <v>10301</v>
      </c>
      <c r="C1707" s="218" t="s">
        <v>3534</v>
      </c>
      <c r="D1707" s="218" t="s">
        <v>10302</v>
      </c>
      <c r="E1707" s="218" t="s">
        <v>1839</v>
      </c>
      <c r="F1707" s="218" t="s">
        <v>1840</v>
      </c>
      <c r="G1707" s="218" t="s">
        <v>1841</v>
      </c>
    </row>
    <row r="1708" spans="1:7" x14ac:dyDescent="0.15">
      <c r="A1708" s="218" t="s">
        <v>10303</v>
      </c>
      <c r="B1708" s="218" t="s">
        <v>10304</v>
      </c>
      <c r="C1708" s="218" t="s">
        <v>3534</v>
      </c>
      <c r="D1708" s="218" t="s">
        <v>10305</v>
      </c>
      <c r="E1708" s="218" t="s">
        <v>1839</v>
      </c>
      <c r="F1708" s="218" t="s">
        <v>1840</v>
      </c>
      <c r="G1708" s="218" t="s">
        <v>1841</v>
      </c>
    </row>
    <row r="1709" spans="1:7" x14ac:dyDescent="0.15">
      <c r="A1709" s="218" t="s">
        <v>10306</v>
      </c>
      <c r="B1709" s="218" t="s">
        <v>10307</v>
      </c>
      <c r="C1709" s="218" t="s">
        <v>3534</v>
      </c>
      <c r="D1709" s="218" t="s">
        <v>10308</v>
      </c>
      <c r="E1709" s="218" t="s">
        <v>1839</v>
      </c>
      <c r="F1709" s="218" t="s">
        <v>1840</v>
      </c>
      <c r="G1709" s="218" t="s">
        <v>1841</v>
      </c>
    </row>
    <row r="1710" spans="1:7" x14ac:dyDescent="0.15">
      <c r="A1710" s="218" t="s">
        <v>5111</v>
      </c>
      <c r="B1710" s="218" t="s">
        <v>5112</v>
      </c>
      <c r="C1710" s="218" t="s">
        <v>3534</v>
      </c>
      <c r="D1710" s="218" t="s">
        <v>5113</v>
      </c>
      <c r="E1710" s="218" t="s">
        <v>1839</v>
      </c>
      <c r="F1710" s="218" t="s">
        <v>1840</v>
      </c>
      <c r="G1710" s="218" t="s">
        <v>1841</v>
      </c>
    </row>
    <row r="1711" spans="1:7" x14ac:dyDescent="0.15">
      <c r="A1711" s="218" t="s">
        <v>10309</v>
      </c>
      <c r="B1711" s="218" t="s">
        <v>10310</v>
      </c>
      <c r="C1711" s="218" t="s">
        <v>3534</v>
      </c>
      <c r="D1711" s="218" t="s">
        <v>10311</v>
      </c>
      <c r="E1711" s="218" t="s">
        <v>1839</v>
      </c>
      <c r="F1711" s="218" t="s">
        <v>1840</v>
      </c>
      <c r="G1711" s="218" t="s">
        <v>1841</v>
      </c>
    </row>
    <row r="1712" spans="1:7" x14ac:dyDescent="0.15">
      <c r="A1712" s="218" t="s">
        <v>10312</v>
      </c>
      <c r="B1712" s="218" t="s">
        <v>948</v>
      </c>
      <c r="C1712" s="218" t="s">
        <v>3534</v>
      </c>
      <c r="D1712" s="218" t="s">
        <v>949</v>
      </c>
      <c r="E1712" s="218" t="s">
        <v>1839</v>
      </c>
      <c r="F1712" s="218" t="s">
        <v>1840</v>
      </c>
      <c r="G1712" s="218" t="s">
        <v>1841</v>
      </c>
    </row>
    <row r="1713" spans="1:7" x14ac:dyDescent="0.15">
      <c r="A1713" s="218" t="s">
        <v>10313</v>
      </c>
      <c r="B1713" s="218" t="s">
        <v>10314</v>
      </c>
      <c r="C1713" s="218" t="s">
        <v>3534</v>
      </c>
      <c r="D1713" s="218" t="s">
        <v>10315</v>
      </c>
      <c r="E1713" s="218" t="s">
        <v>1839</v>
      </c>
      <c r="F1713" s="218" t="s">
        <v>1840</v>
      </c>
      <c r="G1713" s="218" t="s">
        <v>1841</v>
      </c>
    </row>
    <row r="1714" spans="1:7" x14ac:dyDescent="0.15">
      <c r="A1714" s="218" t="s">
        <v>5114</v>
      </c>
      <c r="B1714" s="218" t="s">
        <v>5115</v>
      </c>
      <c r="C1714" s="218" t="s">
        <v>3534</v>
      </c>
      <c r="D1714" s="218" t="s">
        <v>5116</v>
      </c>
      <c r="E1714" s="218" t="s">
        <v>1935</v>
      </c>
      <c r="F1714" s="218" t="s">
        <v>1840</v>
      </c>
      <c r="G1714" s="218" t="s">
        <v>1841</v>
      </c>
    </row>
    <row r="1715" spans="1:7" x14ac:dyDescent="0.15">
      <c r="A1715" s="218" t="s">
        <v>11663</v>
      </c>
      <c r="B1715" s="218" t="s">
        <v>11664</v>
      </c>
      <c r="C1715" s="218" t="s">
        <v>3534</v>
      </c>
      <c r="D1715" s="218" t="s">
        <v>11665</v>
      </c>
      <c r="E1715" s="218" t="s">
        <v>1839</v>
      </c>
      <c r="F1715" s="218" t="s">
        <v>1840</v>
      </c>
      <c r="G1715" s="218" t="s">
        <v>1841</v>
      </c>
    </row>
    <row r="1716" spans="1:7" x14ac:dyDescent="0.15">
      <c r="A1716" s="218" t="s">
        <v>10316</v>
      </c>
      <c r="B1716" s="218" t="s">
        <v>946</v>
      </c>
      <c r="C1716" s="218" t="s">
        <v>3534</v>
      </c>
      <c r="D1716" s="218" t="s">
        <v>947</v>
      </c>
      <c r="E1716" s="218" t="s">
        <v>1839</v>
      </c>
      <c r="F1716" s="218" t="s">
        <v>1840</v>
      </c>
      <c r="G1716" s="218" t="s">
        <v>1841</v>
      </c>
    </row>
    <row r="1717" spans="1:7" x14ac:dyDescent="0.15">
      <c r="A1717" s="218" t="s">
        <v>10317</v>
      </c>
      <c r="B1717" s="218" t="s">
        <v>10318</v>
      </c>
      <c r="C1717" s="218" t="s">
        <v>3534</v>
      </c>
      <c r="D1717" s="218" t="s">
        <v>10319</v>
      </c>
      <c r="E1717" s="218" t="s">
        <v>1839</v>
      </c>
      <c r="F1717" s="218" t="s">
        <v>1840</v>
      </c>
      <c r="G1717" s="218" t="s">
        <v>1841</v>
      </c>
    </row>
    <row r="1718" spans="1:7" x14ac:dyDescent="0.15">
      <c r="A1718" s="218" t="s">
        <v>5117</v>
      </c>
      <c r="B1718" s="218" t="s">
        <v>682</v>
      </c>
      <c r="C1718" s="218" t="s">
        <v>3534</v>
      </c>
      <c r="D1718" s="218" t="s">
        <v>683</v>
      </c>
      <c r="E1718" s="218" t="s">
        <v>1839</v>
      </c>
      <c r="F1718" s="218" t="s">
        <v>1840</v>
      </c>
      <c r="G1718" s="218" t="s">
        <v>1841</v>
      </c>
    </row>
    <row r="1719" spans="1:7" x14ac:dyDescent="0.15">
      <c r="A1719" s="218" t="s">
        <v>10320</v>
      </c>
      <c r="B1719" s="218" t="s">
        <v>10321</v>
      </c>
      <c r="C1719" s="218" t="s">
        <v>3534</v>
      </c>
      <c r="D1719" s="218" t="s">
        <v>10322</v>
      </c>
      <c r="E1719" s="218" t="s">
        <v>1839</v>
      </c>
      <c r="F1719" s="218" t="s">
        <v>1840</v>
      </c>
      <c r="G1719" s="218" t="s">
        <v>1841</v>
      </c>
    </row>
    <row r="1720" spans="1:7" x14ac:dyDescent="0.15">
      <c r="A1720" s="218" t="s">
        <v>10323</v>
      </c>
      <c r="B1720" s="218" t="s">
        <v>10324</v>
      </c>
      <c r="C1720" s="218" t="s">
        <v>3534</v>
      </c>
      <c r="D1720" s="218" t="s">
        <v>10325</v>
      </c>
      <c r="E1720" s="218" t="s">
        <v>1839</v>
      </c>
      <c r="F1720" s="218" t="s">
        <v>1840</v>
      </c>
      <c r="G1720" s="218" t="s">
        <v>1841</v>
      </c>
    </row>
    <row r="1721" spans="1:7" x14ac:dyDescent="0.15">
      <c r="A1721" s="218" t="s">
        <v>10326</v>
      </c>
      <c r="B1721" s="218" t="s">
        <v>10327</v>
      </c>
      <c r="C1721" s="218" t="s">
        <v>3534</v>
      </c>
      <c r="D1721" s="218" t="s">
        <v>10328</v>
      </c>
      <c r="E1721" s="218" t="s">
        <v>1839</v>
      </c>
      <c r="F1721" s="218" t="s">
        <v>1840</v>
      </c>
      <c r="G1721" s="218" t="s">
        <v>1841</v>
      </c>
    </row>
    <row r="1722" spans="1:7" x14ac:dyDescent="0.15">
      <c r="A1722" s="218" t="s">
        <v>5121</v>
      </c>
      <c r="B1722" s="218" t="s">
        <v>5122</v>
      </c>
      <c r="C1722" s="218" t="s">
        <v>3534</v>
      </c>
      <c r="D1722" s="218" t="s">
        <v>5123</v>
      </c>
      <c r="E1722" s="218" t="s">
        <v>1839</v>
      </c>
      <c r="F1722" s="218" t="s">
        <v>1840</v>
      </c>
      <c r="G1722" s="218" t="s">
        <v>1841</v>
      </c>
    </row>
    <row r="1723" spans="1:7" x14ac:dyDescent="0.15">
      <c r="A1723" s="218" t="s">
        <v>10329</v>
      </c>
      <c r="B1723" s="218" t="s">
        <v>10330</v>
      </c>
      <c r="C1723" s="218" t="s">
        <v>3534</v>
      </c>
      <c r="D1723" s="218" t="s">
        <v>10331</v>
      </c>
      <c r="E1723" s="218" t="s">
        <v>1839</v>
      </c>
      <c r="F1723" s="218" t="s">
        <v>1840</v>
      </c>
      <c r="G1723" s="218" t="s">
        <v>1841</v>
      </c>
    </row>
    <row r="1724" spans="1:7" x14ac:dyDescent="0.15">
      <c r="A1724" s="218" t="s">
        <v>10332</v>
      </c>
      <c r="B1724" s="218" t="s">
        <v>10333</v>
      </c>
      <c r="C1724" s="218" t="s">
        <v>3534</v>
      </c>
      <c r="D1724" s="218" t="s">
        <v>10334</v>
      </c>
      <c r="E1724" s="218" t="s">
        <v>1839</v>
      </c>
      <c r="F1724" s="218" t="s">
        <v>1840</v>
      </c>
      <c r="G1724" s="218" t="s">
        <v>1841</v>
      </c>
    </row>
    <row r="1725" spans="1:7" x14ac:dyDescent="0.15">
      <c r="A1725" s="218" t="s">
        <v>10335</v>
      </c>
      <c r="B1725" s="218" t="s">
        <v>10336</v>
      </c>
      <c r="C1725" s="218" t="s">
        <v>3534</v>
      </c>
      <c r="D1725" s="218" t="s">
        <v>10337</v>
      </c>
      <c r="E1725" s="218" t="s">
        <v>1839</v>
      </c>
      <c r="F1725" s="218" t="s">
        <v>1840</v>
      </c>
      <c r="G1725" s="218" t="s">
        <v>1841</v>
      </c>
    </row>
    <row r="1726" spans="1:7" x14ac:dyDescent="0.15">
      <c r="A1726" s="218" t="s">
        <v>5124</v>
      </c>
      <c r="B1726" s="218" t="s">
        <v>5125</v>
      </c>
      <c r="C1726" s="218" t="s">
        <v>3534</v>
      </c>
      <c r="D1726" s="218" t="s">
        <v>5126</v>
      </c>
      <c r="E1726" s="218" t="s">
        <v>1839</v>
      </c>
      <c r="F1726" s="218" t="s">
        <v>1840</v>
      </c>
      <c r="G1726" s="218" t="s">
        <v>1841</v>
      </c>
    </row>
    <row r="1727" spans="1:7" x14ac:dyDescent="0.15">
      <c r="A1727" s="218" t="s">
        <v>5127</v>
      </c>
      <c r="B1727" s="218" t="s">
        <v>5128</v>
      </c>
      <c r="C1727" s="218" t="s">
        <v>3534</v>
      </c>
      <c r="D1727" s="218" t="s">
        <v>5129</v>
      </c>
      <c r="E1727" s="218" t="s">
        <v>1839</v>
      </c>
      <c r="F1727" s="218" t="s">
        <v>1840</v>
      </c>
      <c r="G1727" s="218" t="s">
        <v>1841</v>
      </c>
    </row>
    <row r="1728" spans="1:7" x14ac:dyDescent="0.15">
      <c r="A1728" s="218" t="s">
        <v>5130</v>
      </c>
      <c r="B1728" s="218" t="s">
        <v>5131</v>
      </c>
      <c r="C1728" s="218" t="s">
        <v>3534</v>
      </c>
      <c r="D1728" s="218" t="s">
        <v>5132</v>
      </c>
      <c r="E1728" s="218" t="s">
        <v>1839</v>
      </c>
      <c r="F1728" s="218" t="s">
        <v>1840</v>
      </c>
      <c r="G1728" s="218" t="s">
        <v>1841</v>
      </c>
    </row>
    <row r="1729" spans="1:7" x14ac:dyDescent="0.15">
      <c r="A1729" s="218" t="s">
        <v>5133</v>
      </c>
      <c r="B1729" s="218" t="s">
        <v>5134</v>
      </c>
      <c r="C1729" s="218" t="s">
        <v>3534</v>
      </c>
      <c r="D1729" s="218" t="s">
        <v>5135</v>
      </c>
      <c r="E1729" s="218" t="s">
        <v>1839</v>
      </c>
      <c r="F1729" s="218" t="s">
        <v>1840</v>
      </c>
      <c r="G1729" s="218" t="s">
        <v>1841</v>
      </c>
    </row>
    <row r="1730" spans="1:7" x14ac:dyDescent="0.15">
      <c r="A1730" s="218" t="s">
        <v>10338</v>
      </c>
      <c r="B1730" s="218" t="s">
        <v>846</v>
      </c>
      <c r="C1730" s="218" t="s">
        <v>3534</v>
      </c>
      <c r="D1730" s="218" t="s">
        <v>847</v>
      </c>
      <c r="E1730" s="218" t="s">
        <v>1839</v>
      </c>
      <c r="F1730" s="218" t="s">
        <v>1840</v>
      </c>
      <c r="G1730" s="218" t="s">
        <v>1841</v>
      </c>
    </row>
    <row r="1731" spans="1:7" x14ac:dyDescent="0.15">
      <c r="A1731" s="218" t="s">
        <v>10339</v>
      </c>
      <c r="B1731" s="218" t="s">
        <v>1519</v>
      </c>
      <c r="C1731" s="218" t="s">
        <v>3534</v>
      </c>
      <c r="D1731" s="218" t="s">
        <v>1520</v>
      </c>
      <c r="E1731" s="218" t="s">
        <v>1839</v>
      </c>
      <c r="F1731" s="218" t="s">
        <v>1840</v>
      </c>
      <c r="G1731" s="218" t="s">
        <v>1841</v>
      </c>
    </row>
    <row r="1732" spans="1:7" x14ac:dyDescent="0.15">
      <c r="A1732" s="218" t="s">
        <v>10340</v>
      </c>
      <c r="B1732" s="218" t="s">
        <v>10341</v>
      </c>
      <c r="C1732" s="218" t="s">
        <v>3534</v>
      </c>
      <c r="D1732" s="218" t="s">
        <v>10342</v>
      </c>
      <c r="E1732" s="218" t="s">
        <v>1839</v>
      </c>
      <c r="F1732" s="218" t="s">
        <v>1840</v>
      </c>
      <c r="G1732" s="218" t="s">
        <v>1841</v>
      </c>
    </row>
    <row r="1733" spans="1:7" x14ac:dyDescent="0.15">
      <c r="A1733" s="218" t="s">
        <v>10343</v>
      </c>
      <c r="B1733" s="218" t="s">
        <v>1549</v>
      </c>
      <c r="C1733" s="218" t="s">
        <v>3534</v>
      </c>
      <c r="D1733" s="218" t="s">
        <v>1550</v>
      </c>
      <c r="E1733" s="218" t="s">
        <v>1839</v>
      </c>
      <c r="F1733" s="218" t="s">
        <v>1840</v>
      </c>
      <c r="G1733" s="218" t="s">
        <v>1841</v>
      </c>
    </row>
    <row r="1734" spans="1:7" x14ac:dyDescent="0.15">
      <c r="A1734" s="218" t="s">
        <v>10344</v>
      </c>
      <c r="B1734" s="218" t="s">
        <v>5139</v>
      </c>
      <c r="C1734" s="218" t="s">
        <v>3534</v>
      </c>
      <c r="D1734" s="218" t="s">
        <v>5140</v>
      </c>
      <c r="E1734" s="218" t="s">
        <v>1839</v>
      </c>
      <c r="F1734" s="218" t="s">
        <v>1840</v>
      </c>
      <c r="G1734" s="218" t="s">
        <v>1841</v>
      </c>
    </row>
    <row r="1735" spans="1:7" x14ac:dyDescent="0.15">
      <c r="A1735" s="218" t="s">
        <v>11666</v>
      </c>
      <c r="B1735" s="218" t="s">
        <v>11667</v>
      </c>
      <c r="C1735" s="218" t="s">
        <v>3534</v>
      </c>
      <c r="D1735" s="218" t="s">
        <v>11668</v>
      </c>
      <c r="E1735" s="218" t="s">
        <v>1839</v>
      </c>
      <c r="F1735" s="218" t="s">
        <v>1840</v>
      </c>
      <c r="G1735" s="218" t="s">
        <v>1841</v>
      </c>
    </row>
    <row r="1736" spans="1:7" x14ac:dyDescent="0.15">
      <c r="A1736" s="218" t="s">
        <v>10345</v>
      </c>
      <c r="B1736" s="218" t="s">
        <v>10346</v>
      </c>
      <c r="C1736" s="218" t="s">
        <v>3534</v>
      </c>
      <c r="D1736" s="218" t="s">
        <v>10347</v>
      </c>
      <c r="E1736" s="218" t="s">
        <v>1935</v>
      </c>
      <c r="F1736" s="218" t="s">
        <v>1840</v>
      </c>
      <c r="G1736" s="218" t="s">
        <v>1841</v>
      </c>
    </row>
    <row r="1737" spans="1:7" x14ac:dyDescent="0.15">
      <c r="A1737" s="218" t="s">
        <v>10348</v>
      </c>
      <c r="B1737" s="218" t="s">
        <v>10349</v>
      </c>
      <c r="C1737" s="218" t="s">
        <v>3534</v>
      </c>
      <c r="D1737" s="218" t="s">
        <v>10350</v>
      </c>
      <c r="E1737" s="218" t="s">
        <v>1839</v>
      </c>
      <c r="F1737" s="218" t="s">
        <v>1840</v>
      </c>
      <c r="G1737" s="218" t="s">
        <v>1841</v>
      </c>
    </row>
    <row r="1738" spans="1:7" x14ac:dyDescent="0.15">
      <c r="A1738" s="218" t="s">
        <v>5141</v>
      </c>
      <c r="B1738" s="218" t="s">
        <v>5142</v>
      </c>
      <c r="C1738" s="218" t="s">
        <v>3534</v>
      </c>
      <c r="D1738" s="218" t="s">
        <v>5143</v>
      </c>
      <c r="E1738" s="218" t="s">
        <v>1839</v>
      </c>
      <c r="F1738" s="218" t="s">
        <v>1840</v>
      </c>
      <c r="G1738" s="218" t="s">
        <v>1841</v>
      </c>
    </row>
    <row r="1739" spans="1:7" x14ac:dyDescent="0.15">
      <c r="A1739" s="218" t="s">
        <v>5144</v>
      </c>
      <c r="B1739" s="218" t="s">
        <v>5145</v>
      </c>
      <c r="C1739" s="218" t="s">
        <v>3534</v>
      </c>
      <c r="D1739" s="218" t="s">
        <v>5146</v>
      </c>
      <c r="E1739" s="218" t="s">
        <v>1935</v>
      </c>
      <c r="F1739" s="218" t="s">
        <v>1840</v>
      </c>
      <c r="G1739" s="218" t="s">
        <v>1841</v>
      </c>
    </row>
    <row r="1740" spans="1:7" x14ac:dyDescent="0.15">
      <c r="A1740" s="218" t="s">
        <v>10351</v>
      </c>
      <c r="B1740" s="218" t="s">
        <v>10352</v>
      </c>
      <c r="C1740" s="218" t="s">
        <v>3534</v>
      </c>
      <c r="D1740" s="218" t="s">
        <v>10353</v>
      </c>
      <c r="E1740" s="218" t="s">
        <v>1839</v>
      </c>
      <c r="F1740" s="218" t="s">
        <v>1840</v>
      </c>
      <c r="G1740" s="218" t="s">
        <v>1841</v>
      </c>
    </row>
    <row r="1741" spans="1:7" x14ac:dyDescent="0.15">
      <c r="A1741" s="218" t="s">
        <v>5147</v>
      </c>
      <c r="B1741" s="218" t="s">
        <v>5148</v>
      </c>
      <c r="C1741" s="218" t="s">
        <v>3534</v>
      </c>
      <c r="D1741" s="218" t="s">
        <v>5149</v>
      </c>
      <c r="E1741" s="218" t="s">
        <v>1839</v>
      </c>
      <c r="F1741" s="218" t="s">
        <v>1840</v>
      </c>
      <c r="G1741" s="218" t="s">
        <v>1841</v>
      </c>
    </row>
    <row r="1742" spans="1:7" x14ac:dyDescent="0.15">
      <c r="A1742" s="218" t="s">
        <v>5150</v>
      </c>
      <c r="B1742" s="218" t="s">
        <v>5151</v>
      </c>
      <c r="C1742" s="218" t="s">
        <v>3534</v>
      </c>
      <c r="D1742" s="218" t="s">
        <v>2756</v>
      </c>
      <c r="E1742" s="218" t="s">
        <v>1839</v>
      </c>
      <c r="F1742" s="218" t="s">
        <v>1840</v>
      </c>
      <c r="G1742" s="218" t="s">
        <v>1841</v>
      </c>
    </row>
    <row r="1743" spans="1:7" x14ac:dyDescent="0.15">
      <c r="A1743" s="218" t="s">
        <v>10354</v>
      </c>
      <c r="B1743" s="218" t="s">
        <v>10355</v>
      </c>
      <c r="C1743" s="218" t="s">
        <v>3534</v>
      </c>
      <c r="D1743" s="218" t="s">
        <v>10356</v>
      </c>
      <c r="E1743" s="218" t="s">
        <v>1839</v>
      </c>
      <c r="F1743" s="218" t="s">
        <v>1840</v>
      </c>
      <c r="G1743" s="218" t="s">
        <v>1841</v>
      </c>
    </row>
    <row r="1744" spans="1:7" x14ac:dyDescent="0.15">
      <c r="A1744" s="218" t="s">
        <v>5152</v>
      </c>
      <c r="B1744" s="218" t="s">
        <v>5153</v>
      </c>
      <c r="C1744" s="218" t="s">
        <v>3534</v>
      </c>
      <c r="D1744" s="218" t="s">
        <v>5154</v>
      </c>
      <c r="E1744" s="218" t="s">
        <v>1839</v>
      </c>
      <c r="F1744" s="218" t="s">
        <v>1840</v>
      </c>
      <c r="G1744" s="218" t="s">
        <v>1841</v>
      </c>
    </row>
    <row r="1745" spans="1:7" x14ac:dyDescent="0.15">
      <c r="A1745" s="218" t="s">
        <v>5155</v>
      </c>
      <c r="B1745" s="218" t="s">
        <v>5156</v>
      </c>
      <c r="C1745" s="218" t="s">
        <v>3534</v>
      </c>
      <c r="D1745" s="218" t="s">
        <v>5157</v>
      </c>
      <c r="E1745" s="218" t="s">
        <v>1839</v>
      </c>
      <c r="F1745" s="218" t="s">
        <v>1840</v>
      </c>
      <c r="G1745" s="218" t="s">
        <v>1841</v>
      </c>
    </row>
    <row r="1746" spans="1:7" x14ac:dyDescent="0.15">
      <c r="A1746" s="218" t="s">
        <v>10357</v>
      </c>
      <c r="B1746" s="218" t="s">
        <v>10358</v>
      </c>
      <c r="C1746" s="218" t="s">
        <v>3534</v>
      </c>
      <c r="D1746" s="218" t="s">
        <v>10359</v>
      </c>
      <c r="E1746" s="218" t="s">
        <v>1839</v>
      </c>
      <c r="F1746" s="218" t="s">
        <v>1840</v>
      </c>
      <c r="G1746" s="218" t="s">
        <v>1841</v>
      </c>
    </row>
    <row r="1747" spans="1:7" x14ac:dyDescent="0.15">
      <c r="A1747" s="218" t="s">
        <v>5158</v>
      </c>
      <c r="B1747" s="218" t="s">
        <v>5159</v>
      </c>
      <c r="C1747" s="218" t="s">
        <v>3534</v>
      </c>
      <c r="D1747" s="218" t="s">
        <v>5160</v>
      </c>
      <c r="E1747" s="218" t="s">
        <v>1839</v>
      </c>
      <c r="F1747" s="218" t="s">
        <v>1840</v>
      </c>
      <c r="G1747" s="218" t="s">
        <v>1841</v>
      </c>
    </row>
    <row r="1748" spans="1:7" x14ac:dyDescent="0.15">
      <c r="A1748" s="218" t="s">
        <v>10360</v>
      </c>
      <c r="B1748" s="218" t="s">
        <v>10361</v>
      </c>
      <c r="C1748" s="218" t="s">
        <v>3534</v>
      </c>
      <c r="D1748" s="218" t="s">
        <v>10362</v>
      </c>
      <c r="E1748" s="218" t="s">
        <v>1839</v>
      </c>
      <c r="F1748" s="218" t="s">
        <v>1840</v>
      </c>
      <c r="G1748" s="218" t="s">
        <v>1841</v>
      </c>
    </row>
    <row r="1749" spans="1:7" x14ac:dyDescent="0.15">
      <c r="A1749" s="218" t="s">
        <v>10363</v>
      </c>
      <c r="B1749" s="218" t="s">
        <v>1324</v>
      </c>
      <c r="C1749" s="218" t="s">
        <v>3534</v>
      </c>
      <c r="D1749" s="218" t="s">
        <v>1325</v>
      </c>
      <c r="E1749" s="218" t="s">
        <v>1839</v>
      </c>
      <c r="F1749" s="218" t="s">
        <v>1840</v>
      </c>
      <c r="G1749" s="218" t="s">
        <v>1841</v>
      </c>
    </row>
    <row r="1750" spans="1:7" x14ac:dyDescent="0.15">
      <c r="A1750" s="218" t="s">
        <v>5161</v>
      </c>
      <c r="B1750" s="218" t="s">
        <v>5162</v>
      </c>
      <c r="C1750" s="218" t="s">
        <v>3534</v>
      </c>
      <c r="D1750" s="218" t="s">
        <v>5163</v>
      </c>
      <c r="E1750" s="218" t="s">
        <v>1839</v>
      </c>
      <c r="F1750" s="218" t="s">
        <v>1840</v>
      </c>
      <c r="G1750" s="218" t="s">
        <v>1841</v>
      </c>
    </row>
    <row r="1751" spans="1:7" x14ac:dyDescent="0.15">
      <c r="A1751" s="218" t="s">
        <v>10364</v>
      </c>
      <c r="B1751" s="218" t="s">
        <v>10365</v>
      </c>
      <c r="C1751" s="218" t="s">
        <v>3534</v>
      </c>
      <c r="D1751" s="218" t="s">
        <v>10366</v>
      </c>
      <c r="E1751" s="218" t="s">
        <v>1839</v>
      </c>
      <c r="F1751" s="218" t="s">
        <v>1840</v>
      </c>
      <c r="G1751" s="218" t="s">
        <v>1841</v>
      </c>
    </row>
    <row r="1752" spans="1:7" x14ac:dyDescent="0.15">
      <c r="A1752" s="218" t="s">
        <v>11669</v>
      </c>
      <c r="B1752" s="218" t="s">
        <v>11670</v>
      </c>
      <c r="C1752" s="218" t="s">
        <v>3534</v>
      </c>
      <c r="D1752" s="218" t="s">
        <v>11671</v>
      </c>
      <c r="E1752" s="218" t="s">
        <v>1935</v>
      </c>
      <c r="F1752" s="218" t="s">
        <v>1840</v>
      </c>
      <c r="G1752" s="218" t="s">
        <v>1841</v>
      </c>
    </row>
    <row r="1753" spans="1:7" x14ac:dyDescent="0.15">
      <c r="A1753" s="218" t="s">
        <v>10367</v>
      </c>
      <c r="B1753" s="218" t="s">
        <v>10368</v>
      </c>
      <c r="C1753" s="218" t="s">
        <v>3534</v>
      </c>
      <c r="D1753" s="218" t="s">
        <v>10369</v>
      </c>
      <c r="E1753" s="218" t="s">
        <v>1839</v>
      </c>
      <c r="F1753" s="218" t="s">
        <v>1840</v>
      </c>
      <c r="G1753" s="218" t="s">
        <v>1841</v>
      </c>
    </row>
    <row r="1754" spans="1:7" x14ac:dyDescent="0.15">
      <c r="A1754" s="218" t="s">
        <v>10370</v>
      </c>
      <c r="B1754" s="218" t="s">
        <v>10371</v>
      </c>
      <c r="C1754" s="218" t="s">
        <v>3534</v>
      </c>
      <c r="D1754" s="218" t="s">
        <v>10369</v>
      </c>
      <c r="E1754" s="218" t="s">
        <v>1839</v>
      </c>
      <c r="F1754" s="218" t="s">
        <v>1840</v>
      </c>
      <c r="G1754" s="218" t="s">
        <v>1841</v>
      </c>
    </row>
    <row r="1755" spans="1:7" x14ac:dyDescent="0.15">
      <c r="A1755" s="218" t="s">
        <v>5164</v>
      </c>
      <c r="B1755" s="218" t="s">
        <v>5165</v>
      </c>
      <c r="C1755" s="218" t="s">
        <v>3534</v>
      </c>
      <c r="D1755" s="218" t="s">
        <v>5166</v>
      </c>
      <c r="E1755" s="218" t="s">
        <v>1839</v>
      </c>
      <c r="F1755" s="218" t="s">
        <v>1840</v>
      </c>
      <c r="G1755" s="218" t="s">
        <v>1841</v>
      </c>
    </row>
    <row r="1756" spans="1:7" x14ac:dyDescent="0.15">
      <c r="A1756" s="218" t="s">
        <v>5167</v>
      </c>
      <c r="B1756" s="218" t="s">
        <v>5168</v>
      </c>
      <c r="C1756" s="218" t="s">
        <v>3534</v>
      </c>
      <c r="D1756" s="218" t="s">
        <v>5169</v>
      </c>
      <c r="E1756" s="218" t="s">
        <v>1839</v>
      </c>
      <c r="F1756" s="218" t="s">
        <v>1840</v>
      </c>
      <c r="G1756" s="218" t="s">
        <v>1841</v>
      </c>
    </row>
    <row r="1757" spans="1:7" x14ac:dyDescent="0.15">
      <c r="A1757" s="218" t="s">
        <v>10372</v>
      </c>
      <c r="B1757" s="218" t="s">
        <v>10373</v>
      </c>
      <c r="C1757" s="218" t="s">
        <v>3534</v>
      </c>
      <c r="D1757" s="218" t="s">
        <v>10374</v>
      </c>
      <c r="E1757" s="218" t="s">
        <v>1839</v>
      </c>
      <c r="F1757" s="218" t="s">
        <v>1840</v>
      </c>
      <c r="G1757" s="218" t="s">
        <v>1841</v>
      </c>
    </row>
    <row r="1758" spans="1:7" x14ac:dyDescent="0.15">
      <c r="A1758" s="218" t="s">
        <v>5170</v>
      </c>
      <c r="B1758" s="218" t="s">
        <v>5171</v>
      </c>
      <c r="C1758" s="218" t="s">
        <v>3534</v>
      </c>
      <c r="D1758" s="218" t="s">
        <v>5172</v>
      </c>
      <c r="E1758" s="218" t="s">
        <v>1839</v>
      </c>
      <c r="F1758" s="218" t="s">
        <v>1840</v>
      </c>
      <c r="G1758" s="218" t="s">
        <v>1841</v>
      </c>
    </row>
    <row r="1759" spans="1:7" x14ac:dyDescent="0.15">
      <c r="A1759" s="218" t="s">
        <v>5173</v>
      </c>
      <c r="B1759" s="218" t="s">
        <v>5174</v>
      </c>
      <c r="C1759" s="218" t="s">
        <v>3534</v>
      </c>
      <c r="D1759" s="218" t="s">
        <v>5175</v>
      </c>
      <c r="E1759" s="218" t="s">
        <v>1839</v>
      </c>
      <c r="F1759" s="218" t="s">
        <v>1840</v>
      </c>
      <c r="G1759" s="218" t="s">
        <v>1841</v>
      </c>
    </row>
    <row r="1760" spans="1:7" x14ac:dyDescent="0.15">
      <c r="A1760" s="218" t="s">
        <v>10375</v>
      </c>
      <c r="B1760" s="218" t="s">
        <v>10376</v>
      </c>
      <c r="C1760" s="218" t="s">
        <v>3534</v>
      </c>
      <c r="D1760" s="218" t="s">
        <v>10377</v>
      </c>
      <c r="E1760" s="218" t="s">
        <v>1839</v>
      </c>
      <c r="F1760" s="218" t="s">
        <v>1840</v>
      </c>
      <c r="G1760" s="218" t="s">
        <v>1841</v>
      </c>
    </row>
    <row r="1761" spans="1:7" x14ac:dyDescent="0.15">
      <c r="A1761" s="218" t="s">
        <v>10378</v>
      </c>
      <c r="B1761" s="218" t="s">
        <v>1321</v>
      </c>
      <c r="C1761" s="218" t="s">
        <v>3534</v>
      </c>
      <c r="D1761" s="218" t="s">
        <v>1322</v>
      </c>
      <c r="E1761" s="218" t="s">
        <v>1839</v>
      </c>
      <c r="F1761" s="218" t="s">
        <v>1840</v>
      </c>
      <c r="G1761" s="218" t="s">
        <v>1841</v>
      </c>
    </row>
    <row r="1762" spans="1:7" x14ac:dyDescent="0.15">
      <c r="A1762" s="218" t="s">
        <v>10379</v>
      </c>
      <c r="B1762" s="218" t="s">
        <v>10380</v>
      </c>
      <c r="C1762" s="218" t="s">
        <v>3534</v>
      </c>
      <c r="D1762" s="218" t="s">
        <v>10381</v>
      </c>
      <c r="E1762" s="218" t="s">
        <v>1839</v>
      </c>
      <c r="F1762" s="218" t="s">
        <v>1840</v>
      </c>
      <c r="G1762" s="218" t="s">
        <v>1841</v>
      </c>
    </row>
    <row r="1763" spans="1:7" x14ac:dyDescent="0.15">
      <c r="A1763" s="218" t="s">
        <v>10382</v>
      </c>
      <c r="B1763" s="218" t="s">
        <v>10383</v>
      </c>
      <c r="C1763" s="218" t="s">
        <v>3534</v>
      </c>
      <c r="D1763" s="218" t="s">
        <v>10384</v>
      </c>
      <c r="E1763" s="218" t="s">
        <v>1839</v>
      </c>
      <c r="F1763" s="218" t="s">
        <v>1840</v>
      </c>
      <c r="G1763" s="218" t="s">
        <v>1841</v>
      </c>
    </row>
    <row r="1764" spans="1:7" x14ac:dyDescent="0.15">
      <c r="A1764" s="218" t="s">
        <v>5176</v>
      </c>
      <c r="B1764" s="218" t="s">
        <v>5177</v>
      </c>
      <c r="C1764" s="218" t="s">
        <v>3534</v>
      </c>
      <c r="D1764" s="218" t="s">
        <v>5178</v>
      </c>
      <c r="E1764" s="218" t="s">
        <v>1935</v>
      </c>
      <c r="F1764" s="218" t="s">
        <v>1840</v>
      </c>
      <c r="G1764" s="218" t="s">
        <v>1841</v>
      </c>
    </row>
    <row r="1765" spans="1:7" x14ac:dyDescent="0.15">
      <c r="A1765" s="218" t="s">
        <v>5179</v>
      </c>
      <c r="B1765" s="218" t="s">
        <v>5180</v>
      </c>
      <c r="C1765" s="218" t="s">
        <v>3534</v>
      </c>
      <c r="D1765" s="218" t="s">
        <v>5181</v>
      </c>
      <c r="E1765" s="218" t="s">
        <v>1839</v>
      </c>
      <c r="F1765" s="218" t="s">
        <v>1840</v>
      </c>
      <c r="G1765" s="218" t="s">
        <v>1841</v>
      </c>
    </row>
    <row r="1766" spans="1:7" x14ac:dyDescent="0.15">
      <c r="A1766" s="218" t="s">
        <v>5182</v>
      </c>
      <c r="B1766" s="218" t="s">
        <v>5183</v>
      </c>
      <c r="C1766" s="218" t="s">
        <v>3534</v>
      </c>
      <c r="D1766" s="218" t="s">
        <v>5184</v>
      </c>
      <c r="E1766" s="218" t="s">
        <v>1839</v>
      </c>
      <c r="F1766" s="218" t="s">
        <v>1840</v>
      </c>
      <c r="G1766" s="218" t="s">
        <v>1841</v>
      </c>
    </row>
    <row r="1767" spans="1:7" x14ac:dyDescent="0.15">
      <c r="A1767" s="218" t="s">
        <v>5185</v>
      </c>
      <c r="B1767" s="218" t="s">
        <v>5186</v>
      </c>
      <c r="C1767" s="218" t="s">
        <v>3534</v>
      </c>
      <c r="D1767" s="218" t="s">
        <v>5187</v>
      </c>
      <c r="E1767" s="218" t="s">
        <v>1839</v>
      </c>
      <c r="F1767" s="218" t="s">
        <v>1840</v>
      </c>
      <c r="G1767" s="218" t="s">
        <v>1841</v>
      </c>
    </row>
    <row r="1768" spans="1:7" x14ac:dyDescent="0.15">
      <c r="A1768" s="218" t="s">
        <v>5188</v>
      </c>
      <c r="B1768" s="218" t="s">
        <v>5189</v>
      </c>
      <c r="C1768" s="218" t="s">
        <v>3534</v>
      </c>
      <c r="D1768" s="218" t="s">
        <v>5190</v>
      </c>
      <c r="E1768" s="218" t="s">
        <v>1839</v>
      </c>
      <c r="F1768" s="218" t="s">
        <v>1840</v>
      </c>
      <c r="G1768" s="218" t="s">
        <v>1841</v>
      </c>
    </row>
    <row r="1769" spans="1:7" x14ac:dyDescent="0.15">
      <c r="A1769" s="218" t="s">
        <v>5191</v>
      </c>
      <c r="B1769" s="218" t="s">
        <v>5192</v>
      </c>
      <c r="C1769" s="218" t="s">
        <v>3534</v>
      </c>
      <c r="D1769" s="218" t="s">
        <v>5193</v>
      </c>
      <c r="E1769" s="218" t="s">
        <v>1839</v>
      </c>
      <c r="F1769" s="218" t="s">
        <v>1840</v>
      </c>
      <c r="G1769" s="218" t="s">
        <v>1841</v>
      </c>
    </row>
    <row r="1770" spans="1:7" x14ac:dyDescent="0.15">
      <c r="A1770" s="218" t="s">
        <v>5194</v>
      </c>
      <c r="B1770" s="218" t="s">
        <v>5195</v>
      </c>
      <c r="C1770" s="218" t="s">
        <v>3534</v>
      </c>
      <c r="D1770" s="218" t="s">
        <v>5196</v>
      </c>
      <c r="E1770" s="218" t="s">
        <v>1839</v>
      </c>
      <c r="F1770" s="218" t="s">
        <v>1840</v>
      </c>
      <c r="G1770" s="218" t="s">
        <v>1841</v>
      </c>
    </row>
    <row r="1771" spans="1:7" x14ac:dyDescent="0.15">
      <c r="A1771" s="218" t="s">
        <v>10385</v>
      </c>
      <c r="B1771" s="218" t="s">
        <v>1517</v>
      </c>
      <c r="C1771" s="218" t="s">
        <v>3534</v>
      </c>
      <c r="D1771" s="218" t="s">
        <v>1518</v>
      </c>
      <c r="E1771" s="218" t="s">
        <v>1935</v>
      </c>
      <c r="F1771" s="218" t="s">
        <v>1840</v>
      </c>
      <c r="G1771" s="218" t="s">
        <v>1841</v>
      </c>
    </row>
    <row r="1772" spans="1:7" x14ac:dyDescent="0.15">
      <c r="A1772" s="218" t="s">
        <v>10386</v>
      </c>
      <c r="B1772" s="218" t="s">
        <v>10387</v>
      </c>
      <c r="C1772" s="218" t="s">
        <v>3534</v>
      </c>
      <c r="D1772" s="218" t="s">
        <v>10388</v>
      </c>
      <c r="E1772" s="218" t="s">
        <v>1839</v>
      </c>
      <c r="F1772" s="218" t="s">
        <v>1840</v>
      </c>
      <c r="G1772" s="218" t="s">
        <v>1841</v>
      </c>
    </row>
    <row r="1773" spans="1:7" x14ac:dyDescent="0.15">
      <c r="A1773" s="218" t="s">
        <v>5197</v>
      </c>
      <c r="B1773" s="218" t="s">
        <v>5198</v>
      </c>
      <c r="C1773" s="218" t="s">
        <v>3534</v>
      </c>
      <c r="D1773" s="218" t="s">
        <v>5199</v>
      </c>
      <c r="E1773" s="218" t="s">
        <v>1839</v>
      </c>
      <c r="F1773" s="218" t="s">
        <v>1840</v>
      </c>
      <c r="G1773" s="218" t="s">
        <v>1841</v>
      </c>
    </row>
    <row r="1774" spans="1:7" x14ac:dyDescent="0.15">
      <c r="A1774" s="218" t="s">
        <v>10389</v>
      </c>
      <c r="B1774" s="218" t="s">
        <v>10390</v>
      </c>
      <c r="C1774" s="218" t="s">
        <v>3534</v>
      </c>
      <c r="D1774" s="218" t="s">
        <v>10391</v>
      </c>
      <c r="E1774" s="218" t="s">
        <v>1839</v>
      </c>
      <c r="F1774" s="218" t="s">
        <v>1840</v>
      </c>
      <c r="G1774" s="218" t="s">
        <v>1841</v>
      </c>
    </row>
    <row r="1775" spans="1:7" x14ac:dyDescent="0.15">
      <c r="A1775" s="218" t="s">
        <v>5200</v>
      </c>
      <c r="B1775" s="218" t="s">
        <v>5201</v>
      </c>
      <c r="C1775" s="218" t="s">
        <v>3534</v>
      </c>
      <c r="D1775" s="218" t="s">
        <v>5202</v>
      </c>
      <c r="E1775" s="218" t="s">
        <v>1839</v>
      </c>
      <c r="F1775" s="218" t="s">
        <v>1840</v>
      </c>
      <c r="G1775" s="218" t="s">
        <v>1841</v>
      </c>
    </row>
    <row r="1776" spans="1:7" x14ac:dyDescent="0.15">
      <c r="A1776" s="218" t="s">
        <v>5203</v>
      </c>
      <c r="B1776" s="218" t="s">
        <v>5204</v>
      </c>
      <c r="C1776" s="218" t="s">
        <v>3534</v>
      </c>
      <c r="D1776" s="218" t="s">
        <v>5205</v>
      </c>
      <c r="E1776" s="218" t="s">
        <v>1839</v>
      </c>
      <c r="F1776" s="218" t="s">
        <v>1840</v>
      </c>
      <c r="G1776" s="218" t="s">
        <v>1841</v>
      </c>
    </row>
    <row r="1777" spans="1:7" x14ac:dyDescent="0.15">
      <c r="A1777" s="218" t="s">
        <v>5206</v>
      </c>
      <c r="B1777" s="218" t="s">
        <v>5207</v>
      </c>
      <c r="C1777" s="218" t="s">
        <v>3534</v>
      </c>
      <c r="D1777" s="218" t="s">
        <v>5208</v>
      </c>
      <c r="E1777" s="218" t="s">
        <v>1839</v>
      </c>
      <c r="F1777" s="218" t="s">
        <v>1840</v>
      </c>
      <c r="G1777" s="218" t="s">
        <v>1841</v>
      </c>
    </row>
    <row r="1778" spans="1:7" x14ac:dyDescent="0.15">
      <c r="A1778" s="218" t="s">
        <v>11672</v>
      </c>
      <c r="B1778" s="218" t="s">
        <v>11673</v>
      </c>
      <c r="C1778" s="218" t="s">
        <v>3534</v>
      </c>
      <c r="D1778" s="218" t="s">
        <v>11674</v>
      </c>
      <c r="E1778" s="218" t="s">
        <v>1839</v>
      </c>
      <c r="F1778" s="218" t="s">
        <v>1840</v>
      </c>
      <c r="G1778" s="218" t="s">
        <v>1841</v>
      </c>
    </row>
    <row r="1779" spans="1:7" x14ac:dyDescent="0.15">
      <c r="A1779" s="218" t="s">
        <v>10392</v>
      </c>
      <c r="B1779" s="218" t="s">
        <v>10393</v>
      </c>
      <c r="C1779" s="218" t="s">
        <v>3534</v>
      </c>
      <c r="D1779" s="218" t="s">
        <v>10394</v>
      </c>
      <c r="E1779" s="218" t="s">
        <v>1839</v>
      </c>
      <c r="F1779" s="218" t="s">
        <v>1840</v>
      </c>
      <c r="G1779" s="218" t="s">
        <v>1841</v>
      </c>
    </row>
    <row r="1780" spans="1:7" x14ac:dyDescent="0.15">
      <c r="A1780" s="218" t="s">
        <v>10395</v>
      </c>
      <c r="B1780" s="218" t="s">
        <v>10396</v>
      </c>
      <c r="C1780" s="218" t="s">
        <v>3534</v>
      </c>
      <c r="D1780" s="218" t="s">
        <v>10397</v>
      </c>
      <c r="E1780" s="218" t="s">
        <v>1839</v>
      </c>
      <c r="F1780" s="218" t="s">
        <v>1840</v>
      </c>
      <c r="G1780" s="218" t="s">
        <v>1841</v>
      </c>
    </row>
    <row r="1781" spans="1:7" x14ac:dyDescent="0.15">
      <c r="A1781" s="218" t="s">
        <v>10398</v>
      </c>
      <c r="B1781" s="218" t="s">
        <v>1490</v>
      </c>
      <c r="C1781" s="218" t="s">
        <v>3534</v>
      </c>
      <c r="D1781" s="218" t="s">
        <v>1491</v>
      </c>
      <c r="E1781" s="218" t="s">
        <v>1839</v>
      </c>
      <c r="F1781" s="218" t="s">
        <v>1840</v>
      </c>
      <c r="G1781" s="218" t="s">
        <v>1841</v>
      </c>
    </row>
    <row r="1782" spans="1:7" x14ac:dyDescent="0.15">
      <c r="A1782" s="218" t="s">
        <v>5209</v>
      </c>
      <c r="B1782" s="218" t="s">
        <v>5210</v>
      </c>
      <c r="C1782" s="218" t="s">
        <v>3534</v>
      </c>
      <c r="D1782" s="218" t="s">
        <v>5211</v>
      </c>
      <c r="E1782" s="218" t="s">
        <v>1839</v>
      </c>
      <c r="F1782" s="218" t="s">
        <v>1840</v>
      </c>
      <c r="G1782" s="218" t="s">
        <v>1841</v>
      </c>
    </row>
    <row r="1783" spans="1:7" x14ac:dyDescent="0.15">
      <c r="A1783" s="218" t="s">
        <v>10399</v>
      </c>
      <c r="B1783" s="218" t="s">
        <v>10400</v>
      </c>
      <c r="C1783" s="218" t="s">
        <v>3534</v>
      </c>
      <c r="D1783" s="218" t="s">
        <v>10401</v>
      </c>
      <c r="E1783" s="218" t="s">
        <v>1839</v>
      </c>
      <c r="F1783" s="218" t="s">
        <v>1840</v>
      </c>
      <c r="G1783" s="218" t="s">
        <v>1841</v>
      </c>
    </row>
    <row r="1784" spans="1:7" x14ac:dyDescent="0.15">
      <c r="A1784" s="218" t="s">
        <v>5212</v>
      </c>
      <c r="B1784" s="218" t="s">
        <v>5213</v>
      </c>
      <c r="C1784" s="218" t="s">
        <v>3534</v>
      </c>
      <c r="D1784" s="218" t="s">
        <v>5214</v>
      </c>
      <c r="E1784" s="218" t="s">
        <v>1839</v>
      </c>
      <c r="F1784" s="218" t="s">
        <v>1840</v>
      </c>
      <c r="G1784" s="218" t="s">
        <v>1841</v>
      </c>
    </row>
    <row r="1785" spans="1:7" x14ac:dyDescent="0.15">
      <c r="A1785" s="218" t="s">
        <v>5215</v>
      </c>
      <c r="B1785" s="218" t="s">
        <v>5216</v>
      </c>
      <c r="C1785" s="218" t="s">
        <v>3534</v>
      </c>
      <c r="D1785" s="218" t="s">
        <v>5217</v>
      </c>
      <c r="E1785" s="218" t="s">
        <v>1839</v>
      </c>
      <c r="F1785" s="218" t="s">
        <v>1840</v>
      </c>
      <c r="G1785" s="218" t="s">
        <v>1841</v>
      </c>
    </row>
    <row r="1786" spans="1:7" x14ac:dyDescent="0.15">
      <c r="A1786" s="218" t="s">
        <v>5218</v>
      </c>
      <c r="B1786" s="218" t="s">
        <v>5219</v>
      </c>
      <c r="C1786" s="218" t="s">
        <v>3534</v>
      </c>
      <c r="D1786" s="218" t="s">
        <v>5220</v>
      </c>
      <c r="E1786" s="218" t="s">
        <v>1839</v>
      </c>
      <c r="F1786" s="218" t="s">
        <v>1840</v>
      </c>
      <c r="G1786" s="218" t="s">
        <v>1841</v>
      </c>
    </row>
    <row r="1787" spans="1:7" x14ac:dyDescent="0.15">
      <c r="A1787" s="218" t="s">
        <v>5221</v>
      </c>
      <c r="B1787" s="218" t="s">
        <v>5222</v>
      </c>
      <c r="C1787" s="218" t="s">
        <v>3534</v>
      </c>
      <c r="D1787" s="218" t="s">
        <v>5223</v>
      </c>
      <c r="E1787" s="218" t="s">
        <v>1839</v>
      </c>
      <c r="F1787" s="218" t="s">
        <v>1840</v>
      </c>
      <c r="G1787" s="218" t="s">
        <v>1841</v>
      </c>
    </row>
    <row r="1788" spans="1:7" x14ac:dyDescent="0.15">
      <c r="A1788" s="218" t="s">
        <v>5224</v>
      </c>
      <c r="B1788" s="218" t="s">
        <v>5225</v>
      </c>
      <c r="C1788" s="218" t="s">
        <v>3534</v>
      </c>
      <c r="D1788" s="218" t="s">
        <v>5226</v>
      </c>
      <c r="E1788" s="218" t="s">
        <v>1839</v>
      </c>
      <c r="F1788" s="218" t="s">
        <v>1840</v>
      </c>
      <c r="G1788" s="218" t="s">
        <v>1841</v>
      </c>
    </row>
    <row r="1789" spans="1:7" x14ac:dyDescent="0.15">
      <c r="A1789" s="218" t="s">
        <v>5227</v>
      </c>
      <c r="B1789" s="218" t="s">
        <v>5228</v>
      </c>
      <c r="C1789" s="218" t="s">
        <v>3534</v>
      </c>
      <c r="D1789" s="218" t="s">
        <v>5229</v>
      </c>
      <c r="E1789" s="218" t="s">
        <v>1839</v>
      </c>
      <c r="F1789" s="218" t="s">
        <v>1840</v>
      </c>
      <c r="G1789" s="218" t="s">
        <v>1841</v>
      </c>
    </row>
    <row r="1790" spans="1:7" x14ac:dyDescent="0.15">
      <c r="A1790" s="218" t="s">
        <v>10402</v>
      </c>
      <c r="B1790" s="218" t="s">
        <v>10403</v>
      </c>
      <c r="C1790" s="218" t="s">
        <v>3534</v>
      </c>
      <c r="D1790" s="218" t="s">
        <v>10404</v>
      </c>
      <c r="E1790" s="218" t="s">
        <v>1839</v>
      </c>
      <c r="F1790" s="218" t="s">
        <v>1840</v>
      </c>
      <c r="G1790" s="218" t="s">
        <v>1841</v>
      </c>
    </row>
    <row r="1791" spans="1:7" x14ac:dyDescent="0.15">
      <c r="A1791" s="218" t="s">
        <v>5230</v>
      </c>
      <c r="B1791" s="218" t="s">
        <v>5231</v>
      </c>
      <c r="C1791" s="218" t="s">
        <v>3534</v>
      </c>
      <c r="D1791" s="218" t="s">
        <v>5232</v>
      </c>
      <c r="E1791" s="218" t="s">
        <v>1839</v>
      </c>
      <c r="F1791" s="218" t="s">
        <v>1840</v>
      </c>
      <c r="G1791" s="218" t="s">
        <v>1841</v>
      </c>
    </row>
    <row r="1792" spans="1:7" x14ac:dyDescent="0.15">
      <c r="A1792" s="218" t="s">
        <v>10405</v>
      </c>
      <c r="B1792" s="218" t="s">
        <v>10406</v>
      </c>
      <c r="C1792" s="218" t="s">
        <v>3534</v>
      </c>
      <c r="D1792" s="218" t="s">
        <v>10407</v>
      </c>
      <c r="E1792" s="218" t="s">
        <v>1839</v>
      </c>
      <c r="F1792" s="218" t="s">
        <v>1840</v>
      </c>
      <c r="G1792" s="218" t="s">
        <v>1841</v>
      </c>
    </row>
    <row r="1793" spans="1:7" x14ac:dyDescent="0.15">
      <c r="A1793" s="218" t="s">
        <v>5233</v>
      </c>
      <c r="B1793" s="218" t="s">
        <v>5234</v>
      </c>
      <c r="C1793" s="218" t="s">
        <v>3534</v>
      </c>
      <c r="D1793" s="218" t="s">
        <v>5235</v>
      </c>
      <c r="E1793" s="218" t="s">
        <v>1839</v>
      </c>
      <c r="F1793" s="218" t="s">
        <v>1840</v>
      </c>
      <c r="G1793" s="218" t="s">
        <v>1841</v>
      </c>
    </row>
    <row r="1794" spans="1:7" x14ac:dyDescent="0.15">
      <c r="A1794" s="218" t="s">
        <v>5236</v>
      </c>
      <c r="B1794" s="218" t="s">
        <v>5237</v>
      </c>
      <c r="C1794" s="218" t="s">
        <v>3534</v>
      </c>
      <c r="D1794" s="218" t="s">
        <v>5238</v>
      </c>
      <c r="E1794" s="218" t="s">
        <v>1839</v>
      </c>
      <c r="F1794" s="218" t="s">
        <v>1840</v>
      </c>
      <c r="G1794" s="218" t="s">
        <v>1841</v>
      </c>
    </row>
    <row r="1795" spans="1:7" x14ac:dyDescent="0.15">
      <c r="A1795" s="218" t="s">
        <v>5239</v>
      </c>
      <c r="B1795" s="218" t="s">
        <v>5240</v>
      </c>
      <c r="C1795" s="218" t="s">
        <v>3534</v>
      </c>
      <c r="D1795" s="218" t="s">
        <v>5241</v>
      </c>
      <c r="E1795" s="218" t="s">
        <v>1839</v>
      </c>
      <c r="F1795" s="218" t="s">
        <v>1840</v>
      </c>
      <c r="G1795" s="218" t="s">
        <v>1841</v>
      </c>
    </row>
    <row r="1796" spans="1:7" x14ac:dyDescent="0.15">
      <c r="A1796" s="218" t="s">
        <v>10408</v>
      </c>
      <c r="B1796" s="218" t="s">
        <v>10409</v>
      </c>
      <c r="C1796" s="218" t="s">
        <v>3534</v>
      </c>
      <c r="D1796" s="218" t="s">
        <v>10410</v>
      </c>
      <c r="E1796" s="218" t="s">
        <v>1839</v>
      </c>
      <c r="F1796" s="218" t="s">
        <v>1840</v>
      </c>
      <c r="G1796" s="218" t="s">
        <v>1841</v>
      </c>
    </row>
    <row r="1797" spans="1:7" x14ac:dyDescent="0.15">
      <c r="A1797" s="218" t="s">
        <v>10411</v>
      </c>
      <c r="B1797" s="218" t="s">
        <v>10412</v>
      </c>
      <c r="C1797" s="218" t="s">
        <v>3534</v>
      </c>
      <c r="D1797" s="218" t="s">
        <v>10413</v>
      </c>
      <c r="E1797" s="218" t="s">
        <v>1839</v>
      </c>
      <c r="F1797" s="218" t="s">
        <v>1840</v>
      </c>
      <c r="G1797" s="218" t="s">
        <v>1841</v>
      </c>
    </row>
    <row r="1798" spans="1:7" x14ac:dyDescent="0.15">
      <c r="A1798" s="218" t="s">
        <v>10414</v>
      </c>
      <c r="B1798" s="218" t="s">
        <v>10415</v>
      </c>
      <c r="C1798" s="218" t="s">
        <v>3534</v>
      </c>
      <c r="D1798" s="218" t="s">
        <v>10416</v>
      </c>
      <c r="E1798" s="218" t="s">
        <v>1839</v>
      </c>
      <c r="F1798" s="218" t="s">
        <v>1840</v>
      </c>
      <c r="G1798" s="218" t="s">
        <v>1841</v>
      </c>
    </row>
    <row r="1799" spans="1:7" x14ac:dyDescent="0.15">
      <c r="A1799" s="218" t="s">
        <v>10417</v>
      </c>
      <c r="B1799" s="218" t="s">
        <v>10418</v>
      </c>
      <c r="C1799" s="218" t="s">
        <v>3534</v>
      </c>
      <c r="D1799" s="218" t="s">
        <v>10419</v>
      </c>
      <c r="E1799" s="218" t="s">
        <v>1839</v>
      </c>
      <c r="F1799" s="218" t="s">
        <v>1840</v>
      </c>
      <c r="G1799" s="218" t="s">
        <v>1841</v>
      </c>
    </row>
    <row r="1800" spans="1:7" x14ac:dyDescent="0.15">
      <c r="A1800" s="218" t="s">
        <v>5245</v>
      </c>
      <c r="B1800" s="218" t="s">
        <v>5246</v>
      </c>
      <c r="C1800" s="218" t="s">
        <v>3534</v>
      </c>
      <c r="D1800" s="218" t="s">
        <v>5247</v>
      </c>
      <c r="E1800" s="218" t="s">
        <v>1839</v>
      </c>
      <c r="F1800" s="218" t="s">
        <v>1840</v>
      </c>
      <c r="G1800" s="218" t="s">
        <v>1841</v>
      </c>
    </row>
    <row r="1801" spans="1:7" x14ac:dyDescent="0.15">
      <c r="A1801" s="218" t="s">
        <v>10420</v>
      </c>
      <c r="B1801" s="218" t="s">
        <v>1647</v>
      </c>
      <c r="C1801" s="218" t="s">
        <v>3534</v>
      </c>
      <c r="D1801" s="218" t="s">
        <v>1648</v>
      </c>
      <c r="E1801" s="218" t="s">
        <v>1839</v>
      </c>
      <c r="F1801" s="218" t="s">
        <v>1840</v>
      </c>
      <c r="G1801" s="218" t="s">
        <v>1841</v>
      </c>
    </row>
    <row r="1802" spans="1:7" x14ac:dyDescent="0.15">
      <c r="A1802" s="218" t="s">
        <v>11675</v>
      </c>
      <c r="B1802" s="218" t="s">
        <v>11676</v>
      </c>
      <c r="C1802" s="218" t="s">
        <v>3534</v>
      </c>
      <c r="D1802" s="218" t="s">
        <v>11677</v>
      </c>
      <c r="E1802" s="218" t="s">
        <v>1839</v>
      </c>
      <c r="F1802" s="218" t="s">
        <v>1840</v>
      </c>
      <c r="G1802" s="218" t="s">
        <v>1841</v>
      </c>
    </row>
    <row r="1803" spans="1:7" x14ac:dyDescent="0.15">
      <c r="A1803" s="218" t="s">
        <v>5248</v>
      </c>
      <c r="B1803" s="218" t="s">
        <v>5249</v>
      </c>
      <c r="C1803" s="218" t="s">
        <v>3534</v>
      </c>
      <c r="D1803" s="218" t="s">
        <v>5250</v>
      </c>
      <c r="E1803" s="218" t="s">
        <v>1839</v>
      </c>
      <c r="F1803" s="218" t="s">
        <v>1840</v>
      </c>
      <c r="G1803" s="218" t="s">
        <v>1841</v>
      </c>
    </row>
    <row r="1804" spans="1:7" x14ac:dyDescent="0.15">
      <c r="A1804" s="218" t="s">
        <v>10421</v>
      </c>
      <c r="B1804" s="218" t="s">
        <v>10422</v>
      </c>
      <c r="C1804" s="218" t="s">
        <v>3534</v>
      </c>
      <c r="D1804" s="218" t="s">
        <v>10423</v>
      </c>
      <c r="E1804" s="218" t="s">
        <v>1935</v>
      </c>
      <c r="F1804" s="218" t="s">
        <v>1840</v>
      </c>
      <c r="G1804" s="218" t="s">
        <v>1841</v>
      </c>
    </row>
    <row r="1805" spans="1:7" x14ac:dyDescent="0.15">
      <c r="A1805" s="218" t="s">
        <v>5251</v>
      </c>
      <c r="B1805" s="218" t="s">
        <v>5252</v>
      </c>
      <c r="C1805" s="218" t="s">
        <v>3534</v>
      </c>
      <c r="D1805" s="218" t="s">
        <v>5253</v>
      </c>
      <c r="E1805" s="218" t="s">
        <v>1839</v>
      </c>
      <c r="F1805" s="218" t="s">
        <v>1840</v>
      </c>
      <c r="G1805" s="218" t="s">
        <v>1841</v>
      </c>
    </row>
    <row r="1806" spans="1:7" x14ac:dyDescent="0.15">
      <c r="A1806" s="218" t="s">
        <v>5254</v>
      </c>
      <c r="B1806" s="218" t="s">
        <v>5255</v>
      </c>
      <c r="C1806" s="218" t="s">
        <v>3534</v>
      </c>
      <c r="D1806" s="218" t="s">
        <v>5256</v>
      </c>
      <c r="E1806" s="218" t="s">
        <v>1839</v>
      </c>
      <c r="F1806" s="218" t="s">
        <v>1840</v>
      </c>
      <c r="G1806" s="218" t="s">
        <v>1841</v>
      </c>
    </row>
    <row r="1807" spans="1:7" x14ac:dyDescent="0.15">
      <c r="A1807" s="218" t="s">
        <v>5257</v>
      </c>
      <c r="B1807" s="218" t="s">
        <v>5258</v>
      </c>
      <c r="C1807" s="218" t="s">
        <v>3534</v>
      </c>
      <c r="D1807" s="218" t="s">
        <v>5259</v>
      </c>
      <c r="E1807" s="218" t="s">
        <v>1839</v>
      </c>
      <c r="F1807" s="218" t="s">
        <v>1840</v>
      </c>
      <c r="G1807" s="218" t="s">
        <v>1841</v>
      </c>
    </row>
    <row r="1808" spans="1:7" x14ac:dyDescent="0.15">
      <c r="A1808" s="218" t="s">
        <v>5260</v>
      </c>
      <c r="B1808" s="218" t="s">
        <v>5261</v>
      </c>
      <c r="C1808" s="218" t="s">
        <v>3534</v>
      </c>
      <c r="D1808" s="218" t="s">
        <v>5262</v>
      </c>
      <c r="E1808" s="218" t="s">
        <v>1839</v>
      </c>
      <c r="F1808" s="218" t="s">
        <v>1840</v>
      </c>
      <c r="G1808" s="218" t="s">
        <v>1841</v>
      </c>
    </row>
    <row r="1809" spans="1:7" x14ac:dyDescent="0.15">
      <c r="A1809" s="218" t="s">
        <v>11678</v>
      </c>
      <c r="B1809" s="218" t="s">
        <v>11679</v>
      </c>
      <c r="C1809" s="218" t="s">
        <v>3534</v>
      </c>
      <c r="D1809" s="218" t="s">
        <v>11680</v>
      </c>
      <c r="E1809" s="218" t="s">
        <v>1935</v>
      </c>
      <c r="F1809" s="218" t="s">
        <v>1840</v>
      </c>
      <c r="G1809" s="218" t="s">
        <v>1841</v>
      </c>
    </row>
    <row r="1810" spans="1:7" x14ac:dyDescent="0.15">
      <c r="A1810" s="218" t="s">
        <v>10424</v>
      </c>
      <c r="B1810" s="218" t="s">
        <v>1663</v>
      </c>
      <c r="C1810" s="218" t="s">
        <v>3534</v>
      </c>
      <c r="D1810" s="218" t="s">
        <v>1664</v>
      </c>
      <c r="E1810" s="218" t="s">
        <v>1839</v>
      </c>
      <c r="F1810" s="218" t="s">
        <v>1840</v>
      </c>
      <c r="G1810" s="218" t="s">
        <v>1841</v>
      </c>
    </row>
    <row r="1811" spans="1:7" x14ac:dyDescent="0.15">
      <c r="A1811" s="218" t="s">
        <v>10425</v>
      </c>
      <c r="B1811" s="218" t="s">
        <v>10426</v>
      </c>
      <c r="C1811" s="218" t="s">
        <v>3534</v>
      </c>
      <c r="D1811" s="218" t="s">
        <v>10427</v>
      </c>
      <c r="E1811" s="218" t="s">
        <v>1839</v>
      </c>
      <c r="F1811" s="218" t="s">
        <v>1840</v>
      </c>
      <c r="G1811" s="218" t="s">
        <v>1841</v>
      </c>
    </row>
    <row r="1812" spans="1:7" x14ac:dyDescent="0.15">
      <c r="A1812" s="218" t="s">
        <v>10428</v>
      </c>
      <c r="B1812" s="218" t="s">
        <v>10429</v>
      </c>
      <c r="C1812" s="218" t="s">
        <v>3534</v>
      </c>
      <c r="D1812" s="218" t="s">
        <v>10430</v>
      </c>
      <c r="E1812" s="218" t="s">
        <v>1839</v>
      </c>
      <c r="F1812" s="218" t="s">
        <v>1840</v>
      </c>
      <c r="G1812" s="218" t="s">
        <v>1841</v>
      </c>
    </row>
    <row r="1813" spans="1:7" x14ac:dyDescent="0.15">
      <c r="A1813" s="218" t="s">
        <v>5263</v>
      </c>
      <c r="B1813" s="218" t="s">
        <v>5264</v>
      </c>
      <c r="C1813" s="218" t="s">
        <v>3534</v>
      </c>
      <c r="D1813" s="218" t="s">
        <v>5265</v>
      </c>
      <c r="E1813" s="218" t="s">
        <v>1839</v>
      </c>
      <c r="F1813" s="218" t="s">
        <v>1840</v>
      </c>
      <c r="G1813" s="218" t="s">
        <v>1841</v>
      </c>
    </row>
    <row r="1814" spans="1:7" x14ac:dyDescent="0.15">
      <c r="A1814" s="218" t="s">
        <v>10431</v>
      </c>
      <c r="B1814" s="218" t="s">
        <v>1509</v>
      </c>
      <c r="C1814" s="218" t="s">
        <v>3534</v>
      </c>
      <c r="D1814" s="218" t="s">
        <v>1510</v>
      </c>
      <c r="E1814" s="218" t="s">
        <v>1935</v>
      </c>
      <c r="F1814" s="218" t="s">
        <v>1840</v>
      </c>
      <c r="G1814" s="218" t="s">
        <v>1841</v>
      </c>
    </row>
    <row r="1815" spans="1:7" x14ac:dyDescent="0.15">
      <c r="A1815" s="218" t="s">
        <v>10432</v>
      </c>
      <c r="B1815" s="218" t="s">
        <v>10433</v>
      </c>
      <c r="C1815" s="218" t="s">
        <v>3534</v>
      </c>
      <c r="D1815" s="218" t="s">
        <v>10434</v>
      </c>
      <c r="E1815" s="218" t="s">
        <v>1839</v>
      </c>
      <c r="F1815" s="218" t="s">
        <v>1840</v>
      </c>
      <c r="G1815" s="218" t="s">
        <v>1841</v>
      </c>
    </row>
    <row r="1816" spans="1:7" x14ac:dyDescent="0.15">
      <c r="A1816" s="218" t="s">
        <v>10435</v>
      </c>
      <c r="B1816" s="218" t="s">
        <v>1197</v>
      </c>
      <c r="C1816" s="218" t="s">
        <v>3534</v>
      </c>
      <c r="D1816" s="218" t="s">
        <v>1198</v>
      </c>
      <c r="E1816" s="218" t="s">
        <v>1839</v>
      </c>
      <c r="F1816" s="218" t="s">
        <v>1840</v>
      </c>
      <c r="G1816" s="218" t="s">
        <v>1841</v>
      </c>
    </row>
    <row r="1817" spans="1:7" x14ac:dyDescent="0.15">
      <c r="A1817" s="218" t="s">
        <v>5269</v>
      </c>
      <c r="B1817" s="218" t="s">
        <v>5270</v>
      </c>
      <c r="C1817" s="218" t="s">
        <v>3534</v>
      </c>
      <c r="D1817" s="218" t="s">
        <v>5271</v>
      </c>
      <c r="E1817" s="218" t="s">
        <v>1839</v>
      </c>
      <c r="F1817" s="218" t="s">
        <v>1840</v>
      </c>
      <c r="G1817" s="218" t="s">
        <v>1841</v>
      </c>
    </row>
    <row r="1818" spans="1:7" x14ac:dyDescent="0.15">
      <c r="A1818" s="218" t="s">
        <v>10436</v>
      </c>
      <c r="B1818" s="218" t="s">
        <v>10437</v>
      </c>
      <c r="C1818" s="218" t="s">
        <v>3534</v>
      </c>
      <c r="D1818" s="218" t="s">
        <v>10438</v>
      </c>
      <c r="E1818" s="218" t="s">
        <v>1839</v>
      </c>
      <c r="F1818" s="218" t="s">
        <v>1840</v>
      </c>
      <c r="G1818" s="218" t="s">
        <v>1841</v>
      </c>
    </row>
    <row r="1819" spans="1:7" x14ac:dyDescent="0.15">
      <c r="A1819" s="218" t="s">
        <v>5272</v>
      </c>
      <c r="B1819" s="218" t="s">
        <v>5273</v>
      </c>
      <c r="C1819" s="218" t="s">
        <v>3534</v>
      </c>
      <c r="D1819" s="218" t="s">
        <v>5274</v>
      </c>
      <c r="E1819" s="218" t="s">
        <v>1839</v>
      </c>
      <c r="F1819" s="218" t="s">
        <v>1840</v>
      </c>
      <c r="G1819" s="218" t="s">
        <v>1841</v>
      </c>
    </row>
    <row r="1820" spans="1:7" x14ac:dyDescent="0.15">
      <c r="A1820" s="218" t="s">
        <v>11681</v>
      </c>
      <c r="B1820" s="218" t="s">
        <v>11682</v>
      </c>
      <c r="C1820" s="218" t="s">
        <v>3534</v>
      </c>
      <c r="D1820" s="218" t="s">
        <v>11683</v>
      </c>
      <c r="E1820" s="218" t="s">
        <v>1839</v>
      </c>
      <c r="F1820" s="218" t="s">
        <v>1840</v>
      </c>
      <c r="G1820" s="218" t="s">
        <v>1841</v>
      </c>
    </row>
    <row r="1821" spans="1:7" x14ac:dyDescent="0.15">
      <c r="A1821" s="218" t="s">
        <v>10439</v>
      </c>
      <c r="B1821" s="218" t="s">
        <v>10440</v>
      </c>
      <c r="C1821" s="218" t="s">
        <v>3534</v>
      </c>
      <c r="D1821" s="218" t="s">
        <v>10441</v>
      </c>
      <c r="E1821" s="218" t="s">
        <v>1839</v>
      </c>
      <c r="F1821" s="218" t="s">
        <v>1840</v>
      </c>
      <c r="G1821" s="218" t="s">
        <v>1841</v>
      </c>
    </row>
    <row r="1822" spans="1:7" x14ac:dyDescent="0.15">
      <c r="A1822" s="218" t="s">
        <v>5275</v>
      </c>
      <c r="B1822" s="218" t="s">
        <v>5276</v>
      </c>
      <c r="C1822" s="218" t="s">
        <v>3534</v>
      </c>
      <c r="D1822" s="218" t="s">
        <v>5277</v>
      </c>
      <c r="E1822" s="218" t="s">
        <v>1839</v>
      </c>
      <c r="F1822" s="218" t="s">
        <v>1840</v>
      </c>
      <c r="G1822" s="218" t="s">
        <v>1841</v>
      </c>
    </row>
    <row r="1823" spans="1:7" x14ac:dyDescent="0.15">
      <c r="A1823" s="218" t="s">
        <v>5281</v>
      </c>
      <c r="B1823" s="218" t="s">
        <v>5282</v>
      </c>
      <c r="C1823" s="218" t="s">
        <v>3534</v>
      </c>
      <c r="D1823" s="218" t="s">
        <v>5283</v>
      </c>
      <c r="E1823" s="218" t="s">
        <v>1839</v>
      </c>
      <c r="F1823" s="218" t="s">
        <v>1840</v>
      </c>
      <c r="G1823" s="218" t="s">
        <v>1841</v>
      </c>
    </row>
    <row r="1824" spans="1:7" x14ac:dyDescent="0.15">
      <c r="A1824" s="218" t="s">
        <v>5284</v>
      </c>
      <c r="B1824" s="218" t="s">
        <v>5285</v>
      </c>
      <c r="C1824" s="218" t="s">
        <v>3534</v>
      </c>
      <c r="D1824" s="218" t="s">
        <v>5286</v>
      </c>
      <c r="E1824" s="218" t="s">
        <v>1839</v>
      </c>
      <c r="F1824" s="218" t="s">
        <v>1840</v>
      </c>
      <c r="G1824" s="218" t="s">
        <v>1841</v>
      </c>
    </row>
    <row r="1825" spans="1:7" x14ac:dyDescent="0.15">
      <c r="A1825" s="218" t="s">
        <v>5290</v>
      </c>
      <c r="B1825" s="218" t="s">
        <v>5291</v>
      </c>
      <c r="C1825" s="218" t="s">
        <v>3534</v>
      </c>
      <c r="D1825" s="218" t="s">
        <v>5292</v>
      </c>
      <c r="E1825" s="218" t="s">
        <v>1839</v>
      </c>
      <c r="F1825" s="218" t="s">
        <v>1840</v>
      </c>
      <c r="G1825" s="218" t="s">
        <v>1841</v>
      </c>
    </row>
    <row r="1826" spans="1:7" x14ac:dyDescent="0.15">
      <c r="A1826" s="218" t="s">
        <v>10444</v>
      </c>
      <c r="B1826" s="218" t="s">
        <v>10445</v>
      </c>
      <c r="C1826" s="218" t="s">
        <v>3534</v>
      </c>
      <c r="D1826" s="218" t="s">
        <v>10446</v>
      </c>
      <c r="E1826" s="218" t="s">
        <v>1839</v>
      </c>
      <c r="F1826" s="218" t="s">
        <v>1840</v>
      </c>
      <c r="G1826" s="218" t="s">
        <v>1841</v>
      </c>
    </row>
    <row r="1827" spans="1:7" x14ac:dyDescent="0.15">
      <c r="A1827" s="218" t="s">
        <v>10447</v>
      </c>
      <c r="B1827" s="218" t="s">
        <v>10448</v>
      </c>
      <c r="C1827" s="218" t="s">
        <v>3534</v>
      </c>
      <c r="D1827" s="218" t="s">
        <v>10449</v>
      </c>
      <c r="E1827" s="218" t="s">
        <v>1839</v>
      </c>
      <c r="F1827" s="218" t="s">
        <v>1840</v>
      </c>
      <c r="G1827" s="218" t="s">
        <v>1841</v>
      </c>
    </row>
    <row r="1828" spans="1:7" x14ac:dyDescent="0.15">
      <c r="A1828" s="218" t="s">
        <v>10450</v>
      </c>
      <c r="B1828" s="218" t="s">
        <v>10451</v>
      </c>
      <c r="C1828" s="218" t="s">
        <v>3534</v>
      </c>
      <c r="D1828" s="218" t="s">
        <v>10452</v>
      </c>
      <c r="E1828" s="218" t="s">
        <v>1839</v>
      </c>
      <c r="F1828" s="218" t="s">
        <v>1840</v>
      </c>
      <c r="G1828" s="218" t="s">
        <v>1841</v>
      </c>
    </row>
    <row r="1829" spans="1:7" x14ac:dyDescent="0.15">
      <c r="A1829" s="218" t="s">
        <v>5296</v>
      </c>
      <c r="B1829" s="218" t="s">
        <v>5297</v>
      </c>
      <c r="C1829" s="218" t="s">
        <v>3534</v>
      </c>
      <c r="D1829" s="218" t="s">
        <v>5298</v>
      </c>
      <c r="E1829" s="218" t="s">
        <v>1839</v>
      </c>
      <c r="F1829" s="218" t="s">
        <v>1840</v>
      </c>
      <c r="G1829" s="218" t="s">
        <v>1841</v>
      </c>
    </row>
    <row r="1830" spans="1:7" x14ac:dyDescent="0.15">
      <c r="A1830" s="218" t="s">
        <v>10456</v>
      </c>
      <c r="B1830" s="218" t="s">
        <v>10457</v>
      </c>
      <c r="C1830" s="218" t="s">
        <v>3534</v>
      </c>
      <c r="D1830" s="218" t="s">
        <v>10458</v>
      </c>
      <c r="E1830" s="218" t="s">
        <v>1839</v>
      </c>
      <c r="F1830" s="218" t="s">
        <v>1840</v>
      </c>
      <c r="G1830" s="218" t="s">
        <v>1841</v>
      </c>
    </row>
    <row r="1831" spans="1:7" x14ac:dyDescent="0.15">
      <c r="A1831" s="218" t="s">
        <v>10459</v>
      </c>
      <c r="B1831" s="218" t="s">
        <v>10460</v>
      </c>
      <c r="C1831" s="218" t="s">
        <v>3534</v>
      </c>
      <c r="D1831" s="218" t="s">
        <v>1424</v>
      </c>
      <c r="E1831" s="218" t="s">
        <v>1839</v>
      </c>
      <c r="F1831" s="218" t="s">
        <v>1840</v>
      </c>
      <c r="G1831" s="218" t="s">
        <v>1841</v>
      </c>
    </row>
    <row r="1832" spans="1:7" x14ac:dyDescent="0.15">
      <c r="A1832" s="218" t="s">
        <v>5299</v>
      </c>
      <c r="B1832" s="218" t="s">
        <v>5300</v>
      </c>
      <c r="C1832" s="218" t="s">
        <v>3534</v>
      </c>
      <c r="D1832" s="218" t="s">
        <v>5301</v>
      </c>
      <c r="E1832" s="218" t="s">
        <v>1839</v>
      </c>
      <c r="F1832" s="218" t="s">
        <v>1840</v>
      </c>
      <c r="G1832" s="218" t="s">
        <v>1841</v>
      </c>
    </row>
    <row r="1833" spans="1:7" x14ac:dyDescent="0.15">
      <c r="A1833" s="218" t="s">
        <v>5302</v>
      </c>
      <c r="B1833" s="218" t="s">
        <v>5303</v>
      </c>
      <c r="C1833" s="218" t="s">
        <v>3534</v>
      </c>
      <c r="D1833" s="218" t="s">
        <v>5304</v>
      </c>
      <c r="E1833" s="218" t="s">
        <v>1839</v>
      </c>
      <c r="F1833" s="218" t="s">
        <v>1840</v>
      </c>
      <c r="G1833" s="218" t="s">
        <v>1841</v>
      </c>
    </row>
    <row r="1834" spans="1:7" x14ac:dyDescent="0.15">
      <c r="A1834" s="218" t="s">
        <v>10461</v>
      </c>
      <c r="B1834" s="218" t="s">
        <v>10462</v>
      </c>
      <c r="C1834" s="218" t="s">
        <v>3534</v>
      </c>
      <c r="D1834" s="218" t="s">
        <v>10463</v>
      </c>
      <c r="E1834" s="218" t="s">
        <v>1839</v>
      </c>
      <c r="F1834" s="218" t="s">
        <v>1840</v>
      </c>
      <c r="G1834" s="218" t="s">
        <v>1841</v>
      </c>
    </row>
    <row r="1835" spans="1:7" x14ac:dyDescent="0.15">
      <c r="A1835" s="218" t="s">
        <v>10464</v>
      </c>
      <c r="B1835" s="218" t="s">
        <v>10465</v>
      </c>
      <c r="C1835" s="218" t="s">
        <v>3534</v>
      </c>
      <c r="D1835" s="218" t="s">
        <v>10466</v>
      </c>
      <c r="E1835" s="218" t="s">
        <v>1839</v>
      </c>
      <c r="F1835" s="218" t="s">
        <v>1840</v>
      </c>
      <c r="G1835" s="218" t="s">
        <v>1841</v>
      </c>
    </row>
    <row r="1836" spans="1:7" x14ac:dyDescent="0.15">
      <c r="A1836" s="218" t="s">
        <v>11684</v>
      </c>
      <c r="B1836" s="218" t="s">
        <v>11685</v>
      </c>
      <c r="C1836" s="218" t="s">
        <v>3534</v>
      </c>
      <c r="D1836" s="218" t="s">
        <v>11686</v>
      </c>
      <c r="E1836" s="218" t="s">
        <v>1839</v>
      </c>
      <c r="F1836" s="218" t="s">
        <v>1840</v>
      </c>
      <c r="G1836" s="218" t="s">
        <v>1841</v>
      </c>
    </row>
    <row r="1837" spans="1:7" x14ac:dyDescent="0.15">
      <c r="A1837" s="218" t="s">
        <v>5305</v>
      </c>
      <c r="B1837" s="218" t="s">
        <v>5306</v>
      </c>
      <c r="C1837" s="218" t="s">
        <v>3534</v>
      </c>
      <c r="D1837" s="218" t="s">
        <v>2842</v>
      </c>
      <c r="E1837" s="218" t="s">
        <v>1839</v>
      </c>
      <c r="F1837" s="218" t="s">
        <v>1840</v>
      </c>
      <c r="G1837" s="218" t="s">
        <v>1841</v>
      </c>
    </row>
    <row r="1838" spans="1:7" x14ac:dyDescent="0.15">
      <c r="A1838" s="218" t="s">
        <v>5307</v>
      </c>
      <c r="B1838" s="218" t="s">
        <v>5308</v>
      </c>
      <c r="C1838" s="218" t="s">
        <v>3534</v>
      </c>
      <c r="D1838" s="218" t="s">
        <v>5309</v>
      </c>
      <c r="E1838" s="218" t="s">
        <v>1839</v>
      </c>
      <c r="F1838" s="218" t="s">
        <v>1840</v>
      </c>
      <c r="G1838" s="218" t="s">
        <v>1841</v>
      </c>
    </row>
    <row r="1839" spans="1:7" x14ac:dyDescent="0.15">
      <c r="A1839" s="218" t="s">
        <v>10467</v>
      </c>
      <c r="B1839" s="218" t="s">
        <v>10468</v>
      </c>
      <c r="C1839" s="218" t="s">
        <v>3534</v>
      </c>
      <c r="D1839" s="218" t="s">
        <v>5309</v>
      </c>
      <c r="E1839" s="218" t="s">
        <v>1839</v>
      </c>
      <c r="F1839" s="218" t="s">
        <v>1840</v>
      </c>
      <c r="G1839" s="218" t="s">
        <v>1841</v>
      </c>
    </row>
    <row r="1840" spans="1:7" x14ac:dyDescent="0.15">
      <c r="A1840" s="218" t="s">
        <v>10469</v>
      </c>
      <c r="B1840" s="218" t="s">
        <v>1013</v>
      </c>
      <c r="C1840" s="218" t="s">
        <v>3534</v>
      </c>
      <c r="D1840" s="218" t="s">
        <v>1014</v>
      </c>
      <c r="E1840" s="218" t="s">
        <v>1839</v>
      </c>
      <c r="F1840" s="218" t="s">
        <v>1840</v>
      </c>
      <c r="G1840" s="218" t="s">
        <v>1841</v>
      </c>
    </row>
    <row r="1841" spans="1:7" x14ac:dyDescent="0.15">
      <c r="A1841" s="218" t="s">
        <v>10470</v>
      </c>
      <c r="B1841" s="218" t="s">
        <v>824</v>
      </c>
      <c r="C1841" s="218" t="s">
        <v>3534</v>
      </c>
      <c r="D1841" s="218" t="s">
        <v>825</v>
      </c>
      <c r="E1841" s="218" t="s">
        <v>1839</v>
      </c>
      <c r="F1841" s="218" t="s">
        <v>1840</v>
      </c>
      <c r="G1841" s="218" t="s">
        <v>1841</v>
      </c>
    </row>
    <row r="1842" spans="1:7" x14ac:dyDescent="0.15">
      <c r="A1842" s="218" t="s">
        <v>10471</v>
      </c>
      <c r="B1842" s="218" t="s">
        <v>10472</v>
      </c>
      <c r="C1842" s="218" t="s">
        <v>3534</v>
      </c>
      <c r="D1842" s="218" t="s">
        <v>10473</v>
      </c>
      <c r="E1842" s="218" t="s">
        <v>1839</v>
      </c>
      <c r="F1842" s="218" t="s">
        <v>1840</v>
      </c>
      <c r="G1842" s="218" t="s">
        <v>1841</v>
      </c>
    </row>
    <row r="1843" spans="1:7" x14ac:dyDescent="0.15">
      <c r="A1843" s="218" t="s">
        <v>5313</v>
      </c>
      <c r="B1843" s="218" t="s">
        <v>5314</v>
      </c>
      <c r="C1843" s="218" t="s">
        <v>3534</v>
      </c>
      <c r="D1843" s="218" t="s">
        <v>5315</v>
      </c>
      <c r="E1843" s="218" t="s">
        <v>1839</v>
      </c>
      <c r="F1843" s="218" t="s">
        <v>1840</v>
      </c>
      <c r="G1843" s="218" t="s">
        <v>1841</v>
      </c>
    </row>
    <row r="1844" spans="1:7" x14ac:dyDescent="0.15">
      <c r="A1844" s="218" t="s">
        <v>5316</v>
      </c>
      <c r="B1844" s="218" t="s">
        <v>5317</v>
      </c>
      <c r="C1844" s="218" t="s">
        <v>3534</v>
      </c>
      <c r="D1844" s="218" t="s">
        <v>5318</v>
      </c>
      <c r="E1844" s="218" t="s">
        <v>1839</v>
      </c>
      <c r="F1844" s="218" t="s">
        <v>1840</v>
      </c>
      <c r="G1844" s="218" t="s">
        <v>1841</v>
      </c>
    </row>
    <row r="1845" spans="1:7" x14ac:dyDescent="0.15">
      <c r="A1845" s="218" t="s">
        <v>10474</v>
      </c>
      <c r="B1845" s="218" t="s">
        <v>10475</v>
      </c>
      <c r="C1845" s="218" t="s">
        <v>3534</v>
      </c>
      <c r="D1845" s="218" t="s">
        <v>10476</v>
      </c>
      <c r="E1845" s="218" t="s">
        <v>1839</v>
      </c>
      <c r="F1845" s="218" t="s">
        <v>1840</v>
      </c>
      <c r="G1845" s="218" t="s">
        <v>1841</v>
      </c>
    </row>
    <row r="1846" spans="1:7" x14ac:dyDescent="0.15">
      <c r="A1846" s="218" t="s">
        <v>10477</v>
      </c>
      <c r="B1846" s="218" t="s">
        <v>10478</v>
      </c>
      <c r="C1846" s="218" t="s">
        <v>3534</v>
      </c>
      <c r="D1846" s="218" t="s">
        <v>793</v>
      </c>
      <c r="E1846" s="218" t="s">
        <v>1839</v>
      </c>
      <c r="F1846" s="218" t="s">
        <v>1840</v>
      </c>
      <c r="G1846" s="218" t="s">
        <v>1841</v>
      </c>
    </row>
    <row r="1847" spans="1:7" x14ac:dyDescent="0.15">
      <c r="A1847" s="218" t="s">
        <v>10479</v>
      </c>
      <c r="B1847" s="218" t="s">
        <v>10480</v>
      </c>
      <c r="C1847" s="218" t="s">
        <v>3534</v>
      </c>
      <c r="D1847" s="218" t="s">
        <v>10481</v>
      </c>
      <c r="E1847" s="218" t="s">
        <v>1839</v>
      </c>
      <c r="F1847" s="218" t="s">
        <v>1840</v>
      </c>
      <c r="G1847" s="218" t="s">
        <v>1841</v>
      </c>
    </row>
    <row r="1848" spans="1:7" x14ac:dyDescent="0.15">
      <c r="A1848" s="218" t="s">
        <v>5319</v>
      </c>
      <c r="B1848" s="218" t="s">
        <v>5320</v>
      </c>
      <c r="C1848" s="218" t="s">
        <v>3534</v>
      </c>
      <c r="D1848" s="218" t="s">
        <v>5321</v>
      </c>
      <c r="E1848" s="218" t="s">
        <v>1839</v>
      </c>
      <c r="F1848" s="218" t="s">
        <v>1840</v>
      </c>
      <c r="G1848" s="218" t="s">
        <v>1841</v>
      </c>
    </row>
    <row r="1849" spans="1:7" x14ac:dyDescent="0.15">
      <c r="A1849" s="218" t="s">
        <v>10482</v>
      </c>
      <c r="B1849" s="218" t="s">
        <v>10483</v>
      </c>
      <c r="C1849" s="218" t="s">
        <v>3534</v>
      </c>
      <c r="D1849" s="218" t="s">
        <v>10484</v>
      </c>
      <c r="E1849" s="218" t="s">
        <v>1839</v>
      </c>
      <c r="F1849" s="218" t="s">
        <v>1840</v>
      </c>
      <c r="G1849" s="218" t="s">
        <v>1841</v>
      </c>
    </row>
    <row r="1850" spans="1:7" x14ac:dyDescent="0.15">
      <c r="A1850" s="218" t="s">
        <v>5322</v>
      </c>
      <c r="B1850" s="218" t="s">
        <v>5323</v>
      </c>
      <c r="C1850" s="218" t="s">
        <v>3534</v>
      </c>
      <c r="D1850" s="218" t="s">
        <v>5324</v>
      </c>
      <c r="E1850" s="218" t="s">
        <v>1839</v>
      </c>
      <c r="F1850" s="218" t="s">
        <v>1840</v>
      </c>
      <c r="G1850" s="218" t="s">
        <v>1841</v>
      </c>
    </row>
    <row r="1851" spans="1:7" x14ac:dyDescent="0.15">
      <c r="A1851" s="218" t="s">
        <v>10485</v>
      </c>
      <c r="B1851" s="218" t="s">
        <v>10486</v>
      </c>
      <c r="C1851" s="218" t="s">
        <v>3534</v>
      </c>
      <c r="D1851" s="218" t="s">
        <v>10487</v>
      </c>
      <c r="E1851" s="218" t="s">
        <v>1839</v>
      </c>
      <c r="F1851" s="218" t="s">
        <v>1840</v>
      </c>
      <c r="G1851" s="218" t="s">
        <v>1841</v>
      </c>
    </row>
    <row r="1852" spans="1:7" x14ac:dyDescent="0.15">
      <c r="A1852" s="218" t="s">
        <v>11687</v>
      </c>
      <c r="B1852" s="218" t="s">
        <v>11688</v>
      </c>
      <c r="C1852" s="218" t="s">
        <v>3534</v>
      </c>
      <c r="D1852" s="218" t="s">
        <v>11689</v>
      </c>
      <c r="E1852" s="218" t="s">
        <v>1839</v>
      </c>
      <c r="F1852" s="218" t="s">
        <v>1840</v>
      </c>
      <c r="G1852" s="218" t="s">
        <v>1841</v>
      </c>
    </row>
    <row r="1853" spans="1:7" x14ac:dyDescent="0.15">
      <c r="A1853" s="218" t="s">
        <v>5325</v>
      </c>
      <c r="B1853" s="218" t="s">
        <v>5326</v>
      </c>
      <c r="C1853" s="218" t="s">
        <v>3534</v>
      </c>
      <c r="D1853" s="218" t="s">
        <v>5327</v>
      </c>
      <c r="E1853" s="218" t="s">
        <v>1839</v>
      </c>
      <c r="F1853" s="218" t="s">
        <v>1840</v>
      </c>
      <c r="G1853" s="218" t="s">
        <v>1841</v>
      </c>
    </row>
    <row r="1854" spans="1:7" x14ac:dyDescent="0.15">
      <c r="A1854" s="218" t="s">
        <v>10488</v>
      </c>
      <c r="B1854" s="218" t="s">
        <v>10489</v>
      </c>
      <c r="C1854" s="218" t="s">
        <v>3534</v>
      </c>
      <c r="D1854" s="218" t="s">
        <v>10490</v>
      </c>
      <c r="E1854" s="218" t="s">
        <v>1839</v>
      </c>
      <c r="F1854" s="218" t="s">
        <v>1840</v>
      </c>
      <c r="G1854" s="218" t="s">
        <v>1841</v>
      </c>
    </row>
    <row r="1855" spans="1:7" x14ac:dyDescent="0.15">
      <c r="A1855" s="218" t="s">
        <v>5328</v>
      </c>
      <c r="B1855" s="218" t="s">
        <v>5329</v>
      </c>
      <c r="C1855" s="218" t="s">
        <v>3534</v>
      </c>
      <c r="D1855" s="218" t="s">
        <v>5330</v>
      </c>
      <c r="E1855" s="218" t="s">
        <v>1839</v>
      </c>
      <c r="F1855" s="218" t="s">
        <v>1840</v>
      </c>
      <c r="G1855" s="218" t="s">
        <v>1841</v>
      </c>
    </row>
    <row r="1856" spans="1:7" x14ac:dyDescent="0.15">
      <c r="A1856" s="218" t="s">
        <v>10491</v>
      </c>
      <c r="B1856" s="218" t="s">
        <v>1765</v>
      </c>
      <c r="C1856" s="218" t="s">
        <v>3534</v>
      </c>
      <c r="D1856" s="218" t="s">
        <v>1766</v>
      </c>
      <c r="E1856" s="218" t="s">
        <v>1839</v>
      </c>
      <c r="F1856" s="218" t="s">
        <v>1840</v>
      </c>
      <c r="G1856" s="218" t="s">
        <v>1841</v>
      </c>
    </row>
    <row r="1857" spans="1:7" x14ac:dyDescent="0.15">
      <c r="A1857" s="218" t="s">
        <v>10492</v>
      </c>
      <c r="B1857" s="218" t="s">
        <v>10493</v>
      </c>
      <c r="C1857" s="218" t="s">
        <v>3534</v>
      </c>
      <c r="D1857" s="218" t="s">
        <v>5331</v>
      </c>
      <c r="E1857" s="218" t="s">
        <v>1839</v>
      </c>
      <c r="F1857" s="218" t="s">
        <v>1840</v>
      </c>
      <c r="G1857" s="218" t="s">
        <v>1841</v>
      </c>
    </row>
    <row r="1858" spans="1:7" x14ac:dyDescent="0.15">
      <c r="A1858" s="218" t="s">
        <v>5332</v>
      </c>
      <c r="B1858" s="218" t="s">
        <v>5333</v>
      </c>
      <c r="C1858" s="218" t="s">
        <v>3534</v>
      </c>
      <c r="D1858" s="218" t="s">
        <v>5334</v>
      </c>
      <c r="E1858" s="218" t="s">
        <v>1839</v>
      </c>
      <c r="F1858" s="218" t="s">
        <v>1840</v>
      </c>
      <c r="G1858" s="218" t="s">
        <v>1841</v>
      </c>
    </row>
    <row r="1859" spans="1:7" x14ac:dyDescent="0.15">
      <c r="A1859" s="218" t="s">
        <v>5335</v>
      </c>
      <c r="B1859" s="218" t="s">
        <v>5336</v>
      </c>
      <c r="C1859" s="218" t="s">
        <v>3534</v>
      </c>
      <c r="D1859" s="218" t="s">
        <v>5337</v>
      </c>
      <c r="E1859" s="218" t="s">
        <v>1935</v>
      </c>
      <c r="F1859" s="218" t="s">
        <v>1840</v>
      </c>
      <c r="G1859" s="218" t="s">
        <v>1841</v>
      </c>
    </row>
    <row r="1860" spans="1:7" x14ac:dyDescent="0.15">
      <c r="A1860" s="218" t="s">
        <v>10494</v>
      </c>
      <c r="B1860" s="218" t="s">
        <v>10495</v>
      </c>
      <c r="C1860" s="218" t="s">
        <v>3534</v>
      </c>
      <c r="D1860" s="218" t="s">
        <v>10496</v>
      </c>
      <c r="E1860" s="218" t="s">
        <v>1839</v>
      </c>
      <c r="F1860" s="218" t="s">
        <v>1840</v>
      </c>
      <c r="G1860" s="218" t="s">
        <v>1841</v>
      </c>
    </row>
    <row r="1861" spans="1:7" x14ac:dyDescent="0.15">
      <c r="A1861" s="218" t="s">
        <v>5338</v>
      </c>
      <c r="B1861" s="218" t="s">
        <v>5339</v>
      </c>
      <c r="C1861" s="218" t="s">
        <v>3534</v>
      </c>
      <c r="D1861" s="218" t="s">
        <v>5340</v>
      </c>
      <c r="E1861" s="218" t="s">
        <v>1839</v>
      </c>
      <c r="F1861" s="218" t="s">
        <v>1840</v>
      </c>
      <c r="G1861" s="218" t="s">
        <v>1841</v>
      </c>
    </row>
    <row r="1862" spans="1:7" x14ac:dyDescent="0.15">
      <c r="A1862" s="218" t="s">
        <v>11690</v>
      </c>
      <c r="B1862" s="218" t="s">
        <v>11691</v>
      </c>
      <c r="C1862" s="218" t="s">
        <v>3534</v>
      </c>
      <c r="D1862" s="218" t="s">
        <v>11692</v>
      </c>
      <c r="E1862" s="218" t="s">
        <v>1839</v>
      </c>
      <c r="F1862" s="218" t="s">
        <v>1840</v>
      </c>
      <c r="G1862" s="218" t="s">
        <v>1841</v>
      </c>
    </row>
    <row r="1863" spans="1:7" x14ac:dyDescent="0.15">
      <c r="A1863" s="218" t="s">
        <v>5341</v>
      </c>
      <c r="B1863" s="218" t="s">
        <v>5342</v>
      </c>
      <c r="C1863" s="218" t="s">
        <v>3534</v>
      </c>
      <c r="D1863" s="218" t="s">
        <v>5343</v>
      </c>
      <c r="E1863" s="218" t="s">
        <v>1839</v>
      </c>
      <c r="F1863" s="218" t="s">
        <v>1840</v>
      </c>
      <c r="G1863" s="218" t="s">
        <v>1841</v>
      </c>
    </row>
    <row r="1864" spans="1:7" x14ac:dyDescent="0.15">
      <c r="A1864" s="218" t="s">
        <v>5344</v>
      </c>
      <c r="B1864" s="218" t="s">
        <v>5345</v>
      </c>
      <c r="C1864" s="218" t="s">
        <v>3534</v>
      </c>
      <c r="D1864" s="218" t="s">
        <v>5346</v>
      </c>
      <c r="E1864" s="218" t="s">
        <v>1839</v>
      </c>
      <c r="F1864" s="218" t="s">
        <v>1840</v>
      </c>
      <c r="G1864" s="218" t="s">
        <v>1841</v>
      </c>
    </row>
    <row r="1865" spans="1:7" x14ac:dyDescent="0.15">
      <c r="A1865" s="218" t="s">
        <v>10497</v>
      </c>
      <c r="B1865" s="218" t="s">
        <v>10498</v>
      </c>
      <c r="C1865" s="218" t="s">
        <v>3534</v>
      </c>
      <c r="D1865" s="218" t="s">
        <v>10499</v>
      </c>
      <c r="E1865" s="218" t="s">
        <v>1839</v>
      </c>
      <c r="F1865" s="218" t="s">
        <v>1840</v>
      </c>
      <c r="G1865" s="218" t="s">
        <v>1841</v>
      </c>
    </row>
    <row r="1866" spans="1:7" x14ac:dyDescent="0.15">
      <c r="A1866" s="218" t="s">
        <v>5347</v>
      </c>
      <c r="B1866" s="218" t="s">
        <v>5348</v>
      </c>
      <c r="C1866" s="218" t="s">
        <v>3534</v>
      </c>
      <c r="D1866" s="218" t="s">
        <v>5349</v>
      </c>
      <c r="E1866" s="218" t="s">
        <v>1839</v>
      </c>
      <c r="F1866" s="218" t="s">
        <v>1840</v>
      </c>
      <c r="G1866" s="218" t="s">
        <v>1841</v>
      </c>
    </row>
    <row r="1867" spans="1:7" x14ac:dyDescent="0.15">
      <c r="A1867" s="218" t="s">
        <v>10500</v>
      </c>
      <c r="B1867" s="218" t="s">
        <v>10501</v>
      </c>
      <c r="C1867" s="218" t="s">
        <v>3534</v>
      </c>
      <c r="D1867" s="218" t="s">
        <v>10502</v>
      </c>
      <c r="E1867" s="218" t="s">
        <v>1839</v>
      </c>
      <c r="F1867" s="218" t="s">
        <v>1840</v>
      </c>
      <c r="G1867" s="218" t="s">
        <v>1841</v>
      </c>
    </row>
    <row r="1868" spans="1:7" x14ac:dyDescent="0.15">
      <c r="A1868" s="218" t="s">
        <v>10503</v>
      </c>
      <c r="B1868" s="218" t="s">
        <v>10504</v>
      </c>
      <c r="C1868" s="218" t="s">
        <v>3534</v>
      </c>
      <c r="D1868" s="218" t="s">
        <v>10505</v>
      </c>
      <c r="E1868" s="218" t="s">
        <v>1839</v>
      </c>
      <c r="F1868" s="218" t="s">
        <v>1840</v>
      </c>
      <c r="G1868" s="218" t="s">
        <v>1841</v>
      </c>
    </row>
    <row r="1869" spans="1:7" x14ac:dyDescent="0.15">
      <c r="A1869" s="218" t="s">
        <v>5350</v>
      </c>
      <c r="B1869" s="218" t="s">
        <v>5351</v>
      </c>
      <c r="C1869" s="218" t="s">
        <v>3534</v>
      </c>
      <c r="D1869" s="218" t="s">
        <v>5352</v>
      </c>
      <c r="E1869" s="218" t="s">
        <v>1839</v>
      </c>
      <c r="F1869" s="218" t="s">
        <v>1840</v>
      </c>
      <c r="G1869" s="218" t="s">
        <v>1841</v>
      </c>
    </row>
    <row r="1870" spans="1:7" x14ac:dyDescent="0.15">
      <c r="A1870" s="218" t="s">
        <v>5353</v>
      </c>
      <c r="B1870" s="218" t="s">
        <v>5354</v>
      </c>
      <c r="C1870" s="218" t="s">
        <v>3534</v>
      </c>
      <c r="D1870" s="218" t="s">
        <v>5355</v>
      </c>
      <c r="E1870" s="218" t="s">
        <v>1839</v>
      </c>
      <c r="F1870" s="218" t="s">
        <v>1840</v>
      </c>
      <c r="G1870" s="218" t="s">
        <v>1841</v>
      </c>
    </row>
    <row r="1871" spans="1:7" x14ac:dyDescent="0.15">
      <c r="A1871" s="218" t="s">
        <v>5356</v>
      </c>
      <c r="B1871" s="218" t="s">
        <v>5357</v>
      </c>
      <c r="C1871" s="218" t="s">
        <v>3534</v>
      </c>
      <c r="D1871" s="218" t="s">
        <v>5358</v>
      </c>
      <c r="E1871" s="218" t="s">
        <v>1839</v>
      </c>
      <c r="F1871" s="218" t="s">
        <v>1840</v>
      </c>
      <c r="G1871" s="218" t="s">
        <v>1841</v>
      </c>
    </row>
    <row r="1872" spans="1:7" x14ac:dyDescent="0.15">
      <c r="A1872" s="218" t="s">
        <v>10506</v>
      </c>
      <c r="B1872" s="218" t="s">
        <v>10507</v>
      </c>
      <c r="C1872" s="218" t="s">
        <v>3534</v>
      </c>
      <c r="D1872" s="218" t="s">
        <v>10508</v>
      </c>
      <c r="E1872" s="218" t="s">
        <v>1839</v>
      </c>
      <c r="F1872" s="218" t="s">
        <v>1840</v>
      </c>
      <c r="G1872" s="218" t="s">
        <v>1841</v>
      </c>
    </row>
    <row r="1873" spans="1:7" x14ac:dyDescent="0.15">
      <c r="A1873" s="218" t="s">
        <v>10509</v>
      </c>
      <c r="B1873" s="218" t="s">
        <v>1585</v>
      </c>
      <c r="C1873" s="218" t="s">
        <v>3534</v>
      </c>
      <c r="D1873" s="218" t="s">
        <v>1586</v>
      </c>
      <c r="E1873" s="218" t="s">
        <v>1839</v>
      </c>
      <c r="F1873" s="218" t="s">
        <v>1840</v>
      </c>
      <c r="G1873" s="218" t="s">
        <v>1841</v>
      </c>
    </row>
    <row r="1874" spans="1:7" x14ac:dyDescent="0.15">
      <c r="A1874" s="218" t="s">
        <v>5359</v>
      </c>
      <c r="B1874" s="218" t="s">
        <v>5360</v>
      </c>
      <c r="C1874" s="218" t="s">
        <v>3534</v>
      </c>
      <c r="D1874" s="218" t="s">
        <v>5361</v>
      </c>
      <c r="E1874" s="218" t="s">
        <v>1839</v>
      </c>
      <c r="F1874" s="218" t="s">
        <v>1840</v>
      </c>
      <c r="G1874" s="218" t="s">
        <v>1841</v>
      </c>
    </row>
    <row r="1875" spans="1:7" x14ac:dyDescent="0.15">
      <c r="A1875" s="218" t="s">
        <v>10510</v>
      </c>
      <c r="B1875" s="218" t="s">
        <v>1286</v>
      </c>
      <c r="C1875" s="218" t="s">
        <v>3534</v>
      </c>
      <c r="D1875" s="218" t="s">
        <v>1287</v>
      </c>
      <c r="E1875" s="218" t="s">
        <v>1839</v>
      </c>
      <c r="F1875" s="218" t="s">
        <v>1840</v>
      </c>
      <c r="G1875" s="218" t="s">
        <v>1841</v>
      </c>
    </row>
    <row r="1876" spans="1:7" x14ac:dyDescent="0.15">
      <c r="A1876" s="218" t="s">
        <v>10511</v>
      </c>
      <c r="B1876" s="218" t="s">
        <v>10512</v>
      </c>
      <c r="C1876" s="218" t="s">
        <v>3534</v>
      </c>
      <c r="D1876" s="218" t="s">
        <v>10513</v>
      </c>
      <c r="E1876" s="218" t="s">
        <v>1935</v>
      </c>
      <c r="F1876" s="218" t="s">
        <v>1840</v>
      </c>
      <c r="G1876" s="218" t="s">
        <v>1841</v>
      </c>
    </row>
    <row r="1877" spans="1:7" x14ac:dyDescent="0.15">
      <c r="A1877" s="218" t="s">
        <v>5362</v>
      </c>
      <c r="B1877" s="218" t="s">
        <v>5363</v>
      </c>
      <c r="C1877" s="218" t="s">
        <v>3534</v>
      </c>
      <c r="D1877" s="218" t="s">
        <v>5364</v>
      </c>
      <c r="E1877" s="218" t="s">
        <v>1839</v>
      </c>
      <c r="F1877" s="218" t="s">
        <v>1840</v>
      </c>
      <c r="G1877" s="218" t="s">
        <v>1841</v>
      </c>
    </row>
    <row r="1878" spans="1:7" x14ac:dyDescent="0.15">
      <c r="A1878" s="218" t="s">
        <v>10514</v>
      </c>
      <c r="B1878" s="218" t="s">
        <v>10515</v>
      </c>
      <c r="C1878" s="218" t="s">
        <v>3534</v>
      </c>
      <c r="D1878" s="218" t="s">
        <v>10516</v>
      </c>
      <c r="E1878" s="218" t="s">
        <v>1839</v>
      </c>
      <c r="F1878" s="218" t="s">
        <v>1840</v>
      </c>
      <c r="G1878" s="218" t="s">
        <v>1841</v>
      </c>
    </row>
    <row r="1879" spans="1:7" x14ac:dyDescent="0.15">
      <c r="A1879" s="218" t="s">
        <v>5365</v>
      </c>
      <c r="B1879" s="218" t="s">
        <v>5366</v>
      </c>
      <c r="C1879" s="218" t="s">
        <v>3534</v>
      </c>
      <c r="D1879" s="218" t="s">
        <v>5367</v>
      </c>
      <c r="E1879" s="218" t="s">
        <v>1839</v>
      </c>
      <c r="F1879" s="218" t="s">
        <v>1840</v>
      </c>
      <c r="G1879" s="218" t="s">
        <v>1841</v>
      </c>
    </row>
    <row r="1880" spans="1:7" x14ac:dyDescent="0.15">
      <c r="A1880" s="218" t="s">
        <v>10517</v>
      </c>
      <c r="B1880" s="218" t="s">
        <v>10518</v>
      </c>
      <c r="C1880" s="218" t="s">
        <v>3534</v>
      </c>
      <c r="D1880" s="218" t="s">
        <v>1639</v>
      </c>
      <c r="E1880" s="218" t="s">
        <v>1839</v>
      </c>
      <c r="F1880" s="218" t="s">
        <v>1840</v>
      </c>
      <c r="G1880" s="218" t="s">
        <v>1841</v>
      </c>
    </row>
    <row r="1881" spans="1:7" x14ac:dyDescent="0.15">
      <c r="A1881" s="218" t="s">
        <v>10519</v>
      </c>
      <c r="B1881" s="218" t="s">
        <v>1589</v>
      </c>
      <c r="C1881" s="218" t="s">
        <v>3534</v>
      </c>
      <c r="D1881" s="218" t="s">
        <v>1590</v>
      </c>
      <c r="E1881" s="218" t="s">
        <v>1839</v>
      </c>
      <c r="F1881" s="218" t="s">
        <v>1840</v>
      </c>
      <c r="G1881" s="218" t="s">
        <v>1841</v>
      </c>
    </row>
    <row r="1882" spans="1:7" x14ac:dyDescent="0.15">
      <c r="A1882" s="218" t="s">
        <v>5368</v>
      </c>
      <c r="B1882" s="218" t="s">
        <v>5369</v>
      </c>
      <c r="C1882" s="218" t="s">
        <v>3534</v>
      </c>
      <c r="D1882" s="218" t="s">
        <v>5370</v>
      </c>
      <c r="E1882" s="218" t="s">
        <v>1839</v>
      </c>
      <c r="F1882" s="218" t="s">
        <v>1840</v>
      </c>
      <c r="G1882" s="218" t="s">
        <v>1841</v>
      </c>
    </row>
    <row r="1883" spans="1:7" x14ac:dyDescent="0.15">
      <c r="A1883" s="218" t="s">
        <v>5371</v>
      </c>
      <c r="B1883" s="218" t="s">
        <v>5372</v>
      </c>
      <c r="C1883" s="218" t="s">
        <v>3534</v>
      </c>
      <c r="D1883" s="218" t="s">
        <v>5373</v>
      </c>
      <c r="E1883" s="218" t="s">
        <v>1839</v>
      </c>
      <c r="F1883" s="218" t="s">
        <v>1840</v>
      </c>
      <c r="G1883" s="218" t="s">
        <v>1841</v>
      </c>
    </row>
    <row r="1884" spans="1:7" x14ac:dyDescent="0.15">
      <c r="A1884" s="218" t="s">
        <v>10520</v>
      </c>
      <c r="B1884" s="218" t="s">
        <v>10521</v>
      </c>
      <c r="C1884" s="218" t="s">
        <v>3534</v>
      </c>
      <c r="D1884" s="218" t="s">
        <v>10522</v>
      </c>
      <c r="E1884" s="218" t="s">
        <v>1839</v>
      </c>
      <c r="F1884" s="218" t="s">
        <v>1840</v>
      </c>
      <c r="G1884" s="218" t="s">
        <v>1841</v>
      </c>
    </row>
    <row r="1885" spans="1:7" x14ac:dyDescent="0.15">
      <c r="A1885" s="218" t="s">
        <v>5374</v>
      </c>
      <c r="B1885" s="218" t="s">
        <v>5375</v>
      </c>
      <c r="C1885" s="218" t="s">
        <v>3534</v>
      </c>
      <c r="D1885" s="218" t="s">
        <v>5376</v>
      </c>
      <c r="E1885" s="218" t="s">
        <v>1839</v>
      </c>
      <c r="F1885" s="218" t="s">
        <v>1840</v>
      </c>
      <c r="G1885" s="218" t="s">
        <v>1841</v>
      </c>
    </row>
    <row r="1886" spans="1:7" x14ac:dyDescent="0.15">
      <c r="A1886" s="218" t="s">
        <v>5377</v>
      </c>
      <c r="B1886" s="218" t="s">
        <v>5378</v>
      </c>
      <c r="C1886" s="218" t="s">
        <v>3534</v>
      </c>
      <c r="D1886" s="218" t="s">
        <v>5379</v>
      </c>
      <c r="E1886" s="218" t="s">
        <v>1839</v>
      </c>
      <c r="F1886" s="218" t="s">
        <v>1840</v>
      </c>
      <c r="G1886" s="218" t="s">
        <v>1841</v>
      </c>
    </row>
    <row r="1887" spans="1:7" x14ac:dyDescent="0.15">
      <c r="A1887" s="218" t="s">
        <v>5380</v>
      </c>
      <c r="B1887" s="218" t="s">
        <v>5381</v>
      </c>
      <c r="C1887" s="218" t="s">
        <v>3534</v>
      </c>
      <c r="D1887" s="218" t="s">
        <v>5382</v>
      </c>
      <c r="E1887" s="218" t="s">
        <v>1839</v>
      </c>
      <c r="F1887" s="218" t="s">
        <v>1840</v>
      </c>
      <c r="G1887" s="218" t="s">
        <v>1841</v>
      </c>
    </row>
    <row r="1888" spans="1:7" x14ac:dyDescent="0.15">
      <c r="A1888" s="218" t="s">
        <v>10523</v>
      </c>
      <c r="B1888" s="218" t="s">
        <v>10524</v>
      </c>
      <c r="C1888" s="218" t="s">
        <v>3534</v>
      </c>
      <c r="D1888" s="218" t="s">
        <v>10525</v>
      </c>
      <c r="E1888" s="218" t="s">
        <v>1839</v>
      </c>
      <c r="F1888" s="218" t="s">
        <v>1840</v>
      </c>
      <c r="G1888" s="218" t="s">
        <v>1841</v>
      </c>
    </row>
    <row r="1889" spans="1:7" x14ac:dyDescent="0.15">
      <c r="A1889" s="218" t="s">
        <v>5383</v>
      </c>
      <c r="B1889" s="218" t="s">
        <v>5384</v>
      </c>
      <c r="C1889" s="218" t="s">
        <v>3534</v>
      </c>
      <c r="D1889" s="218" t="s">
        <v>5385</v>
      </c>
      <c r="E1889" s="218" t="s">
        <v>1839</v>
      </c>
      <c r="F1889" s="218" t="s">
        <v>1840</v>
      </c>
      <c r="G1889" s="218" t="s">
        <v>1841</v>
      </c>
    </row>
    <row r="1890" spans="1:7" x14ac:dyDescent="0.15">
      <c r="A1890" s="218" t="s">
        <v>5386</v>
      </c>
      <c r="B1890" s="218" t="s">
        <v>5387</v>
      </c>
      <c r="C1890" s="218" t="s">
        <v>3534</v>
      </c>
      <c r="D1890" s="218" t="s">
        <v>5388</v>
      </c>
      <c r="E1890" s="218" t="s">
        <v>1839</v>
      </c>
      <c r="F1890" s="218" t="s">
        <v>1840</v>
      </c>
      <c r="G1890" s="218" t="s">
        <v>1841</v>
      </c>
    </row>
    <row r="1891" spans="1:7" x14ac:dyDescent="0.15">
      <c r="A1891" s="218" t="s">
        <v>10529</v>
      </c>
      <c r="B1891" s="218" t="s">
        <v>10530</v>
      </c>
      <c r="C1891" s="218" t="s">
        <v>3534</v>
      </c>
      <c r="D1891" s="218" t="s">
        <v>10531</v>
      </c>
      <c r="E1891" s="218" t="s">
        <v>1839</v>
      </c>
      <c r="F1891" s="218" t="s">
        <v>1840</v>
      </c>
      <c r="G1891" s="218" t="s">
        <v>1841</v>
      </c>
    </row>
    <row r="1892" spans="1:7" x14ac:dyDescent="0.15">
      <c r="A1892" s="218" t="s">
        <v>10532</v>
      </c>
      <c r="B1892" s="218" t="s">
        <v>10533</v>
      </c>
      <c r="C1892" s="218" t="s">
        <v>3534</v>
      </c>
      <c r="D1892" s="218" t="s">
        <v>10534</v>
      </c>
      <c r="E1892" s="218" t="s">
        <v>1839</v>
      </c>
      <c r="F1892" s="218" t="s">
        <v>1840</v>
      </c>
      <c r="G1892" s="218" t="s">
        <v>1841</v>
      </c>
    </row>
    <row r="1893" spans="1:7" x14ac:dyDescent="0.15">
      <c r="A1893" s="218" t="s">
        <v>10535</v>
      </c>
      <c r="B1893" s="218" t="s">
        <v>10536</v>
      </c>
      <c r="C1893" s="218" t="s">
        <v>3534</v>
      </c>
      <c r="D1893" s="218" t="s">
        <v>10537</v>
      </c>
      <c r="E1893" s="218" t="s">
        <v>1839</v>
      </c>
      <c r="F1893" s="218" t="s">
        <v>1840</v>
      </c>
      <c r="G1893" s="218" t="s">
        <v>1841</v>
      </c>
    </row>
    <row r="1894" spans="1:7" x14ac:dyDescent="0.15">
      <c r="A1894" s="218" t="s">
        <v>5389</v>
      </c>
      <c r="B1894" s="218" t="s">
        <v>5390</v>
      </c>
      <c r="C1894" s="218" t="s">
        <v>3534</v>
      </c>
      <c r="D1894" s="218" t="s">
        <v>5391</v>
      </c>
      <c r="E1894" s="218" t="s">
        <v>1839</v>
      </c>
      <c r="F1894" s="218" t="s">
        <v>1840</v>
      </c>
      <c r="G1894" s="218" t="s">
        <v>1841</v>
      </c>
    </row>
    <row r="1895" spans="1:7" x14ac:dyDescent="0.15">
      <c r="A1895" s="218" t="s">
        <v>5392</v>
      </c>
      <c r="B1895" s="218" t="s">
        <v>5393</v>
      </c>
      <c r="C1895" s="218" t="s">
        <v>3534</v>
      </c>
      <c r="D1895" s="218" t="s">
        <v>5394</v>
      </c>
      <c r="E1895" s="218" t="s">
        <v>1935</v>
      </c>
      <c r="F1895" s="218" t="s">
        <v>1840</v>
      </c>
      <c r="G1895" s="218" t="s">
        <v>1841</v>
      </c>
    </row>
    <row r="1896" spans="1:7" x14ac:dyDescent="0.15">
      <c r="A1896" s="218" t="s">
        <v>5395</v>
      </c>
      <c r="B1896" s="218" t="s">
        <v>5396</v>
      </c>
      <c r="C1896" s="218" t="s">
        <v>3534</v>
      </c>
      <c r="D1896" s="218" t="s">
        <v>5397</v>
      </c>
      <c r="E1896" s="218" t="s">
        <v>1839</v>
      </c>
      <c r="F1896" s="218" t="s">
        <v>1840</v>
      </c>
      <c r="G1896" s="218" t="s">
        <v>1841</v>
      </c>
    </row>
    <row r="1897" spans="1:7" x14ac:dyDescent="0.15">
      <c r="A1897" s="218" t="s">
        <v>5401</v>
      </c>
      <c r="B1897" s="218" t="s">
        <v>5402</v>
      </c>
      <c r="C1897" s="218" t="s">
        <v>3534</v>
      </c>
      <c r="D1897" s="218" t="s">
        <v>5403</v>
      </c>
      <c r="E1897" s="218" t="s">
        <v>1839</v>
      </c>
      <c r="F1897" s="218" t="s">
        <v>1840</v>
      </c>
      <c r="G1897" s="218" t="s">
        <v>1841</v>
      </c>
    </row>
    <row r="1898" spans="1:7" x14ac:dyDescent="0.15">
      <c r="A1898" s="218" t="s">
        <v>10538</v>
      </c>
      <c r="B1898" s="218" t="s">
        <v>1637</v>
      </c>
      <c r="C1898" s="218" t="s">
        <v>3534</v>
      </c>
      <c r="D1898" s="218" t="s">
        <v>1638</v>
      </c>
      <c r="E1898" s="218" t="s">
        <v>1839</v>
      </c>
      <c r="F1898" s="218" t="s">
        <v>1840</v>
      </c>
      <c r="G1898" s="218" t="s">
        <v>1841</v>
      </c>
    </row>
    <row r="1899" spans="1:7" x14ac:dyDescent="0.15">
      <c r="A1899" s="218" t="s">
        <v>5404</v>
      </c>
      <c r="B1899" s="218" t="s">
        <v>5405</v>
      </c>
      <c r="C1899" s="218" t="s">
        <v>3534</v>
      </c>
      <c r="D1899" s="218" t="s">
        <v>5406</v>
      </c>
      <c r="E1899" s="218" t="s">
        <v>1839</v>
      </c>
      <c r="F1899" s="218" t="s">
        <v>1840</v>
      </c>
      <c r="G1899" s="218" t="s">
        <v>1841</v>
      </c>
    </row>
    <row r="1900" spans="1:7" x14ac:dyDescent="0.15">
      <c r="A1900" s="218" t="s">
        <v>10539</v>
      </c>
      <c r="B1900" s="218" t="s">
        <v>10540</v>
      </c>
      <c r="C1900" s="218" t="s">
        <v>3534</v>
      </c>
      <c r="D1900" s="218" t="s">
        <v>10541</v>
      </c>
      <c r="E1900" s="218" t="s">
        <v>1839</v>
      </c>
      <c r="F1900" s="218" t="s">
        <v>1840</v>
      </c>
      <c r="G1900" s="218" t="s">
        <v>1841</v>
      </c>
    </row>
    <row r="1901" spans="1:7" x14ac:dyDescent="0.15">
      <c r="A1901" s="218" t="s">
        <v>10542</v>
      </c>
      <c r="B1901" s="218" t="s">
        <v>10543</v>
      </c>
      <c r="C1901" s="218" t="s">
        <v>3534</v>
      </c>
      <c r="D1901" s="218" t="s">
        <v>10544</v>
      </c>
      <c r="E1901" s="218" t="s">
        <v>1839</v>
      </c>
      <c r="F1901" s="218" t="s">
        <v>1840</v>
      </c>
      <c r="G1901" s="218" t="s">
        <v>1841</v>
      </c>
    </row>
    <row r="1902" spans="1:7" x14ac:dyDescent="0.15">
      <c r="A1902" s="218" t="s">
        <v>10545</v>
      </c>
      <c r="B1902" s="218" t="s">
        <v>10546</v>
      </c>
      <c r="C1902" s="218" t="s">
        <v>3534</v>
      </c>
      <c r="D1902" s="218" t="s">
        <v>10547</v>
      </c>
      <c r="E1902" s="218" t="s">
        <v>1839</v>
      </c>
      <c r="F1902" s="218" t="s">
        <v>1840</v>
      </c>
      <c r="G1902" s="218" t="s">
        <v>1841</v>
      </c>
    </row>
    <row r="1903" spans="1:7" x14ac:dyDescent="0.15">
      <c r="A1903" s="218" t="s">
        <v>10551</v>
      </c>
      <c r="B1903" s="218" t="s">
        <v>1649</v>
      </c>
      <c r="C1903" s="218" t="s">
        <v>3534</v>
      </c>
      <c r="D1903" s="218" t="s">
        <v>1650</v>
      </c>
      <c r="E1903" s="218" t="s">
        <v>1839</v>
      </c>
      <c r="F1903" s="218" t="s">
        <v>1840</v>
      </c>
      <c r="G1903" s="218" t="s">
        <v>1841</v>
      </c>
    </row>
    <row r="1904" spans="1:7" x14ac:dyDescent="0.15">
      <c r="A1904" s="218" t="s">
        <v>11693</v>
      </c>
      <c r="B1904" s="218" t="s">
        <v>11694</v>
      </c>
      <c r="C1904" s="218" t="s">
        <v>3534</v>
      </c>
      <c r="D1904" s="218" t="s">
        <v>11695</v>
      </c>
      <c r="E1904" s="218" t="s">
        <v>1839</v>
      </c>
      <c r="F1904" s="218" t="s">
        <v>1840</v>
      </c>
      <c r="G1904" s="218" t="s">
        <v>1841</v>
      </c>
    </row>
    <row r="1905" spans="1:7" x14ac:dyDescent="0.15">
      <c r="A1905" s="218" t="s">
        <v>5407</v>
      </c>
      <c r="B1905" s="218" t="s">
        <v>5408</v>
      </c>
      <c r="C1905" s="218" t="s">
        <v>3534</v>
      </c>
      <c r="D1905" s="218" t="s">
        <v>5409</v>
      </c>
      <c r="E1905" s="218" t="s">
        <v>1839</v>
      </c>
      <c r="F1905" s="218" t="s">
        <v>1840</v>
      </c>
      <c r="G1905" s="218" t="s">
        <v>1841</v>
      </c>
    </row>
    <row r="1906" spans="1:7" x14ac:dyDescent="0.15">
      <c r="A1906" s="218" t="s">
        <v>5410</v>
      </c>
      <c r="B1906" s="218" t="s">
        <v>5411</v>
      </c>
      <c r="C1906" s="218" t="s">
        <v>3534</v>
      </c>
      <c r="D1906" s="218" t="s">
        <v>5412</v>
      </c>
      <c r="E1906" s="218" t="s">
        <v>1839</v>
      </c>
      <c r="F1906" s="218" t="s">
        <v>1840</v>
      </c>
      <c r="G1906" s="218" t="s">
        <v>1841</v>
      </c>
    </row>
    <row r="1907" spans="1:7" x14ac:dyDescent="0.15">
      <c r="A1907" s="218" t="s">
        <v>5413</v>
      </c>
      <c r="B1907" s="218" t="s">
        <v>5414</v>
      </c>
      <c r="C1907" s="218" t="s">
        <v>3534</v>
      </c>
      <c r="D1907" s="218" t="s">
        <v>5415</v>
      </c>
      <c r="E1907" s="218" t="s">
        <v>1839</v>
      </c>
      <c r="F1907" s="218" t="s">
        <v>1840</v>
      </c>
      <c r="G1907" s="218" t="s">
        <v>1841</v>
      </c>
    </row>
    <row r="1908" spans="1:7" x14ac:dyDescent="0.15">
      <c r="A1908" s="218" t="s">
        <v>10552</v>
      </c>
      <c r="B1908" s="218" t="s">
        <v>1725</v>
      </c>
      <c r="C1908" s="218" t="s">
        <v>3534</v>
      </c>
      <c r="D1908" s="218" t="s">
        <v>1726</v>
      </c>
      <c r="E1908" s="218" t="s">
        <v>1839</v>
      </c>
      <c r="F1908" s="218" t="s">
        <v>1840</v>
      </c>
      <c r="G1908" s="218" t="s">
        <v>1841</v>
      </c>
    </row>
    <row r="1909" spans="1:7" x14ac:dyDescent="0.15">
      <c r="A1909" s="218" t="s">
        <v>5416</v>
      </c>
      <c r="B1909" s="218" t="s">
        <v>5417</v>
      </c>
      <c r="C1909" s="218" t="s">
        <v>3534</v>
      </c>
      <c r="D1909" s="218" t="s">
        <v>5418</v>
      </c>
      <c r="E1909" s="218" t="s">
        <v>1839</v>
      </c>
      <c r="F1909" s="218" t="s">
        <v>1840</v>
      </c>
      <c r="G1909" s="218" t="s">
        <v>1841</v>
      </c>
    </row>
    <row r="1910" spans="1:7" x14ac:dyDescent="0.15">
      <c r="A1910" s="218" t="s">
        <v>10553</v>
      </c>
      <c r="B1910" s="218" t="s">
        <v>1306</v>
      </c>
      <c r="C1910" s="218" t="s">
        <v>3534</v>
      </c>
      <c r="D1910" s="218" t="s">
        <v>1307</v>
      </c>
      <c r="E1910" s="218" t="s">
        <v>1839</v>
      </c>
      <c r="F1910" s="218" t="s">
        <v>1840</v>
      </c>
      <c r="G1910" s="218" t="s">
        <v>1841</v>
      </c>
    </row>
    <row r="1911" spans="1:7" x14ac:dyDescent="0.15">
      <c r="A1911" s="218" t="s">
        <v>5419</v>
      </c>
      <c r="B1911" s="218" t="s">
        <v>5420</v>
      </c>
      <c r="C1911" s="218" t="s">
        <v>3534</v>
      </c>
      <c r="D1911" s="218" t="s">
        <v>5421</v>
      </c>
      <c r="E1911" s="218" t="s">
        <v>1839</v>
      </c>
      <c r="F1911" s="218" t="s">
        <v>1840</v>
      </c>
      <c r="G1911" s="218" t="s">
        <v>1841</v>
      </c>
    </row>
    <row r="1912" spans="1:7" x14ac:dyDescent="0.15">
      <c r="A1912" s="218" t="s">
        <v>10554</v>
      </c>
      <c r="B1912" s="218" t="s">
        <v>893</v>
      </c>
      <c r="C1912" s="218" t="s">
        <v>3534</v>
      </c>
      <c r="D1912" s="218" t="s">
        <v>894</v>
      </c>
      <c r="E1912" s="218" t="s">
        <v>1839</v>
      </c>
      <c r="F1912" s="218" t="s">
        <v>1840</v>
      </c>
      <c r="G1912" s="218" t="s">
        <v>1841</v>
      </c>
    </row>
    <row r="1913" spans="1:7" x14ac:dyDescent="0.15">
      <c r="A1913" s="218" t="s">
        <v>5422</v>
      </c>
      <c r="B1913" s="218" t="s">
        <v>5423</v>
      </c>
      <c r="C1913" s="218" t="s">
        <v>3534</v>
      </c>
      <c r="D1913" s="218" t="s">
        <v>5424</v>
      </c>
      <c r="E1913" s="218" t="s">
        <v>1839</v>
      </c>
      <c r="F1913" s="218" t="s">
        <v>1840</v>
      </c>
      <c r="G1913" s="218" t="s">
        <v>1841</v>
      </c>
    </row>
    <row r="1914" spans="1:7" x14ac:dyDescent="0.15">
      <c r="A1914" s="218" t="s">
        <v>10555</v>
      </c>
      <c r="B1914" s="218" t="s">
        <v>1736</v>
      </c>
      <c r="C1914" s="218" t="s">
        <v>3534</v>
      </c>
      <c r="D1914" s="218" t="s">
        <v>1737</v>
      </c>
      <c r="E1914" s="218" t="s">
        <v>1839</v>
      </c>
      <c r="F1914" s="218" t="s">
        <v>1840</v>
      </c>
      <c r="G1914" s="218" t="s">
        <v>1841</v>
      </c>
    </row>
    <row r="1915" spans="1:7" x14ac:dyDescent="0.15">
      <c r="A1915" s="218" t="s">
        <v>10556</v>
      </c>
      <c r="B1915" s="218" t="s">
        <v>10557</v>
      </c>
      <c r="C1915" s="218" t="s">
        <v>3534</v>
      </c>
      <c r="D1915" s="218" t="s">
        <v>10558</v>
      </c>
      <c r="E1915" s="218" t="s">
        <v>1839</v>
      </c>
      <c r="F1915" s="218" t="s">
        <v>1840</v>
      </c>
      <c r="G1915" s="218" t="s">
        <v>1841</v>
      </c>
    </row>
    <row r="1916" spans="1:7" x14ac:dyDescent="0.15">
      <c r="A1916" s="218" t="s">
        <v>10559</v>
      </c>
      <c r="B1916" s="218" t="s">
        <v>10560</v>
      </c>
      <c r="C1916" s="218" t="s">
        <v>3534</v>
      </c>
      <c r="D1916" s="218" t="s">
        <v>10561</v>
      </c>
      <c r="E1916" s="218" t="s">
        <v>1839</v>
      </c>
      <c r="F1916" s="218" t="s">
        <v>1840</v>
      </c>
      <c r="G1916" s="218" t="s">
        <v>1841</v>
      </c>
    </row>
    <row r="1917" spans="1:7" x14ac:dyDescent="0.15">
      <c r="A1917" s="218" t="s">
        <v>10562</v>
      </c>
      <c r="B1917" s="218" t="s">
        <v>731</v>
      </c>
      <c r="C1917" s="218" t="s">
        <v>3534</v>
      </c>
      <c r="D1917" s="218" t="s">
        <v>732</v>
      </c>
      <c r="E1917" s="218" t="s">
        <v>1839</v>
      </c>
      <c r="F1917" s="218" t="s">
        <v>1840</v>
      </c>
      <c r="G1917" s="218" t="s">
        <v>1841</v>
      </c>
    </row>
    <row r="1918" spans="1:7" x14ac:dyDescent="0.15">
      <c r="A1918" s="218" t="s">
        <v>5425</v>
      </c>
      <c r="B1918" s="218" t="s">
        <v>5426</v>
      </c>
      <c r="C1918" s="218" t="s">
        <v>3534</v>
      </c>
      <c r="D1918" s="218" t="s">
        <v>5427</v>
      </c>
      <c r="E1918" s="218" t="s">
        <v>1839</v>
      </c>
      <c r="F1918" s="218" t="s">
        <v>1840</v>
      </c>
      <c r="G1918" s="218" t="s">
        <v>1841</v>
      </c>
    </row>
    <row r="1919" spans="1:7" x14ac:dyDescent="0.15">
      <c r="A1919" s="218" t="s">
        <v>10563</v>
      </c>
      <c r="B1919" s="218" t="s">
        <v>840</v>
      </c>
      <c r="C1919" s="218" t="s">
        <v>3534</v>
      </c>
      <c r="D1919" s="218" t="s">
        <v>841</v>
      </c>
      <c r="E1919" s="218" t="s">
        <v>1839</v>
      </c>
      <c r="F1919" s="218" t="s">
        <v>1840</v>
      </c>
      <c r="G1919" s="218" t="s">
        <v>1841</v>
      </c>
    </row>
    <row r="1920" spans="1:7" x14ac:dyDescent="0.15">
      <c r="A1920" s="218" t="s">
        <v>5430</v>
      </c>
      <c r="B1920" s="218" t="s">
        <v>5431</v>
      </c>
      <c r="C1920" s="218" t="s">
        <v>3534</v>
      </c>
      <c r="D1920" s="218" t="s">
        <v>5432</v>
      </c>
      <c r="E1920" s="218" t="s">
        <v>1839</v>
      </c>
      <c r="F1920" s="218" t="s">
        <v>1840</v>
      </c>
      <c r="G1920" s="218" t="s">
        <v>1841</v>
      </c>
    </row>
    <row r="1921" spans="1:7" x14ac:dyDescent="0.15">
      <c r="A1921" s="218" t="s">
        <v>11696</v>
      </c>
      <c r="B1921" s="218" t="s">
        <v>11697</v>
      </c>
      <c r="C1921" s="218" t="s">
        <v>3534</v>
      </c>
      <c r="D1921" s="218" t="s">
        <v>11698</v>
      </c>
      <c r="E1921" s="218" t="s">
        <v>1839</v>
      </c>
      <c r="F1921" s="218" t="s">
        <v>1840</v>
      </c>
      <c r="G1921" s="218" t="s">
        <v>1841</v>
      </c>
    </row>
    <row r="1922" spans="1:7" x14ac:dyDescent="0.15">
      <c r="A1922" s="218" t="s">
        <v>11699</v>
      </c>
      <c r="B1922" s="218" t="s">
        <v>11700</v>
      </c>
      <c r="C1922" s="218" t="s">
        <v>3534</v>
      </c>
      <c r="D1922" s="218" t="s">
        <v>11701</v>
      </c>
      <c r="E1922" s="218" t="s">
        <v>1839</v>
      </c>
      <c r="F1922" s="218" t="s">
        <v>1840</v>
      </c>
      <c r="G1922" s="218" t="s">
        <v>1841</v>
      </c>
    </row>
    <row r="1923" spans="1:7" x14ac:dyDescent="0.15">
      <c r="A1923" s="218" t="s">
        <v>10564</v>
      </c>
      <c r="B1923" s="218" t="s">
        <v>844</v>
      </c>
      <c r="C1923" s="218" t="s">
        <v>3534</v>
      </c>
      <c r="D1923" s="218" t="s">
        <v>845</v>
      </c>
      <c r="E1923" s="218" t="s">
        <v>1839</v>
      </c>
      <c r="F1923" s="218" t="s">
        <v>1840</v>
      </c>
      <c r="G1923" s="218" t="s">
        <v>1841</v>
      </c>
    </row>
    <row r="1924" spans="1:7" x14ac:dyDescent="0.15">
      <c r="A1924" s="218" t="s">
        <v>5433</v>
      </c>
      <c r="B1924" s="218" t="s">
        <v>5434</v>
      </c>
      <c r="C1924" s="218" t="s">
        <v>3534</v>
      </c>
      <c r="D1924" s="218" t="s">
        <v>5435</v>
      </c>
      <c r="E1924" s="218" t="s">
        <v>1839</v>
      </c>
      <c r="F1924" s="218" t="s">
        <v>1840</v>
      </c>
      <c r="G1924" s="218" t="s">
        <v>1841</v>
      </c>
    </row>
    <row r="1925" spans="1:7" x14ac:dyDescent="0.15">
      <c r="A1925" s="218" t="s">
        <v>10565</v>
      </c>
      <c r="B1925" s="218" t="s">
        <v>10566</v>
      </c>
      <c r="C1925" s="218" t="s">
        <v>3534</v>
      </c>
      <c r="D1925" s="218" t="s">
        <v>10567</v>
      </c>
      <c r="E1925" s="218" t="s">
        <v>1839</v>
      </c>
      <c r="F1925" s="218" t="s">
        <v>1840</v>
      </c>
      <c r="G1925" s="218" t="s">
        <v>1841</v>
      </c>
    </row>
    <row r="1926" spans="1:7" x14ac:dyDescent="0.15">
      <c r="A1926" s="218" t="s">
        <v>5436</v>
      </c>
      <c r="B1926" s="218" t="s">
        <v>5437</v>
      </c>
      <c r="C1926" s="218" t="s">
        <v>3534</v>
      </c>
      <c r="D1926" s="218" t="s">
        <v>5438</v>
      </c>
      <c r="E1926" s="218" t="s">
        <v>1839</v>
      </c>
      <c r="F1926" s="218" t="s">
        <v>1840</v>
      </c>
      <c r="G1926" s="218" t="s">
        <v>1841</v>
      </c>
    </row>
    <row r="1927" spans="1:7" x14ac:dyDescent="0.15">
      <c r="A1927" s="218" t="s">
        <v>11702</v>
      </c>
      <c r="B1927" s="218" t="s">
        <v>11703</v>
      </c>
      <c r="C1927" s="218" t="s">
        <v>3534</v>
      </c>
      <c r="D1927" s="218" t="s">
        <v>11704</v>
      </c>
      <c r="E1927" s="218" t="s">
        <v>1839</v>
      </c>
      <c r="F1927" s="218" t="s">
        <v>1840</v>
      </c>
      <c r="G1927" s="218" t="s">
        <v>1841</v>
      </c>
    </row>
    <row r="1928" spans="1:7" x14ac:dyDescent="0.15">
      <c r="A1928" s="218" t="s">
        <v>10568</v>
      </c>
      <c r="B1928" s="218" t="s">
        <v>10569</v>
      </c>
      <c r="C1928" s="218" t="s">
        <v>3534</v>
      </c>
      <c r="D1928" s="218" t="s">
        <v>10570</v>
      </c>
      <c r="E1928" s="218" t="s">
        <v>1839</v>
      </c>
      <c r="F1928" s="218" t="s">
        <v>1840</v>
      </c>
      <c r="G1928" s="218" t="s">
        <v>1841</v>
      </c>
    </row>
    <row r="1929" spans="1:7" x14ac:dyDescent="0.15">
      <c r="A1929" s="218" t="s">
        <v>10571</v>
      </c>
      <c r="B1929" s="218" t="s">
        <v>10572</v>
      </c>
      <c r="C1929" s="218" t="s">
        <v>3534</v>
      </c>
      <c r="D1929" s="218" t="s">
        <v>10573</v>
      </c>
      <c r="E1929" s="218" t="s">
        <v>1839</v>
      </c>
      <c r="F1929" s="218" t="s">
        <v>1840</v>
      </c>
      <c r="G1929" s="218" t="s">
        <v>1841</v>
      </c>
    </row>
    <row r="1930" spans="1:7" x14ac:dyDescent="0.15">
      <c r="A1930" s="218" t="s">
        <v>5440</v>
      </c>
      <c r="B1930" s="218" t="s">
        <v>5441</v>
      </c>
      <c r="C1930" s="218" t="s">
        <v>3534</v>
      </c>
      <c r="D1930" s="218" t="s">
        <v>5442</v>
      </c>
      <c r="E1930" s="218" t="s">
        <v>1839</v>
      </c>
      <c r="F1930" s="218" t="s">
        <v>1840</v>
      </c>
      <c r="G1930" s="218" t="s">
        <v>1841</v>
      </c>
    </row>
    <row r="1931" spans="1:7" x14ac:dyDescent="0.15">
      <c r="A1931" s="218" t="s">
        <v>10574</v>
      </c>
      <c r="B1931" s="218" t="s">
        <v>10575</v>
      </c>
      <c r="C1931" s="218" t="s">
        <v>3534</v>
      </c>
      <c r="D1931" s="218" t="s">
        <v>10576</v>
      </c>
      <c r="E1931" s="218" t="s">
        <v>1839</v>
      </c>
      <c r="F1931" s="218" t="s">
        <v>1840</v>
      </c>
      <c r="G1931" s="218" t="s">
        <v>1841</v>
      </c>
    </row>
    <row r="1932" spans="1:7" x14ac:dyDescent="0.15">
      <c r="A1932" s="218" t="s">
        <v>5443</v>
      </c>
      <c r="B1932" s="218" t="s">
        <v>5444</v>
      </c>
      <c r="C1932" s="218" t="s">
        <v>3534</v>
      </c>
      <c r="D1932" s="218" t="s">
        <v>5445</v>
      </c>
      <c r="E1932" s="218" t="s">
        <v>1839</v>
      </c>
      <c r="F1932" s="218" t="s">
        <v>1840</v>
      </c>
      <c r="G1932" s="218" t="s">
        <v>1841</v>
      </c>
    </row>
    <row r="1933" spans="1:7" x14ac:dyDescent="0.15">
      <c r="A1933" s="218" t="s">
        <v>10577</v>
      </c>
      <c r="B1933" s="218" t="s">
        <v>10578</v>
      </c>
      <c r="C1933" s="218" t="s">
        <v>3534</v>
      </c>
      <c r="D1933" s="218" t="s">
        <v>10579</v>
      </c>
      <c r="E1933" s="218" t="s">
        <v>1839</v>
      </c>
      <c r="F1933" s="218" t="s">
        <v>1840</v>
      </c>
      <c r="G1933" s="218" t="s">
        <v>1841</v>
      </c>
    </row>
    <row r="1934" spans="1:7" x14ac:dyDescent="0.15">
      <c r="A1934" s="218" t="s">
        <v>10580</v>
      </c>
      <c r="B1934" s="218" t="s">
        <v>10581</v>
      </c>
      <c r="C1934" s="218" t="s">
        <v>3534</v>
      </c>
      <c r="D1934" s="218" t="s">
        <v>10582</v>
      </c>
      <c r="E1934" s="218" t="s">
        <v>1839</v>
      </c>
      <c r="F1934" s="218" t="s">
        <v>1840</v>
      </c>
      <c r="G1934" s="218" t="s">
        <v>1841</v>
      </c>
    </row>
    <row r="1935" spans="1:7" x14ac:dyDescent="0.15">
      <c r="A1935" s="218" t="s">
        <v>5446</v>
      </c>
      <c r="B1935" s="218" t="s">
        <v>5447</v>
      </c>
      <c r="C1935" s="218" t="s">
        <v>3534</v>
      </c>
      <c r="D1935" s="218" t="s">
        <v>5448</v>
      </c>
      <c r="E1935" s="218" t="s">
        <v>1839</v>
      </c>
      <c r="F1935" s="218" t="s">
        <v>1840</v>
      </c>
      <c r="G1935" s="218" t="s">
        <v>1841</v>
      </c>
    </row>
    <row r="1936" spans="1:7" x14ac:dyDescent="0.15">
      <c r="A1936" s="218" t="s">
        <v>10583</v>
      </c>
      <c r="B1936" s="218" t="s">
        <v>10584</v>
      </c>
      <c r="C1936" s="218" t="s">
        <v>3534</v>
      </c>
      <c r="D1936" s="218" t="s">
        <v>10585</v>
      </c>
      <c r="E1936" s="218" t="s">
        <v>1839</v>
      </c>
      <c r="F1936" s="218" t="s">
        <v>1840</v>
      </c>
      <c r="G1936" s="218" t="s">
        <v>1841</v>
      </c>
    </row>
    <row r="1937" spans="1:7" x14ac:dyDescent="0.15">
      <c r="A1937" s="218" t="s">
        <v>5449</v>
      </c>
      <c r="B1937" s="218" t="s">
        <v>5450</v>
      </c>
      <c r="C1937" s="218" t="s">
        <v>3534</v>
      </c>
      <c r="D1937" s="218" t="s">
        <v>5451</v>
      </c>
      <c r="E1937" s="218" t="s">
        <v>1839</v>
      </c>
      <c r="F1937" s="218" t="s">
        <v>1840</v>
      </c>
      <c r="G1937" s="218" t="s">
        <v>1841</v>
      </c>
    </row>
    <row r="1938" spans="1:7" x14ac:dyDescent="0.15">
      <c r="A1938" s="218" t="s">
        <v>5455</v>
      </c>
      <c r="B1938" s="218" t="s">
        <v>5456</v>
      </c>
      <c r="C1938" s="218" t="s">
        <v>3534</v>
      </c>
      <c r="D1938" s="218" t="s">
        <v>5457</v>
      </c>
      <c r="E1938" s="218" t="s">
        <v>1839</v>
      </c>
      <c r="F1938" s="218" t="s">
        <v>1840</v>
      </c>
      <c r="G1938" s="218" t="s">
        <v>1841</v>
      </c>
    </row>
    <row r="1939" spans="1:7" x14ac:dyDescent="0.15">
      <c r="A1939" s="218" t="s">
        <v>11705</v>
      </c>
      <c r="B1939" s="218" t="s">
        <v>11706</v>
      </c>
      <c r="C1939" s="218" t="s">
        <v>3534</v>
      </c>
      <c r="D1939" s="218" t="s">
        <v>11707</v>
      </c>
      <c r="E1939" s="218" t="s">
        <v>1839</v>
      </c>
      <c r="F1939" s="218" t="s">
        <v>1840</v>
      </c>
      <c r="G1939" s="218" t="s">
        <v>1841</v>
      </c>
    </row>
    <row r="1940" spans="1:7" x14ac:dyDescent="0.15">
      <c r="A1940" s="218" t="s">
        <v>10586</v>
      </c>
      <c r="B1940" s="218" t="s">
        <v>10587</v>
      </c>
      <c r="C1940" s="218" t="s">
        <v>3534</v>
      </c>
      <c r="D1940" s="218" t="s">
        <v>10588</v>
      </c>
      <c r="E1940" s="218" t="s">
        <v>1839</v>
      </c>
      <c r="F1940" s="218" t="s">
        <v>1840</v>
      </c>
      <c r="G1940" s="218" t="s">
        <v>1841</v>
      </c>
    </row>
    <row r="1941" spans="1:7" x14ac:dyDescent="0.15">
      <c r="A1941" s="218" t="s">
        <v>10589</v>
      </c>
      <c r="B1941" s="218" t="s">
        <v>10590</v>
      </c>
      <c r="C1941" s="218" t="s">
        <v>3534</v>
      </c>
      <c r="D1941" s="218" t="s">
        <v>10591</v>
      </c>
      <c r="E1941" s="218" t="s">
        <v>1839</v>
      </c>
      <c r="F1941" s="218" t="s">
        <v>1840</v>
      </c>
      <c r="G1941" s="218" t="s">
        <v>1841</v>
      </c>
    </row>
    <row r="1942" spans="1:7" x14ac:dyDescent="0.15">
      <c r="A1942" s="218" t="s">
        <v>10595</v>
      </c>
      <c r="B1942" s="218" t="s">
        <v>10596</v>
      </c>
      <c r="C1942" s="218" t="s">
        <v>3534</v>
      </c>
      <c r="D1942" s="218" t="s">
        <v>10597</v>
      </c>
      <c r="E1942" s="218" t="s">
        <v>1839</v>
      </c>
      <c r="F1942" s="218" t="s">
        <v>1840</v>
      </c>
      <c r="G1942" s="218" t="s">
        <v>1841</v>
      </c>
    </row>
    <row r="1943" spans="1:7" x14ac:dyDescent="0.15">
      <c r="A1943" s="218" t="s">
        <v>10598</v>
      </c>
      <c r="B1943" s="218" t="s">
        <v>1591</v>
      </c>
      <c r="C1943" s="218" t="s">
        <v>3534</v>
      </c>
      <c r="D1943" s="218" t="s">
        <v>1592</v>
      </c>
      <c r="E1943" s="218" t="s">
        <v>1839</v>
      </c>
      <c r="F1943" s="218" t="s">
        <v>1840</v>
      </c>
      <c r="G1943" s="218" t="s">
        <v>1841</v>
      </c>
    </row>
    <row r="1944" spans="1:7" x14ac:dyDescent="0.15">
      <c r="A1944" s="218" t="s">
        <v>5458</v>
      </c>
      <c r="B1944" s="218" t="s">
        <v>5459</v>
      </c>
      <c r="C1944" s="218" t="s">
        <v>3534</v>
      </c>
      <c r="D1944" s="218" t="s">
        <v>5460</v>
      </c>
      <c r="E1944" s="218" t="s">
        <v>1839</v>
      </c>
      <c r="F1944" s="218" t="s">
        <v>1840</v>
      </c>
      <c r="G1944" s="218" t="s">
        <v>1841</v>
      </c>
    </row>
    <row r="1945" spans="1:7" x14ac:dyDescent="0.15">
      <c r="A1945" s="218" t="s">
        <v>10599</v>
      </c>
      <c r="B1945" s="218" t="s">
        <v>10600</v>
      </c>
      <c r="C1945" s="218" t="s">
        <v>3534</v>
      </c>
      <c r="D1945" s="218" t="s">
        <v>10601</v>
      </c>
      <c r="E1945" s="218" t="s">
        <v>1839</v>
      </c>
      <c r="F1945" s="218" t="s">
        <v>1840</v>
      </c>
      <c r="G1945" s="218" t="s">
        <v>1841</v>
      </c>
    </row>
    <row r="1946" spans="1:7" x14ac:dyDescent="0.15">
      <c r="A1946" s="218" t="s">
        <v>5461</v>
      </c>
      <c r="B1946" s="218" t="s">
        <v>5462</v>
      </c>
      <c r="C1946" s="218" t="s">
        <v>3534</v>
      </c>
      <c r="D1946" s="218" t="s">
        <v>5463</v>
      </c>
      <c r="E1946" s="218" t="s">
        <v>1839</v>
      </c>
      <c r="F1946" s="218" t="s">
        <v>1840</v>
      </c>
      <c r="G1946" s="218" t="s">
        <v>1841</v>
      </c>
    </row>
    <row r="1947" spans="1:7" x14ac:dyDescent="0.15">
      <c r="A1947" s="218" t="s">
        <v>10602</v>
      </c>
      <c r="B1947" s="218" t="s">
        <v>10603</v>
      </c>
      <c r="C1947" s="218" t="s">
        <v>3534</v>
      </c>
      <c r="D1947" s="218" t="s">
        <v>10604</v>
      </c>
      <c r="E1947" s="218" t="s">
        <v>1839</v>
      </c>
      <c r="F1947" s="218" t="s">
        <v>1840</v>
      </c>
      <c r="G1947" s="218" t="s">
        <v>1841</v>
      </c>
    </row>
    <row r="1948" spans="1:7" x14ac:dyDescent="0.15">
      <c r="A1948" s="218" t="s">
        <v>5464</v>
      </c>
      <c r="B1948" s="218" t="s">
        <v>5465</v>
      </c>
      <c r="C1948" s="218" t="s">
        <v>3534</v>
      </c>
      <c r="D1948" s="218" t="s">
        <v>5466</v>
      </c>
      <c r="E1948" s="218" t="s">
        <v>1935</v>
      </c>
      <c r="F1948" s="218" t="s">
        <v>1840</v>
      </c>
      <c r="G1948" s="218" t="s">
        <v>1841</v>
      </c>
    </row>
    <row r="1949" spans="1:7" x14ac:dyDescent="0.15">
      <c r="A1949" s="218" t="s">
        <v>5467</v>
      </c>
      <c r="B1949" s="218" t="s">
        <v>5468</v>
      </c>
      <c r="C1949" s="218" t="s">
        <v>3534</v>
      </c>
      <c r="D1949" s="218" t="s">
        <v>5469</v>
      </c>
      <c r="E1949" s="218" t="s">
        <v>1839</v>
      </c>
      <c r="F1949" s="218" t="s">
        <v>1840</v>
      </c>
      <c r="G1949" s="218" t="s">
        <v>1841</v>
      </c>
    </row>
    <row r="1950" spans="1:7" x14ac:dyDescent="0.15">
      <c r="A1950" s="218" t="s">
        <v>5470</v>
      </c>
      <c r="B1950" s="218" t="s">
        <v>5471</v>
      </c>
      <c r="C1950" s="218" t="s">
        <v>3534</v>
      </c>
      <c r="D1950" s="218" t="s">
        <v>5472</v>
      </c>
      <c r="E1950" s="218" t="s">
        <v>1839</v>
      </c>
      <c r="F1950" s="218" t="s">
        <v>1840</v>
      </c>
      <c r="G1950" s="218" t="s">
        <v>1841</v>
      </c>
    </row>
    <row r="1951" spans="1:7" x14ac:dyDescent="0.15">
      <c r="A1951" s="218" t="s">
        <v>10605</v>
      </c>
      <c r="B1951" s="218" t="s">
        <v>10606</v>
      </c>
      <c r="C1951" s="218" t="s">
        <v>3534</v>
      </c>
      <c r="D1951" s="218" t="s">
        <v>10607</v>
      </c>
      <c r="E1951" s="218" t="s">
        <v>1839</v>
      </c>
      <c r="F1951" s="218" t="s">
        <v>1840</v>
      </c>
      <c r="G1951" s="218" t="s">
        <v>1841</v>
      </c>
    </row>
    <row r="1952" spans="1:7" x14ac:dyDescent="0.15">
      <c r="A1952" s="218" t="s">
        <v>10608</v>
      </c>
      <c r="B1952" s="218" t="s">
        <v>10609</v>
      </c>
      <c r="C1952" s="218" t="s">
        <v>3534</v>
      </c>
      <c r="D1952" s="218" t="s">
        <v>10610</v>
      </c>
      <c r="E1952" s="218" t="s">
        <v>1839</v>
      </c>
      <c r="F1952" s="218" t="s">
        <v>1840</v>
      </c>
      <c r="G1952" s="218" t="s">
        <v>1841</v>
      </c>
    </row>
    <row r="1953" spans="1:7" x14ac:dyDescent="0.15">
      <c r="A1953" s="218" t="s">
        <v>5479</v>
      </c>
      <c r="B1953" s="218" t="s">
        <v>571</v>
      </c>
      <c r="C1953" s="218" t="s">
        <v>3534</v>
      </c>
      <c r="D1953" s="218" t="s">
        <v>5480</v>
      </c>
      <c r="E1953" s="218" t="s">
        <v>1839</v>
      </c>
      <c r="F1953" s="218" t="s">
        <v>1840</v>
      </c>
      <c r="G1953" s="218" t="s">
        <v>1841</v>
      </c>
    </row>
    <row r="1954" spans="1:7" x14ac:dyDescent="0.15">
      <c r="A1954" s="218" t="s">
        <v>10611</v>
      </c>
      <c r="B1954" s="218" t="s">
        <v>10612</v>
      </c>
      <c r="C1954" s="218" t="s">
        <v>3534</v>
      </c>
      <c r="D1954" s="218" t="s">
        <v>1767</v>
      </c>
      <c r="E1954" s="218" t="s">
        <v>1839</v>
      </c>
      <c r="F1954" s="218" t="s">
        <v>1840</v>
      </c>
      <c r="G1954" s="218" t="s">
        <v>1841</v>
      </c>
    </row>
    <row r="1955" spans="1:7" x14ac:dyDescent="0.15">
      <c r="A1955" s="218" t="s">
        <v>10613</v>
      </c>
      <c r="B1955" s="218" t="s">
        <v>1314</v>
      </c>
      <c r="C1955" s="218" t="s">
        <v>3534</v>
      </c>
      <c r="D1955" s="218" t="s">
        <v>1315</v>
      </c>
      <c r="E1955" s="218" t="s">
        <v>1839</v>
      </c>
      <c r="F1955" s="218" t="s">
        <v>1840</v>
      </c>
      <c r="G1955" s="218" t="s">
        <v>1841</v>
      </c>
    </row>
    <row r="1956" spans="1:7" x14ac:dyDescent="0.15">
      <c r="A1956" s="218" t="s">
        <v>5481</v>
      </c>
      <c r="B1956" s="218" t="s">
        <v>5482</v>
      </c>
      <c r="C1956" s="218" t="s">
        <v>3534</v>
      </c>
      <c r="D1956" s="218" t="s">
        <v>5483</v>
      </c>
      <c r="E1956" s="218" t="s">
        <v>1839</v>
      </c>
      <c r="F1956" s="218" t="s">
        <v>1840</v>
      </c>
      <c r="G1956" s="218" t="s">
        <v>1841</v>
      </c>
    </row>
    <row r="1957" spans="1:7" x14ac:dyDescent="0.15">
      <c r="A1957" s="218" t="s">
        <v>5484</v>
      </c>
      <c r="B1957" s="218" t="s">
        <v>5485</v>
      </c>
      <c r="C1957" s="218" t="s">
        <v>3534</v>
      </c>
      <c r="D1957" s="218" t="s">
        <v>5486</v>
      </c>
      <c r="E1957" s="218" t="s">
        <v>1839</v>
      </c>
      <c r="F1957" s="218" t="s">
        <v>1840</v>
      </c>
      <c r="G1957" s="218" t="s">
        <v>1841</v>
      </c>
    </row>
    <row r="1958" spans="1:7" x14ac:dyDescent="0.15">
      <c r="A1958" s="218" t="s">
        <v>10614</v>
      </c>
      <c r="B1958" s="218" t="s">
        <v>10615</v>
      </c>
      <c r="C1958" s="218" t="s">
        <v>3534</v>
      </c>
      <c r="D1958" s="218" t="s">
        <v>10616</v>
      </c>
      <c r="E1958" s="218" t="s">
        <v>1839</v>
      </c>
      <c r="F1958" s="218" t="s">
        <v>1840</v>
      </c>
      <c r="G1958" s="218" t="s">
        <v>1841</v>
      </c>
    </row>
    <row r="1959" spans="1:7" x14ac:dyDescent="0.15">
      <c r="A1959" s="218" t="s">
        <v>10617</v>
      </c>
      <c r="B1959" s="218" t="s">
        <v>992</v>
      </c>
      <c r="C1959" s="218" t="s">
        <v>3534</v>
      </c>
      <c r="D1959" s="218" t="s">
        <v>993</v>
      </c>
      <c r="E1959" s="218" t="s">
        <v>1839</v>
      </c>
      <c r="F1959" s="218" t="s">
        <v>1840</v>
      </c>
      <c r="G1959" s="218" t="s">
        <v>1841</v>
      </c>
    </row>
    <row r="1960" spans="1:7" x14ac:dyDescent="0.15">
      <c r="A1960" s="218" t="s">
        <v>10618</v>
      </c>
      <c r="B1960" s="218" t="s">
        <v>10619</v>
      </c>
      <c r="C1960" s="218" t="s">
        <v>3534</v>
      </c>
      <c r="D1960" s="218" t="s">
        <v>10620</v>
      </c>
      <c r="E1960" s="218" t="s">
        <v>1839</v>
      </c>
      <c r="F1960" s="218" t="s">
        <v>1840</v>
      </c>
      <c r="G1960" s="218" t="s">
        <v>1841</v>
      </c>
    </row>
    <row r="1961" spans="1:7" x14ac:dyDescent="0.15">
      <c r="A1961" s="218" t="s">
        <v>10621</v>
      </c>
      <c r="B1961" s="218" t="s">
        <v>10622</v>
      </c>
      <c r="C1961" s="218" t="s">
        <v>3534</v>
      </c>
      <c r="D1961" s="218" t="s">
        <v>10623</v>
      </c>
      <c r="E1961" s="218" t="s">
        <v>1839</v>
      </c>
      <c r="F1961" s="218" t="s">
        <v>1840</v>
      </c>
      <c r="G1961" s="218" t="s">
        <v>1841</v>
      </c>
    </row>
    <row r="1962" spans="1:7" x14ac:dyDescent="0.15">
      <c r="A1962" s="218" t="s">
        <v>5493</v>
      </c>
      <c r="B1962" s="218" t="s">
        <v>5494</v>
      </c>
      <c r="C1962" s="218" t="s">
        <v>3534</v>
      </c>
      <c r="D1962" s="218" t="s">
        <v>5495</v>
      </c>
      <c r="E1962" s="218" t="s">
        <v>1839</v>
      </c>
      <c r="F1962" s="218" t="s">
        <v>1840</v>
      </c>
      <c r="G1962" s="218" t="s">
        <v>1841</v>
      </c>
    </row>
    <row r="1963" spans="1:7" x14ac:dyDescent="0.15">
      <c r="A1963" s="218" t="s">
        <v>10624</v>
      </c>
      <c r="B1963" s="218" t="s">
        <v>10625</v>
      </c>
      <c r="C1963" s="218" t="s">
        <v>3534</v>
      </c>
      <c r="D1963" s="218" t="s">
        <v>10626</v>
      </c>
      <c r="E1963" s="218" t="s">
        <v>1839</v>
      </c>
      <c r="F1963" s="218" t="s">
        <v>1840</v>
      </c>
      <c r="G1963" s="218" t="s">
        <v>1841</v>
      </c>
    </row>
    <row r="1964" spans="1:7" x14ac:dyDescent="0.15">
      <c r="A1964" s="218" t="s">
        <v>5496</v>
      </c>
      <c r="B1964" s="218" t="s">
        <v>5497</v>
      </c>
      <c r="C1964" s="218" t="s">
        <v>3534</v>
      </c>
      <c r="D1964" s="218" t="s">
        <v>5498</v>
      </c>
      <c r="E1964" s="218" t="s">
        <v>1839</v>
      </c>
      <c r="F1964" s="218" t="s">
        <v>1840</v>
      </c>
      <c r="G1964" s="218" t="s">
        <v>1841</v>
      </c>
    </row>
    <row r="1965" spans="1:7" x14ac:dyDescent="0.15">
      <c r="A1965" s="218" t="s">
        <v>10627</v>
      </c>
      <c r="B1965" s="218" t="s">
        <v>957</v>
      </c>
      <c r="C1965" s="218" t="s">
        <v>3534</v>
      </c>
      <c r="D1965" s="218" t="s">
        <v>958</v>
      </c>
      <c r="E1965" s="218" t="s">
        <v>1839</v>
      </c>
      <c r="F1965" s="218" t="s">
        <v>1840</v>
      </c>
      <c r="G1965" s="218" t="s">
        <v>1841</v>
      </c>
    </row>
    <row r="1966" spans="1:7" x14ac:dyDescent="0.15">
      <c r="A1966" s="218" t="s">
        <v>10628</v>
      </c>
      <c r="B1966" s="218" t="s">
        <v>1172</v>
      </c>
      <c r="C1966" s="218" t="s">
        <v>3534</v>
      </c>
      <c r="D1966" s="218" t="s">
        <v>1173</v>
      </c>
      <c r="E1966" s="218" t="s">
        <v>1839</v>
      </c>
      <c r="F1966" s="218" t="s">
        <v>1840</v>
      </c>
      <c r="G1966" s="218" t="s">
        <v>1841</v>
      </c>
    </row>
    <row r="1967" spans="1:7" x14ac:dyDescent="0.15">
      <c r="A1967" s="218" t="s">
        <v>10629</v>
      </c>
      <c r="B1967" s="218" t="s">
        <v>10630</v>
      </c>
      <c r="C1967" s="218" t="s">
        <v>3534</v>
      </c>
      <c r="D1967" s="218" t="s">
        <v>10631</v>
      </c>
      <c r="E1967" s="218" t="s">
        <v>1839</v>
      </c>
      <c r="F1967" s="218" t="s">
        <v>1840</v>
      </c>
      <c r="G1967" s="218" t="s">
        <v>1841</v>
      </c>
    </row>
    <row r="1968" spans="1:7" x14ac:dyDescent="0.15">
      <c r="A1968" s="218" t="s">
        <v>5499</v>
      </c>
      <c r="B1968" s="218" t="s">
        <v>5500</v>
      </c>
      <c r="C1968" s="218" t="s">
        <v>3534</v>
      </c>
      <c r="D1968" s="218" t="s">
        <v>5501</v>
      </c>
      <c r="E1968" s="218" t="s">
        <v>1935</v>
      </c>
      <c r="F1968" s="218" t="s">
        <v>1840</v>
      </c>
      <c r="G1968" s="218" t="s">
        <v>1841</v>
      </c>
    </row>
    <row r="1969" spans="1:7" x14ac:dyDescent="0.15">
      <c r="A1969" s="218" t="s">
        <v>10632</v>
      </c>
      <c r="B1969" s="218" t="s">
        <v>10633</v>
      </c>
      <c r="C1969" s="218" t="s">
        <v>3534</v>
      </c>
      <c r="D1969" s="218" t="s">
        <v>10634</v>
      </c>
      <c r="E1969" s="218" t="s">
        <v>1839</v>
      </c>
      <c r="F1969" s="218" t="s">
        <v>1840</v>
      </c>
      <c r="G1969" s="218" t="s">
        <v>1841</v>
      </c>
    </row>
    <row r="1970" spans="1:7" x14ac:dyDescent="0.15">
      <c r="A1970" s="218" t="s">
        <v>10635</v>
      </c>
      <c r="B1970" s="218" t="s">
        <v>10636</v>
      </c>
      <c r="C1970" s="218" t="s">
        <v>3534</v>
      </c>
      <c r="D1970" s="218" t="s">
        <v>10637</v>
      </c>
      <c r="E1970" s="218" t="s">
        <v>1839</v>
      </c>
      <c r="F1970" s="218" t="s">
        <v>1840</v>
      </c>
      <c r="G1970" s="218" t="s">
        <v>1841</v>
      </c>
    </row>
    <row r="1971" spans="1:7" x14ac:dyDescent="0.15">
      <c r="A1971" s="218" t="s">
        <v>10638</v>
      </c>
      <c r="B1971" s="218" t="s">
        <v>10639</v>
      </c>
      <c r="C1971" s="218" t="s">
        <v>3534</v>
      </c>
      <c r="D1971" s="218" t="s">
        <v>10640</v>
      </c>
      <c r="E1971" s="218" t="s">
        <v>1839</v>
      </c>
      <c r="F1971" s="218" t="s">
        <v>1840</v>
      </c>
      <c r="G1971" s="218" t="s">
        <v>1841</v>
      </c>
    </row>
    <row r="1972" spans="1:7" x14ac:dyDescent="0.15">
      <c r="A1972" s="218" t="s">
        <v>5502</v>
      </c>
      <c r="B1972" s="218" t="s">
        <v>5503</v>
      </c>
      <c r="C1972" s="218" t="s">
        <v>3534</v>
      </c>
      <c r="D1972" s="218" t="s">
        <v>5504</v>
      </c>
      <c r="E1972" s="218" t="s">
        <v>1839</v>
      </c>
      <c r="F1972" s="218" t="s">
        <v>1840</v>
      </c>
      <c r="G1972" s="218" t="s">
        <v>1841</v>
      </c>
    </row>
    <row r="1973" spans="1:7" x14ac:dyDescent="0.15">
      <c r="A1973" s="218" t="s">
        <v>10641</v>
      </c>
      <c r="B1973" s="218" t="s">
        <v>10642</v>
      </c>
      <c r="C1973" s="218" t="s">
        <v>3534</v>
      </c>
      <c r="D1973" s="218" t="s">
        <v>10643</v>
      </c>
      <c r="E1973" s="218" t="s">
        <v>1839</v>
      </c>
      <c r="F1973" s="218" t="s">
        <v>1840</v>
      </c>
      <c r="G1973" s="218" t="s">
        <v>1841</v>
      </c>
    </row>
    <row r="1974" spans="1:7" x14ac:dyDescent="0.15">
      <c r="A1974" s="218" t="s">
        <v>11708</v>
      </c>
      <c r="B1974" s="218" t="s">
        <v>11709</v>
      </c>
      <c r="C1974" s="218" t="s">
        <v>3534</v>
      </c>
      <c r="D1974" s="218" t="s">
        <v>11710</v>
      </c>
      <c r="E1974" s="218" t="s">
        <v>1839</v>
      </c>
      <c r="F1974" s="218" t="s">
        <v>1840</v>
      </c>
      <c r="G1974" s="218" t="s">
        <v>1841</v>
      </c>
    </row>
    <row r="1975" spans="1:7" x14ac:dyDescent="0.15">
      <c r="A1975" s="218" t="s">
        <v>5505</v>
      </c>
      <c r="B1975" s="218" t="s">
        <v>5506</v>
      </c>
      <c r="C1975" s="218" t="s">
        <v>3534</v>
      </c>
      <c r="D1975" s="218" t="s">
        <v>5507</v>
      </c>
      <c r="E1975" s="218" t="s">
        <v>1839</v>
      </c>
      <c r="F1975" s="218" t="s">
        <v>1840</v>
      </c>
      <c r="G1975" s="218" t="s">
        <v>1841</v>
      </c>
    </row>
    <row r="1976" spans="1:7" x14ac:dyDescent="0.15">
      <c r="A1976" s="218" t="s">
        <v>10644</v>
      </c>
      <c r="B1976" s="218" t="s">
        <v>1402</v>
      </c>
      <c r="C1976" s="218" t="s">
        <v>3534</v>
      </c>
      <c r="D1976" s="218" t="s">
        <v>1403</v>
      </c>
      <c r="E1976" s="218" t="s">
        <v>1839</v>
      </c>
      <c r="F1976" s="218" t="s">
        <v>1840</v>
      </c>
      <c r="G1976" s="218" t="s">
        <v>1841</v>
      </c>
    </row>
    <row r="1977" spans="1:7" x14ac:dyDescent="0.15">
      <c r="A1977" s="218" t="s">
        <v>10645</v>
      </c>
      <c r="B1977" s="218" t="s">
        <v>10646</v>
      </c>
      <c r="C1977" s="218" t="s">
        <v>3534</v>
      </c>
      <c r="D1977" s="218" t="s">
        <v>10647</v>
      </c>
      <c r="E1977" s="218" t="s">
        <v>1839</v>
      </c>
      <c r="F1977" s="218" t="s">
        <v>1840</v>
      </c>
      <c r="G1977" s="218" t="s">
        <v>1841</v>
      </c>
    </row>
    <row r="1978" spans="1:7" x14ac:dyDescent="0.15">
      <c r="A1978" s="218" t="s">
        <v>10648</v>
      </c>
      <c r="B1978" s="218" t="s">
        <v>10649</v>
      </c>
      <c r="C1978" s="218" t="s">
        <v>3534</v>
      </c>
      <c r="D1978" s="218" t="s">
        <v>1332</v>
      </c>
      <c r="E1978" s="218" t="s">
        <v>1839</v>
      </c>
      <c r="F1978" s="218" t="s">
        <v>1840</v>
      </c>
      <c r="G1978" s="218" t="s">
        <v>1841</v>
      </c>
    </row>
    <row r="1979" spans="1:7" x14ac:dyDescent="0.15">
      <c r="A1979" s="218" t="s">
        <v>10650</v>
      </c>
      <c r="B1979" s="218" t="s">
        <v>10651</v>
      </c>
      <c r="C1979" s="218" t="s">
        <v>3534</v>
      </c>
      <c r="D1979" s="218" t="s">
        <v>10652</v>
      </c>
      <c r="E1979" s="218" t="s">
        <v>1839</v>
      </c>
      <c r="F1979" s="218" t="s">
        <v>1840</v>
      </c>
      <c r="G1979" s="218" t="s">
        <v>1841</v>
      </c>
    </row>
    <row r="1980" spans="1:7" x14ac:dyDescent="0.15">
      <c r="A1980" s="218" t="s">
        <v>5508</v>
      </c>
      <c r="B1980" s="218" t="s">
        <v>5509</v>
      </c>
      <c r="C1980" s="218" t="s">
        <v>3534</v>
      </c>
      <c r="D1980" s="218" t="s">
        <v>5510</v>
      </c>
      <c r="E1980" s="218" t="s">
        <v>1839</v>
      </c>
      <c r="F1980" s="218" t="s">
        <v>1840</v>
      </c>
      <c r="G1980" s="218" t="s">
        <v>1841</v>
      </c>
    </row>
    <row r="1981" spans="1:7" x14ac:dyDescent="0.15">
      <c r="A1981" s="218" t="s">
        <v>10653</v>
      </c>
      <c r="B1981" s="218" t="s">
        <v>10654</v>
      </c>
      <c r="C1981" s="218" t="s">
        <v>3534</v>
      </c>
      <c r="D1981" s="218" t="s">
        <v>10655</v>
      </c>
      <c r="E1981" s="218" t="s">
        <v>1839</v>
      </c>
      <c r="F1981" s="218" t="s">
        <v>1840</v>
      </c>
      <c r="G1981" s="218" t="s">
        <v>1841</v>
      </c>
    </row>
    <row r="1982" spans="1:7" x14ac:dyDescent="0.15">
      <c r="A1982" s="218" t="s">
        <v>10656</v>
      </c>
      <c r="B1982" s="218" t="s">
        <v>10657</v>
      </c>
      <c r="C1982" s="218" t="s">
        <v>3534</v>
      </c>
      <c r="D1982" s="218" t="s">
        <v>10658</v>
      </c>
      <c r="E1982" s="218" t="s">
        <v>1839</v>
      </c>
      <c r="F1982" s="218" t="s">
        <v>1840</v>
      </c>
      <c r="G1982" s="218" t="s">
        <v>1841</v>
      </c>
    </row>
    <row r="1983" spans="1:7" x14ac:dyDescent="0.15">
      <c r="A1983" s="218" t="s">
        <v>10662</v>
      </c>
      <c r="B1983" s="218" t="s">
        <v>10663</v>
      </c>
      <c r="C1983" s="218" t="s">
        <v>3534</v>
      </c>
      <c r="D1983" s="218" t="s">
        <v>10664</v>
      </c>
      <c r="E1983" s="218" t="s">
        <v>1935</v>
      </c>
      <c r="F1983" s="218" t="s">
        <v>1840</v>
      </c>
      <c r="G1983" s="218" t="s">
        <v>1841</v>
      </c>
    </row>
    <row r="1984" spans="1:7" x14ac:dyDescent="0.15">
      <c r="A1984" s="218" t="s">
        <v>5511</v>
      </c>
      <c r="B1984" s="218" t="s">
        <v>5512</v>
      </c>
      <c r="C1984" s="218" t="s">
        <v>3534</v>
      </c>
      <c r="D1984" s="218" t="s">
        <v>5513</v>
      </c>
      <c r="E1984" s="218" t="s">
        <v>1839</v>
      </c>
      <c r="F1984" s="218" t="s">
        <v>1840</v>
      </c>
      <c r="G1984" s="218" t="s">
        <v>1841</v>
      </c>
    </row>
    <row r="1985" spans="1:7" x14ac:dyDescent="0.15">
      <c r="A1985" s="218" t="s">
        <v>5514</v>
      </c>
      <c r="B1985" s="218" t="s">
        <v>5515</v>
      </c>
      <c r="C1985" s="218" t="s">
        <v>3534</v>
      </c>
      <c r="D1985" s="218" t="s">
        <v>5516</v>
      </c>
      <c r="E1985" s="218" t="s">
        <v>1839</v>
      </c>
      <c r="F1985" s="218" t="s">
        <v>1840</v>
      </c>
      <c r="G1985" s="218" t="s">
        <v>1841</v>
      </c>
    </row>
    <row r="1986" spans="1:7" x14ac:dyDescent="0.15">
      <c r="A1986" s="218" t="s">
        <v>5517</v>
      </c>
      <c r="B1986" s="218" t="s">
        <v>5518</v>
      </c>
      <c r="C1986" s="218" t="s">
        <v>3534</v>
      </c>
      <c r="D1986" s="218" t="s">
        <v>5519</v>
      </c>
      <c r="E1986" s="218" t="s">
        <v>1839</v>
      </c>
      <c r="F1986" s="218" t="s">
        <v>1840</v>
      </c>
      <c r="G1986" s="218" t="s">
        <v>1841</v>
      </c>
    </row>
    <row r="1987" spans="1:7" x14ac:dyDescent="0.15">
      <c r="A1987" s="218" t="s">
        <v>5520</v>
      </c>
      <c r="B1987" s="218" t="s">
        <v>5521</v>
      </c>
      <c r="C1987" s="218" t="s">
        <v>3534</v>
      </c>
      <c r="D1987" s="218" t="s">
        <v>5522</v>
      </c>
      <c r="E1987" s="218" t="s">
        <v>1839</v>
      </c>
      <c r="F1987" s="218" t="s">
        <v>1840</v>
      </c>
      <c r="G1987" s="218" t="s">
        <v>1841</v>
      </c>
    </row>
    <row r="1988" spans="1:7" x14ac:dyDescent="0.15">
      <c r="A1988" s="218" t="s">
        <v>10665</v>
      </c>
      <c r="B1988" s="218" t="s">
        <v>10666</v>
      </c>
      <c r="C1988" s="218" t="s">
        <v>3534</v>
      </c>
      <c r="D1988" s="218" t="s">
        <v>10667</v>
      </c>
      <c r="E1988" s="218" t="s">
        <v>1839</v>
      </c>
      <c r="F1988" s="218" t="s">
        <v>1840</v>
      </c>
      <c r="G1988" s="218" t="s">
        <v>1841</v>
      </c>
    </row>
    <row r="1989" spans="1:7" x14ac:dyDescent="0.15">
      <c r="A1989" s="218" t="s">
        <v>10668</v>
      </c>
      <c r="B1989" s="218" t="s">
        <v>10669</v>
      </c>
      <c r="C1989" s="218" t="s">
        <v>3534</v>
      </c>
      <c r="D1989" s="218" t="s">
        <v>10670</v>
      </c>
      <c r="E1989" s="218" t="s">
        <v>1839</v>
      </c>
      <c r="F1989" s="218" t="s">
        <v>1840</v>
      </c>
      <c r="G1989" s="218" t="s">
        <v>1841</v>
      </c>
    </row>
    <row r="1990" spans="1:7" x14ac:dyDescent="0.15">
      <c r="A1990" s="218" t="s">
        <v>5523</v>
      </c>
      <c r="B1990" s="218" t="s">
        <v>5524</v>
      </c>
      <c r="C1990" s="218" t="s">
        <v>3534</v>
      </c>
      <c r="D1990" s="218" t="s">
        <v>5525</v>
      </c>
      <c r="E1990" s="218" t="s">
        <v>1839</v>
      </c>
      <c r="F1990" s="218" t="s">
        <v>1840</v>
      </c>
      <c r="G1990" s="218" t="s">
        <v>1841</v>
      </c>
    </row>
    <row r="1991" spans="1:7" x14ac:dyDescent="0.15">
      <c r="A1991" s="218" t="s">
        <v>10671</v>
      </c>
      <c r="B1991" s="218" t="s">
        <v>10672</v>
      </c>
      <c r="C1991" s="218" t="s">
        <v>3534</v>
      </c>
      <c r="D1991" s="218" t="s">
        <v>10673</v>
      </c>
      <c r="E1991" s="218" t="s">
        <v>1839</v>
      </c>
      <c r="F1991" s="218" t="s">
        <v>1840</v>
      </c>
      <c r="G1991" s="218" t="s">
        <v>1841</v>
      </c>
    </row>
    <row r="1992" spans="1:7" x14ac:dyDescent="0.15">
      <c r="A1992" s="218" t="s">
        <v>5526</v>
      </c>
      <c r="B1992" s="218" t="s">
        <v>5527</v>
      </c>
      <c r="C1992" s="218" t="s">
        <v>3534</v>
      </c>
      <c r="D1992" s="218" t="s">
        <v>5528</v>
      </c>
      <c r="E1992" s="218" t="s">
        <v>1839</v>
      </c>
      <c r="F1992" s="218" t="s">
        <v>1840</v>
      </c>
      <c r="G1992" s="218" t="s">
        <v>1841</v>
      </c>
    </row>
    <row r="1993" spans="1:7" x14ac:dyDescent="0.15">
      <c r="A1993" s="218" t="s">
        <v>5529</v>
      </c>
      <c r="B1993" s="218" t="s">
        <v>5530</v>
      </c>
      <c r="C1993" s="218" t="s">
        <v>3534</v>
      </c>
      <c r="D1993" s="218" t="s">
        <v>5531</v>
      </c>
      <c r="E1993" s="218" t="s">
        <v>1839</v>
      </c>
      <c r="F1993" s="218" t="s">
        <v>1840</v>
      </c>
      <c r="G1993" s="218" t="s">
        <v>1841</v>
      </c>
    </row>
    <row r="1994" spans="1:7" x14ac:dyDescent="0.15">
      <c r="A1994" s="218" t="s">
        <v>5532</v>
      </c>
      <c r="B1994" s="218" t="s">
        <v>5533</v>
      </c>
      <c r="C1994" s="218" t="s">
        <v>3534</v>
      </c>
      <c r="D1994" s="218" t="s">
        <v>5534</v>
      </c>
      <c r="E1994" s="218" t="s">
        <v>1839</v>
      </c>
      <c r="F1994" s="218" t="s">
        <v>1840</v>
      </c>
      <c r="G1994" s="218" t="s">
        <v>1841</v>
      </c>
    </row>
    <row r="1995" spans="1:7" x14ac:dyDescent="0.15">
      <c r="A1995" s="218" t="s">
        <v>5535</v>
      </c>
      <c r="B1995" s="218" t="s">
        <v>5536</v>
      </c>
      <c r="C1995" s="218" t="s">
        <v>3534</v>
      </c>
      <c r="D1995" s="218" t="s">
        <v>5537</v>
      </c>
      <c r="E1995" s="218" t="s">
        <v>1839</v>
      </c>
      <c r="F1995" s="218" t="s">
        <v>1840</v>
      </c>
      <c r="G1995" s="218" t="s">
        <v>1841</v>
      </c>
    </row>
    <row r="1996" spans="1:7" x14ac:dyDescent="0.15">
      <c r="A1996" s="218" t="s">
        <v>5538</v>
      </c>
      <c r="B1996" s="218" t="s">
        <v>5539</v>
      </c>
      <c r="C1996" s="218" t="s">
        <v>3534</v>
      </c>
      <c r="D1996" s="218" t="s">
        <v>5540</v>
      </c>
      <c r="E1996" s="218" t="s">
        <v>1839</v>
      </c>
      <c r="F1996" s="218" t="s">
        <v>1840</v>
      </c>
      <c r="G1996" s="218" t="s">
        <v>1841</v>
      </c>
    </row>
    <row r="1997" spans="1:7" x14ac:dyDescent="0.15">
      <c r="A1997" s="218" t="s">
        <v>10674</v>
      </c>
      <c r="B1997" s="218" t="s">
        <v>10675</v>
      </c>
      <c r="C1997" s="218" t="s">
        <v>3534</v>
      </c>
      <c r="D1997" s="218" t="s">
        <v>10676</v>
      </c>
      <c r="E1997" s="218" t="s">
        <v>1839</v>
      </c>
      <c r="F1997" s="218" t="s">
        <v>1840</v>
      </c>
      <c r="G1997" s="218" t="s">
        <v>1841</v>
      </c>
    </row>
    <row r="1998" spans="1:7" x14ac:dyDescent="0.15">
      <c r="A1998" s="218" t="s">
        <v>5541</v>
      </c>
      <c r="B1998" s="218" t="s">
        <v>5542</v>
      </c>
      <c r="C1998" s="218" t="s">
        <v>3534</v>
      </c>
      <c r="D1998" s="218" t="s">
        <v>5543</v>
      </c>
      <c r="E1998" s="218" t="s">
        <v>1839</v>
      </c>
      <c r="F1998" s="218" t="s">
        <v>1840</v>
      </c>
      <c r="G1998" s="218" t="s">
        <v>1841</v>
      </c>
    </row>
    <row r="1999" spans="1:7" x14ac:dyDescent="0.15">
      <c r="A1999" s="218" t="s">
        <v>10677</v>
      </c>
      <c r="B1999" s="218" t="s">
        <v>10678</v>
      </c>
      <c r="C1999" s="218" t="s">
        <v>3534</v>
      </c>
      <c r="D1999" s="218" t="s">
        <v>10679</v>
      </c>
      <c r="E1999" s="218" t="s">
        <v>1839</v>
      </c>
      <c r="F1999" s="218" t="s">
        <v>1840</v>
      </c>
      <c r="G1999" s="218" t="s">
        <v>1841</v>
      </c>
    </row>
    <row r="2000" spans="1:7" x14ac:dyDescent="0.15">
      <c r="A2000" s="218" t="s">
        <v>5547</v>
      </c>
      <c r="B2000" s="218" t="s">
        <v>5548</v>
      </c>
      <c r="C2000" s="218" t="s">
        <v>3534</v>
      </c>
      <c r="D2000" s="218" t="s">
        <v>5549</v>
      </c>
      <c r="E2000" s="218" t="s">
        <v>1839</v>
      </c>
      <c r="F2000" s="218" t="s">
        <v>1840</v>
      </c>
      <c r="G2000" s="218" t="s">
        <v>1841</v>
      </c>
    </row>
    <row r="2001" spans="1:7" x14ac:dyDescent="0.15">
      <c r="A2001" s="218" t="s">
        <v>11711</v>
      </c>
      <c r="B2001" s="218" t="s">
        <v>11712</v>
      </c>
      <c r="C2001" s="218" t="s">
        <v>3534</v>
      </c>
      <c r="D2001" s="218" t="s">
        <v>11713</v>
      </c>
      <c r="E2001" s="218" t="s">
        <v>1839</v>
      </c>
      <c r="F2001" s="218" t="s">
        <v>1840</v>
      </c>
      <c r="G2001" s="218" t="s">
        <v>1841</v>
      </c>
    </row>
    <row r="2002" spans="1:7" x14ac:dyDescent="0.15">
      <c r="A2002" s="218" t="s">
        <v>5550</v>
      </c>
      <c r="B2002" s="218" t="s">
        <v>5551</v>
      </c>
      <c r="C2002" s="218" t="s">
        <v>3534</v>
      </c>
      <c r="D2002" s="218" t="s">
        <v>5552</v>
      </c>
      <c r="E2002" s="218" t="s">
        <v>1839</v>
      </c>
      <c r="F2002" s="218" t="s">
        <v>1840</v>
      </c>
      <c r="G2002" s="218" t="s">
        <v>1841</v>
      </c>
    </row>
    <row r="2003" spans="1:7" x14ac:dyDescent="0.15">
      <c r="A2003" s="218" t="s">
        <v>5553</v>
      </c>
      <c r="B2003" s="218" t="s">
        <v>5554</v>
      </c>
      <c r="C2003" s="218" t="s">
        <v>3534</v>
      </c>
      <c r="D2003" s="218" t="s">
        <v>5555</v>
      </c>
      <c r="E2003" s="218" t="s">
        <v>1839</v>
      </c>
      <c r="F2003" s="218" t="s">
        <v>1840</v>
      </c>
      <c r="G2003" s="218" t="s">
        <v>1841</v>
      </c>
    </row>
    <row r="2004" spans="1:7" x14ac:dyDescent="0.15">
      <c r="A2004" s="218" t="s">
        <v>10680</v>
      </c>
      <c r="B2004" s="218" t="s">
        <v>969</v>
      </c>
      <c r="C2004" s="218" t="s">
        <v>3534</v>
      </c>
      <c r="D2004" s="218" t="s">
        <v>970</v>
      </c>
      <c r="E2004" s="218" t="s">
        <v>1839</v>
      </c>
      <c r="F2004" s="218" t="s">
        <v>1840</v>
      </c>
      <c r="G2004" s="218" t="s">
        <v>1841</v>
      </c>
    </row>
    <row r="2005" spans="1:7" x14ac:dyDescent="0.15">
      <c r="A2005" s="218" t="s">
        <v>10681</v>
      </c>
      <c r="B2005" s="218" t="s">
        <v>10682</v>
      </c>
      <c r="C2005" s="218" t="s">
        <v>3534</v>
      </c>
      <c r="D2005" s="218" t="s">
        <v>10683</v>
      </c>
      <c r="E2005" s="218" t="s">
        <v>1839</v>
      </c>
      <c r="F2005" s="218" t="s">
        <v>1840</v>
      </c>
      <c r="G2005" s="218" t="s">
        <v>1841</v>
      </c>
    </row>
    <row r="2006" spans="1:7" x14ac:dyDescent="0.15">
      <c r="A2006" s="218" t="s">
        <v>10684</v>
      </c>
      <c r="B2006" s="218" t="s">
        <v>10685</v>
      </c>
      <c r="C2006" s="218" t="s">
        <v>3534</v>
      </c>
      <c r="D2006" s="218" t="s">
        <v>10686</v>
      </c>
      <c r="E2006" s="218" t="s">
        <v>1839</v>
      </c>
      <c r="F2006" s="218" t="s">
        <v>1840</v>
      </c>
      <c r="G2006" s="218" t="s">
        <v>1841</v>
      </c>
    </row>
    <row r="2007" spans="1:7" x14ac:dyDescent="0.15">
      <c r="A2007" s="218" t="s">
        <v>10687</v>
      </c>
      <c r="B2007" s="218" t="s">
        <v>1168</v>
      </c>
      <c r="C2007" s="218" t="s">
        <v>3534</v>
      </c>
      <c r="D2007" s="218" t="s">
        <v>1169</v>
      </c>
      <c r="E2007" s="218" t="s">
        <v>1839</v>
      </c>
      <c r="F2007" s="218" t="s">
        <v>1840</v>
      </c>
      <c r="G2007" s="218" t="s">
        <v>1841</v>
      </c>
    </row>
    <row r="2008" spans="1:7" x14ac:dyDescent="0.15">
      <c r="A2008" s="218" t="s">
        <v>5556</v>
      </c>
      <c r="B2008" s="218" t="s">
        <v>5557</v>
      </c>
      <c r="C2008" s="218" t="s">
        <v>3534</v>
      </c>
      <c r="D2008" s="218" t="s">
        <v>5558</v>
      </c>
      <c r="E2008" s="218" t="s">
        <v>1839</v>
      </c>
      <c r="F2008" s="218" t="s">
        <v>1840</v>
      </c>
      <c r="G2008" s="218" t="s">
        <v>1841</v>
      </c>
    </row>
    <row r="2009" spans="1:7" x14ac:dyDescent="0.15">
      <c r="A2009" s="218" t="s">
        <v>5559</v>
      </c>
      <c r="B2009" s="218" t="s">
        <v>5560</v>
      </c>
      <c r="C2009" s="218" t="s">
        <v>3534</v>
      </c>
      <c r="D2009" s="218" t="s">
        <v>5561</v>
      </c>
      <c r="E2009" s="218" t="s">
        <v>1839</v>
      </c>
      <c r="F2009" s="218" t="s">
        <v>1840</v>
      </c>
      <c r="G2009" s="218" t="s">
        <v>1841</v>
      </c>
    </row>
    <row r="2010" spans="1:7" x14ac:dyDescent="0.15">
      <c r="A2010" s="218" t="s">
        <v>5562</v>
      </c>
      <c r="B2010" s="218" t="s">
        <v>5563</v>
      </c>
      <c r="C2010" s="218" t="s">
        <v>3534</v>
      </c>
      <c r="D2010" s="218" t="s">
        <v>5564</v>
      </c>
      <c r="E2010" s="218" t="s">
        <v>1839</v>
      </c>
      <c r="F2010" s="218" t="s">
        <v>1840</v>
      </c>
      <c r="G2010" s="218" t="s">
        <v>1841</v>
      </c>
    </row>
    <row r="2011" spans="1:7" x14ac:dyDescent="0.15">
      <c r="A2011" s="218" t="s">
        <v>10688</v>
      </c>
      <c r="B2011" s="218" t="s">
        <v>10689</v>
      </c>
      <c r="C2011" s="218" t="s">
        <v>3534</v>
      </c>
      <c r="D2011" s="218" t="s">
        <v>10690</v>
      </c>
      <c r="E2011" s="218" t="s">
        <v>1839</v>
      </c>
      <c r="F2011" s="218" t="s">
        <v>1840</v>
      </c>
      <c r="G2011" s="218" t="s">
        <v>1841</v>
      </c>
    </row>
    <row r="2012" spans="1:7" x14ac:dyDescent="0.15">
      <c r="A2012" s="218" t="s">
        <v>5565</v>
      </c>
      <c r="B2012" s="218" t="s">
        <v>5566</v>
      </c>
      <c r="C2012" s="218" t="s">
        <v>3534</v>
      </c>
      <c r="D2012" s="218" t="s">
        <v>5567</v>
      </c>
      <c r="E2012" s="218" t="s">
        <v>1839</v>
      </c>
      <c r="F2012" s="218" t="s">
        <v>1840</v>
      </c>
      <c r="G2012" s="218" t="s">
        <v>1841</v>
      </c>
    </row>
    <row r="2013" spans="1:7" x14ac:dyDescent="0.15">
      <c r="A2013" s="218" t="s">
        <v>5568</v>
      </c>
      <c r="B2013" s="218" t="s">
        <v>5569</v>
      </c>
      <c r="C2013" s="218" t="s">
        <v>3534</v>
      </c>
      <c r="D2013" s="218" t="s">
        <v>5570</v>
      </c>
      <c r="E2013" s="218" t="s">
        <v>1839</v>
      </c>
      <c r="F2013" s="218" t="s">
        <v>1840</v>
      </c>
      <c r="G2013" s="218" t="s">
        <v>1841</v>
      </c>
    </row>
    <row r="2014" spans="1:7" x14ac:dyDescent="0.15">
      <c r="A2014" s="218" t="s">
        <v>10691</v>
      </c>
      <c r="B2014" s="218" t="s">
        <v>10692</v>
      </c>
      <c r="C2014" s="218" t="s">
        <v>3534</v>
      </c>
      <c r="D2014" s="218" t="s">
        <v>10693</v>
      </c>
      <c r="E2014" s="218" t="s">
        <v>1839</v>
      </c>
      <c r="F2014" s="218" t="s">
        <v>1840</v>
      </c>
      <c r="G2014" s="218" t="s">
        <v>1841</v>
      </c>
    </row>
    <row r="2015" spans="1:7" x14ac:dyDescent="0.15">
      <c r="A2015" s="218" t="s">
        <v>10694</v>
      </c>
      <c r="B2015" s="218" t="s">
        <v>10695</v>
      </c>
      <c r="C2015" s="218" t="s">
        <v>3534</v>
      </c>
      <c r="D2015" s="218" t="s">
        <v>10696</v>
      </c>
      <c r="E2015" s="218" t="s">
        <v>1839</v>
      </c>
      <c r="F2015" s="218" t="s">
        <v>1840</v>
      </c>
      <c r="G2015" s="218" t="s">
        <v>1841</v>
      </c>
    </row>
    <row r="2016" spans="1:7" x14ac:dyDescent="0.15">
      <c r="A2016" s="218" t="s">
        <v>10697</v>
      </c>
      <c r="B2016" s="218" t="s">
        <v>714</v>
      </c>
      <c r="C2016" s="218" t="s">
        <v>3534</v>
      </c>
      <c r="D2016" s="218" t="s">
        <v>715</v>
      </c>
      <c r="E2016" s="218" t="s">
        <v>1839</v>
      </c>
      <c r="F2016" s="218" t="s">
        <v>1840</v>
      </c>
      <c r="G2016" s="218" t="s">
        <v>1841</v>
      </c>
    </row>
    <row r="2017" spans="1:7" x14ac:dyDescent="0.15">
      <c r="A2017" s="218" t="s">
        <v>10698</v>
      </c>
      <c r="B2017" s="218" t="s">
        <v>733</v>
      </c>
      <c r="C2017" s="218" t="s">
        <v>3534</v>
      </c>
      <c r="D2017" s="218" t="s">
        <v>734</v>
      </c>
      <c r="E2017" s="218" t="s">
        <v>1839</v>
      </c>
      <c r="F2017" s="218" t="s">
        <v>1840</v>
      </c>
      <c r="G2017" s="218" t="s">
        <v>1841</v>
      </c>
    </row>
    <row r="2018" spans="1:7" x14ac:dyDescent="0.15">
      <c r="A2018" s="218" t="s">
        <v>10699</v>
      </c>
      <c r="B2018" s="218" t="s">
        <v>899</v>
      </c>
      <c r="C2018" s="218" t="s">
        <v>3534</v>
      </c>
      <c r="D2018" s="218" t="s">
        <v>900</v>
      </c>
      <c r="E2018" s="218" t="s">
        <v>1839</v>
      </c>
      <c r="F2018" s="218" t="s">
        <v>1840</v>
      </c>
      <c r="G2018" s="218" t="s">
        <v>1841</v>
      </c>
    </row>
    <row r="2019" spans="1:7" x14ac:dyDescent="0.15">
      <c r="A2019" s="218" t="s">
        <v>5571</v>
      </c>
      <c r="B2019" s="218" t="s">
        <v>5572</v>
      </c>
      <c r="C2019" s="218" t="s">
        <v>3534</v>
      </c>
      <c r="D2019" s="218" t="s">
        <v>5573</v>
      </c>
      <c r="E2019" s="218" t="s">
        <v>1839</v>
      </c>
      <c r="F2019" s="218" t="s">
        <v>1840</v>
      </c>
      <c r="G2019" s="218" t="s">
        <v>1841</v>
      </c>
    </row>
    <row r="2020" spans="1:7" x14ac:dyDescent="0.15">
      <c r="A2020" s="218" t="s">
        <v>10700</v>
      </c>
      <c r="B2020" s="218" t="s">
        <v>10701</v>
      </c>
      <c r="C2020" s="218" t="s">
        <v>3534</v>
      </c>
      <c r="D2020" s="218" t="s">
        <v>10702</v>
      </c>
      <c r="E2020" s="218" t="s">
        <v>1839</v>
      </c>
      <c r="F2020" s="218" t="s">
        <v>1840</v>
      </c>
      <c r="G2020" s="218" t="s">
        <v>1841</v>
      </c>
    </row>
    <row r="2021" spans="1:7" x14ac:dyDescent="0.15">
      <c r="A2021" s="218" t="s">
        <v>5574</v>
      </c>
      <c r="B2021" s="218" t="s">
        <v>5575</v>
      </c>
      <c r="C2021" s="218" t="s">
        <v>3534</v>
      </c>
      <c r="D2021" s="218" t="s">
        <v>5576</v>
      </c>
      <c r="E2021" s="218" t="s">
        <v>1839</v>
      </c>
      <c r="F2021" s="218" t="s">
        <v>1840</v>
      </c>
      <c r="G2021" s="218" t="s">
        <v>1841</v>
      </c>
    </row>
    <row r="2022" spans="1:7" x14ac:dyDescent="0.15">
      <c r="A2022" s="218" t="s">
        <v>11714</v>
      </c>
      <c r="B2022" s="218" t="s">
        <v>11715</v>
      </c>
      <c r="C2022" s="218" t="s">
        <v>3534</v>
      </c>
      <c r="D2022" s="218" t="s">
        <v>11716</v>
      </c>
      <c r="E2022" s="218" t="s">
        <v>1839</v>
      </c>
      <c r="F2022" s="218" t="s">
        <v>1840</v>
      </c>
      <c r="G2022" s="218" t="s">
        <v>1841</v>
      </c>
    </row>
    <row r="2023" spans="1:7" x14ac:dyDescent="0.15">
      <c r="A2023" s="218" t="s">
        <v>5577</v>
      </c>
      <c r="B2023" s="218" t="s">
        <v>5578</v>
      </c>
      <c r="C2023" s="218" t="s">
        <v>3534</v>
      </c>
      <c r="D2023" s="218" t="s">
        <v>5579</v>
      </c>
      <c r="E2023" s="218" t="s">
        <v>1839</v>
      </c>
      <c r="F2023" s="218" t="s">
        <v>1840</v>
      </c>
      <c r="G2023" s="218" t="s">
        <v>1841</v>
      </c>
    </row>
    <row r="2024" spans="1:7" x14ac:dyDescent="0.15">
      <c r="A2024" s="218" t="s">
        <v>10703</v>
      </c>
      <c r="B2024" s="218" t="s">
        <v>10704</v>
      </c>
      <c r="C2024" s="218" t="s">
        <v>3534</v>
      </c>
      <c r="D2024" s="218" t="s">
        <v>10705</v>
      </c>
      <c r="E2024" s="218" t="s">
        <v>1839</v>
      </c>
      <c r="F2024" s="218" t="s">
        <v>1840</v>
      </c>
      <c r="G2024" s="218" t="s">
        <v>1841</v>
      </c>
    </row>
    <row r="2025" spans="1:7" x14ac:dyDescent="0.15">
      <c r="A2025" s="218" t="s">
        <v>5580</v>
      </c>
      <c r="B2025" s="218" t="s">
        <v>5581</v>
      </c>
      <c r="C2025" s="218" t="s">
        <v>3534</v>
      </c>
      <c r="D2025" s="218" t="s">
        <v>5582</v>
      </c>
      <c r="E2025" s="218" t="s">
        <v>1839</v>
      </c>
      <c r="F2025" s="218" t="s">
        <v>1840</v>
      </c>
      <c r="G2025" s="218" t="s">
        <v>1841</v>
      </c>
    </row>
    <row r="2026" spans="1:7" x14ac:dyDescent="0.15">
      <c r="A2026" s="218" t="s">
        <v>10706</v>
      </c>
      <c r="B2026" s="218" t="s">
        <v>801</v>
      </c>
      <c r="C2026" s="218" t="s">
        <v>3534</v>
      </c>
      <c r="D2026" s="218" t="s">
        <v>802</v>
      </c>
      <c r="E2026" s="218" t="s">
        <v>1839</v>
      </c>
      <c r="F2026" s="218" t="s">
        <v>1840</v>
      </c>
      <c r="G2026" s="218" t="s">
        <v>1841</v>
      </c>
    </row>
    <row r="2027" spans="1:7" x14ac:dyDescent="0.15">
      <c r="A2027" s="218" t="s">
        <v>10707</v>
      </c>
      <c r="B2027" s="218" t="s">
        <v>10708</v>
      </c>
      <c r="C2027" s="218" t="s">
        <v>3534</v>
      </c>
      <c r="D2027" s="218" t="s">
        <v>5583</v>
      </c>
      <c r="E2027" s="218" t="s">
        <v>1839</v>
      </c>
      <c r="F2027" s="218" t="s">
        <v>1840</v>
      </c>
      <c r="G2027" s="218" t="s">
        <v>1841</v>
      </c>
    </row>
    <row r="2028" spans="1:7" x14ac:dyDescent="0.15">
      <c r="A2028" s="218" t="s">
        <v>5584</v>
      </c>
      <c r="B2028" s="218" t="s">
        <v>5585</v>
      </c>
      <c r="C2028" s="218" t="s">
        <v>3534</v>
      </c>
      <c r="D2028" s="218" t="s">
        <v>5586</v>
      </c>
      <c r="E2028" s="218" t="s">
        <v>1839</v>
      </c>
      <c r="F2028" s="218" t="s">
        <v>1840</v>
      </c>
      <c r="G2028" s="218" t="s">
        <v>1841</v>
      </c>
    </row>
    <row r="2029" spans="1:7" x14ac:dyDescent="0.15">
      <c r="A2029" s="218" t="s">
        <v>11717</v>
      </c>
      <c r="B2029" s="218" t="s">
        <v>11718</v>
      </c>
      <c r="C2029" s="218" t="s">
        <v>3534</v>
      </c>
      <c r="D2029" s="218" t="s">
        <v>11719</v>
      </c>
      <c r="E2029" s="218" t="s">
        <v>1839</v>
      </c>
      <c r="F2029" s="218" t="s">
        <v>1840</v>
      </c>
      <c r="G2029" s="218" t="s">
        <v>1841</v>
      </c>
    </row>
    <row r="2030" spans="1:7" x14ac:dyDescent="0.15">
      <c r="A2030" s="218" t="s">
        <v>5587</v>
      </c>
      <c r="B2030" s="218" t="s">
        <v>5588</v>
      </c>
      <c r="C2030" s="218" t="s">
        <v>3534</v>
      </c>
      <c r="D2030" s="218" t="s">
        <v>5589</v>
      </c>
      <c r="E2030" s="218" t="s">
        <v>1839</v>
      </c>
      <c r="F2030" s="218" t="s">
        <v>1840</v>
      </c>
      <c r="G2030" s="218" t="s">
        <v>1841</v>
      </c>
    </row>
    <row r="2031" spans="1:7" x14ac:dyDescent="0.15">
      <c r="A2031" s="218" t="s">
        <v>11720</v>
      </c>
      <c r="B2031" s="218" t="s">
        <v>11721</v>
      </c>
      <c r="C2031" s="218" t="s">
        <v>3534</v>
      </c>
      <c r="D2031" s="218" t="s">
        <v>11722</v>
      </c>
      <c r="E2031" s="218" t="s">
        <v>1839</v>
      </c>
      <c r="F2031" s="218" t="s">
        <v>1840</v>
      </c>
      <c r="G2031" s="218" t="s">
        <v>1841</v>
      </c>
    </row>
    <row r="2032" spans="1:7" x14ac:dyDescent="0.15">
      <c r="A2032" s="218" t="s">
        <v>10709</v>
      </c>
      <c r="B2032" s="218" t="s">
        <v>10710</v>
      </c>
      <c r="C2032" s="218" t="s">
        <v>3534</v>
      </c>
      <c r="D2032" s="218" t="s">
        <v>10711</v>
      </c>
      <c r="E2032" s="218" t="s">
        <v>1839</v>
      </c>
      <c r="F2032" s="218" t="s">
        <v>1840</v>
      </c>
      <c r="G2032" s="218" t="s">
        <v>1841</v>
      </c>
    </row>
    <row r="2033" spans="1:7" x14ac:dyDescent="0.15">
      <c r="A2033" s="218" t="s">
        <v>5590</v>
      </c>
      <c r="B2033" s="218" t="s">
        <v>5591</v>
      </c>
      <c r="C2033" s="218" t="s">
        <v>3534</v>
      </c>
      <c r="D2033" s="218" t="s">
        <v>5592</v>
      </c>
      <c r="E2033" s="218" t="s">
        <v>1839</v>
      </c>
      <c r="F2033" s="218" t="s">
        <v>1840</v>
      </c>
      <c r="G2033" s="218" t="s">
        <v>1841</v>
      </c>
    </row>
    <row r="2034" spans="1:7" x14ac:dyDescent="0.15">
      <c r="A2034" s="218" t="s">
        <v>5593</v>
      </c>
      <c r="B2034" s="218" t="s">
        <v>5594</v>
      </c>
      <c r="C2034" s="218" t="s">
        <v>3534</v>
      </c>
      <c r="D2034" s="218" t="s">
        <v>5595</v>
      </c>
      <c r="E2034" s="218" t="s">
        <v>1839</v>
      </c>
      <c r="F2034" s="218" t="s">
        <v>1840</v>
      </c>
      <c r="G2034" s="218" t="s">
        <v>1841</v>
      </c>
    </row>
    <row r="2035" spans="1:7" x14ac:dyDescent="0.15">
      <c r="A2035" s="218" t="s">
        <v>5596</v>
      </c>
      <c r="B2035" s="218" t="s">
        <v>5597</v>
      </c>
      <c r="C2035" s="218" t="s">
        <v>3534</v>
      </c>
      <c r="D2035" s="218" t="s">
        <v>5598</v>
      </c>
      <c r="E2035" s="218" t="s">
        <v>1839</v>
      </c>
      <c r="F2035" s="218" t="s">
        <v>1840</v>
      </c>
      <c r="G2035" s="218" t="s">
        <v>1841</v>
      </c>
    </row>
    <row r="2036" spans="1:7" x14ac:dyDescent="0.15">
      <c r="A2036" s="218" t="s">
        <v>10712</v>
      </c>
      <c r="B2036" s="218" t="s">
        <v>10713</v>
      </c>
      <c r="C2036" s="218" t="s">
        <v>3534</v>
      </c>
      <c r="D2036" s="218" t="s">
        <v>10714</v>
      </c>
      <c r="E2036" s="218" t="s">
        <v>1839</v>
      </c>
      <c r="F2036" s="218" t="s">
        <v>1840</v>
      </c>
      <c r="G2036" s="218" t="s">
        <v>1841</v>
      </c>
    </row>
    <row r="2037" spans="1:7" x14ac:dyDescent="0.15">
      <c r="A2037" s="218" t="s">
        <v>10715</v>
      </c>
      <c r="B2037" s="218" t="s">
        <v>10716</v>
      </c>
      <c r="C2037" s="218" t="s">
        <v>3534</v>
      </c>
      <c r="D2037" s="218" t="s">
        <v>10717</v>
      </c>
      <c r="E2037" s="218" t="s">
        <v>1839</v>
      </c>
      <c r="F2037" s="218" t="s">
        <v>1840</v>
      </c>
      <c r="G2037" s="218" t="s">
        <v>1841</v>
      </c>
    </row>
    <row r="2038" spans="1:7" x14ac:dyDescent="0.15">
      <c r="A2038" s="218" t="s">
        <v>10718</v>
      </c>
      <c r="B2038" s="218" t="s">
        <v>10719</v>
      </c>
      <c r="C2038" s="218" t="s">
        <v>3534</v>
      </c>
      <c r="D2038" s="218" t="s">
        <v>10720</v>
      </c>
      <c r="E2038" s="218" t="s">
        <v>1935</v>
      </c>
      <c r="F2038" s="218" t="s">
        <v>1840</v>
      </c>
      <c r="G2038" s="218" t="s">
        <v>1841</v>
      </c>
    </row>
    <row r="2039" spans="1:7" x14ac:dyDescent="0.15">
      <c r="A2039" s="218" t="s">
        <v>5599</v>
      </c>
      <c r="B2039" s="218" t="s">
        <v>5600</v>
      </c>
      <c r="C2039" s="218" t="s">
        <v>3534</v>
      </c>
      <c r="D2039" s="218" t="s">
        <v>5601</v>
      </c>
      <c r="E2039" s="218" t="s">
        <v>1839</v>
      </c>
      <c r="F2039" s="218" t="s">
        <v>1840</v>
      </c>
      <c r="G2039" s="218" t="s">
        <v>1841</v>
      </c>
    </row>
    <row r="2040" spans="1:7" x14ac:dyDescent="0.15">
      <c r="A2040" s="218" t="s">
        <v>5602</v>
      </c>
      <c r="B2040" s="218" t="s">
        <v>5603</v>
      </c>
      <c r="C2040" s="218" t="s">
        <v>3534</v>
      </c>
      <c r="D2040" s="218" t="s">
        <v>5604</v>
      </c>
      <c r="E2040" s="218" t="s">
        <v>1839</v>
      </c>
      <c r="F2040" s="218" t="s">
        <v>1840</v>
      </c>
      <c r="G2040" s="218" t="s">
        <v>1841</v>
      </c>
    </row>
    <row r="2041" spans="1:7" x14ac:dyDescent="0.15">
      <c r="A2041" s="218" t="s">
        <v>10724</v>
      </c>
      <c r="B2041" s="218" t="s">
        <v>10725</v>
      </c>
      <c r="C2041" s="218" t="s">
        <v>3534</v>
      </c>
      <c r="D2041" s="218" t="s">
        <v>10726</v>
      </c>
      <c r="E2041" s="218" t="s">
        <v>1839</v>
      </c>
      <c r="F2041" s="218" t="s">
        <v>1840</v>
      </c>
      <c r="G2041" s="218" t="s">
        <v>1841</v>
      </c>
    </row>
    <row r="2042" spans="1:7" x14ac:dyDescent="0.15">
      <c r="A2042" s="218" t="s">
        <v>10727</v>
      </c>
      <c r="B2042" s="218" t="s">
        <v>1388</v>
      </c>
      <c r="C2042" s="218" t="s">
        <v>3534</v>
      </c>
      <c r="D2042" s="218" t="s">
        <v>1389</v>
      </c>
      <c r="E2042" s="218" t="s">
        <v>1839</v>
      </c>
      <c r="F2042" s="218" t="s">
        <v>1840</v>
      </c>
      <c r="G2042" s="218" t="s">
        <v>1841</v>
      </c>
    </row>
    <row r="2043" spans="1:7" x14ac:dyDescent="0.15">
      <c r="A2043" s="218" t="s">
        <v>5605</v>
      </c>
      <c r="B2043" s="218" t="s">
        <v>5606</v>
      </c>
      <c r="C2043" s="218" t="s">
        <v>3534</v>
      </c>
      <c r="D2043" s="218" t="s">
        <v>5607</v>
      </c>
      <c r="E2043" s="218" t="s">
        <v>1839</v>
      </c>
      <c r="F2043" s="218" t="s">
        <v>1840</v>
      </c>
      <c r="G2043" s="218" t="s">
        <v>1841</v>
      </c>
    </row>
    <row r="2044" spans="1:7" x14ac:dyDescent="0.15">
      <c r="A2044" s="218" t="s">
        <v>5608</v>
      </c>
      <c r="B2044" s="218" t="s">
        <v>5609</v>
      </c>
      <c r="C2044" s="218" t="s">
        <v>3534</v>
      </c>
      <c r="D2044" s="218" t="s">
        <v>5610</v>
      </c>
      <c r="E2044" s="218" t="s">
        <v>1839</v>
      </c>
      <c r="F2044" s="218" t="s">
        <v>1840</v>
      </c>
      <c r="G2044" s="218" t="s">
        <v>1841</v>
      </c>
    </row>
    <row r="2045" spans="1:7" x14ac:dyDescent="0.15">
      <c r="A2045" s="218" t="s">
        <v>5611</v>
      </c>
      <c r="B2045" s="218" t="s">
        <v>5612</v>
      </c>
      <c r="C2045" s="218" t="s">
        <v>3534</v>
      </c>
      <c r="D2045" s="218" t="s">
        <v>5613</v>
      </c>
      <c r="E2045" s="218" t="s">
        <v>1839</v>
      </c>
      <c r="F2045" s="218" t="s">
        <v>1840</v>
      </c>
      <c r="G2045" s="218" t="s">
        <v>1841</v>
      </c>
    </row>
    <row r="2046" spans="1:7" x14ac:dyDescent="0.15">
      <c r="A2046" s="218" t="s">
        <v>5614</v>
      </c>
      <c r="B2046" s="218" t="s">
        <v>5615</v>
      </c>
      <c r="C2046" s="218" t="s">
        <v>3534</v>
      </c>
      <c r="D2046" s="218" t="s">
        <v>5616</v>
      </c>
      <c r="E2046" s="218" t="s">
        <v>1839</v>
      </c>
      <c r="F2046" s="218" t="s">
        <v>1840</v>
      </c>
      <c r="G2046" s="218" t="s">
        <v>1841</v>
      </c>
    </row>
    <row r="2047" spans="1:7" x14ac:dyDescent="0.15">
      <c r="A2047" s="218" t="s">
        <v>10728</v>
      </c>
      <c r="B2047" s="218" t="s">
        <v>10729</v>
      </c>
      <c r="C2047" s="218" t="s">
        <v>3534</v>
      </c>
      <c r="D2047" s="218" t="s">
        <v>10730</v>
      </c>
      <c r="E2047" s="218" t="s">
        <v>1839</v>
      </c>
      <c r="F2047" s="218" t="s">
        <v>1840</v>
      </c>
      <c r="G2047" s="218" t="s">
        <v>1841</v>
      </c>
    </row>
    <row r="2048" spans="1:7" x14ac:dyDescent="0.15">
      <c r="A2048" s="218" t="s">
        <v>5617</v>
      </c>
      <c r="B2048" s="218" t="s">
        <v>5618</v>
      </c>
      <c r="C2048" s="218" t="s">
        <v>3534</v>
      </c>
      <c r="D2048" s="218" t="s">
        <v>5619</v>
      </c>
      <c r="E2048" s="218" t="s">
        <v>1839</v>
      </c>
      <c r="F2048" s="218" t="s">
        <v>1840</v>
      </c>
      <c r="G2048" s="218" t="s">
        <v>1841</v>
      </c>
    </row>
    <row r="2049" spans="1:7" x14ac:dyDescent="0.15">
      <c r="A2049" s="218" t="s">
        <v>10731</v>
      </c>
      <c r="B2049" s="218" t="s">
        <v>1082</v>
      </c>
      <c r="C2049" s="218" t="s">
        <v>3534</v>
      </c>
      <c r="D2049" s="218" t="s">
        <v>1083</v>
      </c>
      <c r="E2049" s="218" t="s">
        <v>1839</v>
      </c>
      <c r="F2049" s="218" t="s">
        <v>1840</v>
      </c>
      <c r="G2049" s="218" t="s">
        <v>1841</v>
      </c>
    </row>
    <row r="2050" spans="1:7" x14ac:dyDescent="0.15">
      <c r="A2050" s="218" t="s">
        <v>10732</v>
      </c>
      <c r="B2050" s="218" t="s">
        <v>10733</v>
      </c>
      <c r="C2050" s="218" t="s">
        <v>3534</v>
      </c>
      <c r="D2050" s="218" t="s">
        <v>10734</v>
      </c>
      <c r="E2050" s="218" t="s">
        <v>1839</v>
      </c>
      <c r="F2050" s="218" t="s">
        <v>1840</v>
      </c>
      <c r="G2050" s="218" t="s">
        <v>1841</v>
      </c>
    </row>
    <row r="2051" spans="1:7" x14ac:dyDescent="0.15">
      <c r="A2051" s="218" t="s">
        <v>10735</v>
      </c>
      <c r="B2051" s="218" t="s">
        <v>10736</v>
      </c>
      <c r="C2051" s="218" t="s">
        <v>3534</v>
      </c>
      <c r="D2051" s="218" t="s">
        <v>10737</v>
      </c>
      <c r="E2051" s="218" t="s">
        <v>1839</v>
      </c>
      <c r="F2051" s="218" t="s">
        <v>1840</v>
      </c>
      <c r="G2051" s="218" t="s">
        <v>1841</v>
      </c>
    </row>
    <row r="2052" spans="1:7" x14ac:dyDescent="0.15">
      <c r="A2052" s="218" t="s">
        <v>5620</v>
      </c>
      <c r="B2052" s="218" t="s">
        <v>5621</v>
      </c>
      <c r="C2052" s="218" t="s">
        <v>3534</v>
      </c>
      <c r="D2052" s="218" t="s">
        <v>5622</v>
      </c>
      <c r="E2052" s="218" t="s">
        <v>1839</v>
      </c>
      <c r="F2052" s="218" t="s">
        <v>1840</v>
      </c>
      <c r="G2052" s="218" t="s">
        <v>1841</v>
      </c>
    </row>
    <row r="2053" spans="1:7" x14ac:dyDescent="0.15">
      <c r="A2053" s="218" t="s">
        <v>5623</v>
      </c>
      <c r="B2053" s="218" t="s">
        <v>5624</v>
      </c>
      <c r="C2053" s="218" t="s">
        <v>3534</v>
      </c>
      <c r="D2053" s="218" t="s">
        <v>5625</v>
      </c>
      <c r="E2053" s="218" t="s">
        <v>1839</v>
      </c>
      <c r="F2053" s="218" t="s">
        <v>1840</v>
      </c>
      <c r="G2053" s="218" t="s">
        <v>1841</v>
      </c>
    </row>
    <row r="2054" spans="1:7" x14ac:dyDescent="0.15">
      <c r="A2054" s="218" t="s">
        <v>5626</v>
      </c>
      <c r="B2054" s="218" t="s">
        <v>5627</v>
      </c>
      <c r="C2054" s="218" t="s">
        <v>3534</v>
      </c>
      <c r="D2054" s="218" t="s">
        <v>5628</v>
      </c>
      <c r="E2054" s="218" t="s">
        <v>1839</v>
      </c>
      <c r="F2054" s="218" t="s">
        <v>1840</v>
      </c>
      <c r="G2054" s="218" t="s">
        <v>1841</v>
      </c>
    </row>
    <row r="2055" spans="1:7" x14ac:dyDescent="0.15">
      <c r="A2055" s="218" t="s">
        <v>10738</v>
      </c>
      <c r="B2055" s="218" t="s">
        <v>1773</v>
      </c>
      <c r="C2055" s="218" t="s">
        <v>3534</v>
      </c>
      <c r="D2055" s="218" t="s">
        <v>1774</v>
      </c>
      <c r="E2055" s="218" t="s">
        <v>1839</v>
      </c>
      <c r="F2055" s="218" t="s">
        <v>1840</v>
      </c>
      <c r="G2055" s="218" t="s">
        <v>1841</v>
      </c>
    </row>
    <row r="2056" spans="1:7" x14ac:dyDescent="0.15">
      <c r="A2056" s="218" t="s">
        <v>10739</v>
      </c>
      <c r="B2056" s="218" t="s">
        <v>10740</v>
      </c>
      <c r="C2056" s="218" t="s">
        <v>3534</v>
      </c>
      <c r="D2056" s="218" t="s">
        <v>10741</v>
      </c>
      <c r="E2056" s="218" t="s">
        <v>1839</v>
      </c>
      <c r="F2056" s="218" t="s">
        <v>1840</v>
      </c>
      <c r="G2056" s="218" t="s">
        <v>1841</v>
      </c>
    </row>
    <row r="2057" spans="1:7" x14ac:dyDescent="0.15">
      <c r="A2057" s="218" t="s">
        <v>5631</v>
      </c>
      <c r="B2057" s="218" t="s">
        <v>5632</v>
      </c>
      <c r="C2057" s="218" t="s">
        <v>3534</v>
      </c>
      <c r="D2057" s="218" t="s">
        <v>5633</v>
      </c>
      <c r="E2057" s="218" t="s">
        <v>1839</v>
      </c>
      <c r="F2057" s="218" t="s">
        <v>1840</v>
      </c>
      <c r="G2057" s="218" t="s">
        <v>1841</v>
      </c>
    </row>
    <row r="2058" spans="1:7" x14ac:dyDescent="0.15">
      <c r="A2058" s="218" t="s">
        <v>10742</v>
      </c>
      <c r="B2058" s="218" t="s">
        <v>10743</v>
      </c>
      <c r="C2058" s="218" t="s">
        <v>3534</v>
      </c>
      <c r="D2058" s="218" t="s">
        <v>10744</v>
      </c>
      <c r="E2058" s="218" t="s">
        <v>1839</v>
      </c>
      <c r="F2058" s="218" t="s">
        <v>1840</v>
      </c>
      <c r="G2058" s="218" t="s">
        <v>1841</v>
      </c>
    </row>
    <row r="2059" spans="1:7" x14ac:dyDescent="0.15">
      <c r="A2059" s="218" t="s">
        <v>5634</v>
      </c>
      <c r="B2059" s="218" t="s">
        <v>5635</v>
      </c>
      <c r="C2059" s="218" t="s">
        <v>3534</v>
      </c>
      <c r="D2059" s="218" t="s">
        <v>5636</v>
      </c>
      <c r="E2059" s="218" t="s">
        <v>1839</v>
      </c>
      <c r="F2059" s="218" t="s">
        <v>1840</v>
      </c>
      <c r="G2059" s="218" t="s">
        <v>1841</v>
      </c>
    </row>
    <row r="2060" spans="1:7" x14ac:dyDescent="0.15">
      <c r="A2060" s="218" t="s">
        <v>5637</v>
      </c>
      <c r="B2060" s="218" t="s">
        <v>5638</v>
      </c>
      <c r="C2060" s="218" t="s">
        <v>3534</v>
      </c>
      <c r="D2060" s="218" t="s">
        <v>5639</v>
      </c>
      <c r="E2060" s="218" t="s">
        <v>1839</v>
      </c>
      <c r="F2060" s="218" t="s">
        <v>1840</v>
      </c>
      <c r="G2060" s="218" t="s">
        <v>1841</v>
      </c>
    </row>
    <row r="2061" spans="1:7" x14ac:dyDescent="0.15">
      <c r="A2061" s="218" t="s">
        <v>5640</v>
      </c>
      <c r="B2061" s="218" t="s">
        <v>5641</v>
      </c>
      <c r="C2061" s="218" t="s">
        <v>3534</v>
      </c>
      <c r="D2061" s="218" t="s">
        <v>5642</v>
      </c>
      <c r="E2061" s="218" t="s">
        <v>1839</v>
      </c>
      <c r="F2061" s="218" t="s">
        <v>1840</v>
      </c>
      <c r="G2061" s="218" t="s">
        <v>1841</v>
      </c>
    </row>
    <row r="2062" spans="1:7" x14ac:dyDescent="0.15">
      <c r="A2062" s="218" t="s">
        <v>10745</v>
      </c>
      <c r="B2062" s="218" t="s">
        <v>10746</v>
      </c>
      <c r="C2062" s="218" t="s">
        <v>3534</v>
      </c>
      <c r="D2062" s="218" t="s">
        <v>10747</v>
      </c>
      <c r="E2062" s="218" t="s">
        <v>1839</v>
      </c>
      <c r="F2062" s="218" t="s">
        <v>1840</v>
      </c>
      <c r="G2062" s="218" t="s">
        <v>1841</v>
      </c>
    </row>
    <row r="2063" spans="1:7" x14ac:dyDescent="0.15">
      <c r="A2063" s="218" t="s">
        <v>5643</v>
      </c>
      <c r="B2063" s="218" t="s">
        <v>5644</v>
      </c>
      <c r="C2063" s="218" t="s">
        <v>3534</v>
      </c>
      <c r="D2063" s="218" t="s">
        <v>5645</v>
      </c>
      <c r="E2063" s="218" t="s">
        <v>1839</v>
      </c>
      <c r="F2063" s="218" t="s">
        <v>1840</v>
      </c>
      <c r="G2063" s="218" t="s">
        <v>1841</v>
      </c>
    </row>
    <row r="2064" spans="1:7" x14ac:dyDescent="0.15">
      <c r="A2064" s="218" t="s">
        <v>10748</v>
      </c>
      <c r="B2064" s="218" t="s">
        <v>766</v>
      </c>
      <c r="C2064" s="218" t="s">
        <v>3534</v>
      </c>
      <c r="D2064" s="218" t="s">
        <v>767</v>
      </c>
      <c r="E2064" s="218" t="s">
        <v>1839</v>
      </c>
      <c r="F2064" s="218" t="s">
        <v>1840</v>
      </c>
      <c r="G2064" s="218" t="s">
        <v>1841</v>
      </c>
    </row>
    <row r="2065" spans="1:7" x14ac:dyDescent="0.15">
      <c r="A2065" s="218" t="s">
        <v>10749</v>
      </c>
      <c r="B2065" s="218" t="s">
        <v>10750</v>
      </c>
      <c r="C2065" s="218" t="s">
        <v>3534</v>
      </c>
      <c r="D2065" s="218" t="s">
        <v>10751</v>
      </c>
      <c r="E2065" s="218" t="s">
        <v>1839</v>
      </c>
      <c r="F2065" s="218" t="s">
        <v>1840</v>
      </c>
      <c r="G2065" s="218" t="s">
        <v>1841</v>
      </c>
    </row>
    <row r="2066" spans="1:7" x14ac:dyDescent="0.15">
      <c r="A2066" s="218" t="s">
        <v>10752</v>
      </c>
      <c r="B2066" s="218" t="s">
        <v>10753</v>
      </c>
      <c r="C2066" s="218" t="s">
        <v>3534</v>
      </c>
      <c r="D2066" s="218" t="s">
        <v>10754</v>
      </c>
      <c r="E2066" s="218" t="s">
        <v>1839</v>
      </c>
      <c r="F2066" s="218" t="s">
        <v>1840</v>
      </c>
      <c r="G2066" s="218" t="s">
        <v>1841</v>
      </c>
    </row>
    <row r="2067" spans="1:7" x14ac:dyDescent="0.15">
      <c r="A2067" s="218" t="s">
        <v>10755</v>
      </c>
      <c r="B2067" s="218" t="s">
        <v>1749</v>
      </c>
      <c r="C2067" s="218" t="s">
        <v>3534</v>
      </c>
      <c r="D2067" s="218" t="s">
        <v>1750</v>
      </c>
      <c r="E2067" s="218" t="s">
        <v>1839</v>
      </c>
      <c r="F2067" s="218" t="s">
        <v>1840</v>
      </c>
      <c r="G2067" s="218" t="s">
        <v>1841</v>
      </c>
    </row>
    <row r="2068" spans="1:7" x14ac:dyDescent="0.15">
      <c r="A2068" s="218" t="s">
        <v>10756</v>
      </c>
      <c r="B2068" s="218" t="s">
        <v>10757</v>
      </c>
      <c r="C2068" s="218" t="s">
        <v>3534</v>
      </c>
      <c r="D2068" s="218" t="s">
        <v>10758</v>
      </c>
      <c r="E2068" s="218" t="s">
        <v>1839</v>
      </c>
      <c r="F2068" s="218" t="s">
        <v>1840</v>
      </c>
      <c r="G2068" s="218" t="s">
        <v>1841</v>
      </c>
    </row>
    <row r="2069" spans="1:7" x14ac:dyDescent="0.15">
      <c r="A2069" s="218" t="s">
        <v>5646</v>
      </c>
      <c r="B2069" s="218" t="s">
        <v>5647</v>
      </c>
      <c r="C2069" s="218" t="s">
        <v>3534</v>
      </c>
      <c r="D2069" s="218" t="s">
        <v>5648</v>
      </c>
      <c r="E2069" s="218" t="s">
        <v>1839</v>
      </c>
      <c r="F2069" s="218" t="s">
        <v>1840</v>
      </c>
      <c r="G2069" s="218" t="s">
        <v>1841</v>
      </c>
    </row>
    <row r="2070" spans="1:7" x14ac:dyDescent="0.15">
      <c r="A2070" s="218" t="s">
        <v>5649</v>
      </c>
      <c r="B2070" s="218" t="s">
        <v>5650</v>
      </c>
      <c r="C2070" s="218" t="s">
        <v>3534</v>
      </c>
      <c r="D2070" s="218" t="s">
        <v>5651</v>
      </c>
      <c r="E2070" s="218" t="s">
        <v>1935</v>
      </c>
      <c r="F2070" s="218" t="s">
        <v>1840</v>
      </c>
      <c r="G2070" s="218" t="s">
        <v>1841</v>
      </c>
    </row>
    <row r="2071" spans="1:7" x14ac:dyDescent="0.15">
      <c r="A2071" s="218" t="s">
        <v>11723</v>
      </c>
      <c r="B2071" s="218" t="s">
        <v>11724</v>
      </c>
      <c r="C2071" s="218" t="s">
        <v>3534</v>
      </c>
      <c r="D2071" s="218" t="s">
        <v>11725</v>
      </c>
      <c r="E2071" s="218" t="s">
        <v>1839</v>
      </c>
      <c r="F2071" s="218" t="s">
        <v>1840</v>
      </c>
      <c r="G2071" s="218" t="s">
        <v>1841</v>
      </c>
    </row>
    <row r="2072" spans="1:7" x14ac:dyDescent="0.15">
      <c r="A2072" s="218" t="s">
        <v>10759</v>
      </c>
      <c r="B2072" s="218" t="s">
        <v>10760</v>
      </c>
      <c r="C2072" s="218" t="s">
        <v>3534</v>
      </c>
      <c r="D2072" s="218" t="s">
        <v>10761</v>
      </c>
      <c r="E2072" s="218" t="s">
        <v>1839</v>
      </c>
      <c r="F2072" s="218" t="s">
        <v>1840</v>
      </c>
      <c r="G2072" s="218" t="s">
        <v>1841</v>
      </c>
    </row>
    <row r="2073" spans="1:7" x14ac:dyDescent="0.15">
      <c r="A2073" s="218" t="s">
        <v>5652</v>
      </c>
      <c r="B2073" s="218" t="s">
        <v>5653</v>
      </c>
      <c r="C2073" s="218" t="s">
        <v>3534</v>
      </c>
      <c r="D2073" s="218" t="s">
        <v>5654</v>
      </c>
      <c r="E2073" s="218" t="s">
        <v>1935</v>
      </c>
      <c r="F2073" s="218" t="s">
        <v>1840</v>
      </c>
      <c r="G2073" s="218" t="s">
        <v>1841</v>
      </c>
    </row>
    <row r="2074" spans="1:7" x14ac:dyDescent="0.15">
      <c r="A2074" s="218" t="s">
        <v>5655</v>
      </c>
      <c r="B2074" s="218" t="s">
        <v>5656</v>
      </c>
      <c r="C2074" s="218" t="s">
        <v>3534</v>
      </c>
      <c r="D2074" s="218" t="s">
        <v>5657</v>
      </c>
      <c r="E2074" s="218" t="s">
        <v>1839</v>
      </c>
      <c r="F2074" s="218" t="s">
        <v>1840</v>
      </c>
      <c r="G2074" s="218" t="s">
        <v>1841</v>
      </c>
    </row>
    <row r="2075" spans="1:7" x14ac:dyDescent="0.15">
      <c r="A2075" s="218" t="s">
        <v>5658</v>
      </c>
      <c r="B2075" s="218" t="s">
        <v>5659</v>
      </c>
      <c r="C2075" s="218" t="s">
        <v>3534</v>
      </c>
      <c r="D2075" s="218" t="s">
        <v>5660</v>
      </c>
      <c r="E2075" s="218" t="s">
        <v>1839</v>
      </c>
      <c r="F2075" s="218" t="s">
        <v>1840</v>
      </c>
      <c r="G2075" s="218" t="s">
        <v>1841</v>
      </c>
    </row>
    <row r="2076" spans="1:7" x14ac:dyDescent="0.15">
      <c r="A2076" s="218" t="s">
        <v>10762</v>
      </c>
      <c r="B2076" s="218" t="s">
        <v>10763</v>
      </c>
      <c r="C2076" s="218" t="s">
        <v>3534</v>
      </c>
      <c r="D2076" s="218" t="s">
        <v>10764</v>
      </c>
      <c r="E2076" s="218" t="s">
        <v>1839</v>
      </c>
      <c r="F2076" s="218" t="s">
        <v>1840</v>
      </c>
      <c r="G2076" s="218" t="s">
        <v>1841</v>
      </c>
    </row>
    <row r="2077" spans="1:7" x14ac:dyDescent="0.15">
      <c r="A2077" s="218" t="s">
        <v>11726</v>
      </c>
      <c r="B2077" s="218" t="s">
        <v>11727</v>
      </c>
      <c r="C2077" s="218" t="s">
        <v>3534</v>
      </c>
      <c r="D2077" s="218" t="s">
        <v>11728</v>
      </c>
      <c r="E2077" s="218" t="s">
        <v>1839</v>
      </c>
      <c r="F2077" s="218" t="s">
        <v>1840</v>
      </c>
      <c r="G2077" s="218" t="s">
        <v>1841</v>
      </c>
    </row>
    <row r="2078" spans="1:7" x14ac:dyDescent="0.15">
      <c r="A2078" s="218" t="s">
        <v>5661</v>
      </c>
      <c r="B2078" s="218" t="s">
        <v>5662</v>
      </c>
      <c r="C2078" s="218" t="s">
        <v>3534</v>
      </c>
      <c r="D2078" s="218" t="s">
        <v>5663</v>
      </c>
      <c r="E2078" s="218" t="s">
        <v>1839</v>
      </c>
      <c r="F2078" s="218" t="s">
        <v>1840</v>
      </c>
      <c r="G2078" s="218" t="s">
        <v>1841</v>
      </c>
    </row>
    <row r="2079" spans="1:7" x14ac:dyDescent="0.15">
      <c r="A2079" s="218" t="s">
        <v>10765</v>
      </c>
      <c r="B2079" s="218" t="s">
        <v>10766</v>
      </c>
      <c r="C2079" s="218" t="s">
        <v>3534</v>
      </c>
      <c r="D2079" s="218" t="s">
        <v>10767</v>
      </c>
      <c r="E2079" s="218" t="s">
        <v>1839</v>
      </c>
      <c r="F2079" s="218" t="s">
        <v>1840</v>
      </c>
      <c r="G2079" s="218" t="s">
        <v>1841</v>
      </c>
    </row>
    <row r="2080" spans="1:7" x14ac:dyDescent="0.15">
      <c r="A2080" s="218" t="s">
        <v>5664</v>
      </c>
      <c r="B2080" s="218" t="s">
        <v>5665</v>
      </c>
      <c r="C2080" s="218" t="s">
        <v>3534</v>
      </c>
      <c r="D2080" s="218" t="s">
        <v>5666</v>
      </c>
      <c r="E2080" s="218" t="s">
        <v>1839</v>
      </c>
      <c r="F2080" s="218" t="s">
        <v>1840</v>
      </c>
      <c r="G2080" s="218" t="s">
        <v>1841</v>
      </c>
    </row>
    <row r="2081" spans="1:7" x14ac:dyDescent="0.15">
      <c r="A2081" s="218" t="s">
        <v>5667</v>
      </c>
      <c r="B2081" s="218" t="s">
        <v>5668</v>
      </c>
      <c r="C2081" s="218" t="s">
        <v>3534</v>
      </c>
      <c r="D2081" s="218" t="s">
        <v>5669</v>
      </c>
      <c r="E2081" s="218" t="s">
        <v>1839</v>
      </c>
      <c r="F2081" s="218" t="s">
        <v>1840</v>
      </c>
      <c r="G2081" s="218" t="s">
        <v>1841</v>
      </c>
    </row>
    <row r="2082" spans="1:7" x14ac:dyDescent="0.15">
      <c r="A2082" s="218" t="s">
        <v>5670</v>
      </c>
      <c r="B2082" s="218" t="s">
        <v>5671</v>
      </c>
      <c r="C2082" s="218" t="s">
        <v>3534</v>
      </c>
      <c r="D2082" s="218" t="s">
        <v>5672</v>
      </c>
      <c r="E2082" s="218" t="s">
        <v>1839</v>
      </c>
      <c r="F2082" s="218" t="s">
        <v>1840</v>
      </c>
      <c r="G2082" s="218" t="s">
        <v>1841</v>
      </c>
    </row>
    <row r="2083" spans="1:7" x14ac:dyDescent="0.15">
      <c r="A2083" s="218" t="s">
        <v>5673</v>
      </c>
      <c r="B2083" s="218" t="s">
        <v>5674</v>
      </c>
      <c r="C2083" s="218" t="s">
        <v>3534</v>
      </c>
      <c r="D2083" s="218" t="s">
        <v>5675</v>
      </c>
      <c r="E2083" s="218" t="s">
        <v>1839</v>
      </c>
      <c r="F2083" s="218" t="s">
        <v>1840</v>
      </c>
      <c r="G2083" s="218" t="s">
        <v>1841</v>
      </c>
    </row>
    <row r="2084" spans="1:7" x14ac:dyDescent="0.15">
      <c r="A2084" s="218" t="s">
        <v>10768</v>
      </c>
      <c r="B2084" s="218" t="s">
        <v>1238</v>
      </c>
      <c r="C2084" s="218" t="s">
        <v>3534</v>
      </c>
      <c r="D2084" s="218" t="s">
        <v>1239</v>
      </c>
      <c r="E2084" s="218" t="s">
        <v>1839</v>
      </c>
      <c r="F2084" s="218" t="s">
        <v>1840</v>
      </c>
      <c r="G2084" s="218" t="s">
        <v>1841</v>
      </c>
    </row>
    <row r="2085" spans="1:7" x14ac:dyDescent="0.15">
      <c r="A2085" s="218" t="s">
        <v>10769</v>
      </c>
      <c r="B2085" s="218" t="s">
        <v>10770</v>
      </c>
      <c r="C2085" s="218" t="s">
        <v>3534</v>
      </c>
      <c r="D2085" s="218" t="s">
        <v>10771</v>
      </c>
      <c r="E2085" s="218" t="s">
        <v>1839</v>
      </c>
      <c r="F2085" s="218" t="s">
        <v>1840</v>
      </c>
      <c r="G2085" s="218" t="s">
        <v>1841</v>
      </c>
    </row>
    <row r="2086" spans="1:7" x14ac:dyDescent="0.15">
      <c r="A2086" s="218" t="s">
        <v>10772</v>
      </c>
      <c r="B2086" s="218" t="s">
        <v>1528</v>
      </c>
      <c r="C2086" s="218" t="s">
        <v>3534</v>
      </c>
      <c r="D2086" s="218" t="s">
        <v>1529</v>
      </c>
      <c r="E2086" s="218" t="s">
        <v>1839</v>
      </c>
      <c r="F2086" s="218" t="s">
        <v>1840</v>
      </c>
      <c r="G2086" s="218" t="s">
        <v>1841</v>
      </c>
    </row>
    <row r="2087" spans="1:7" x14ac:dyDescent="0.15">
      <c r="A2087" s="218" t="s">
        <v>10773</v>
      </c>
      <c r="B2087" s="218" t="s">
        <v>10774</v>
      </c>
      <c r="C2087" s="218" t="s">
        <v>3534</v>
      </c>
      <c r="D2087" s="218" t="s">
        <v>10775</v>
      </c>
      <c r="E2087" s="218" t="s">
        <v>1839</v>
      </c>
      <c r="F2087" s="218" t="s">
        <v>1840</v>
      </c>
      <c r="G2087" s="218" t="s">
        <v>1841</v>
      </c>
    </row>
    <row r="2088" spans="1:7" x14ac:dyDescent="0.15">
      <c r="A2088" s="218" t="s">
        <v>5676</v>
      </c>
      <c r="B2088" s="218" t="s">
        <v>5677</v>
      </c>
      <c r="C2088" s="218" t="s">
        <v>3534</v>
      </c>
      <c r="D2088" s="218" t="s">
        <v>5678</v>
      </c>
      <c r="E2088" s="218" t="s">
        <v>1839</v>
      </c>
      <c r="F2088" s="218" t="s">
        <v>1840</v>
      </c>
      <c r="G2088" s="218" t="s">
        <v>1841</v>
      </c>
    </row>
    <row r="2089" spans="1:7" x14ac:dyDescent="0.15">
      <c r="A2089" s="218" t="s">
        <v>10776</v>
      </c>
      <c r="B2089" s="218" t="s">
        <v>10777</v>
      </c>
      <c r="C2089" s="218" t="s">
        <v>3534</v>
      </c>
      <c r="D2089" s="218" t="s">
        <v>10778</v>
      </c>
      <c r="E2089" s="218" t="s">
        <v>1935</v>
      </c>
      <c r="F2089" s="218" t="s">
        <v>1840</v>
      </c>
      <c r="G2089" s="218" t="s">
        <v>1841</v>
      </c>
    </row>
    <row r="2090" spans="1:7" x14ac:dyDescent="0.15">
      <c r="A2090" s="218" t="s">
        <v>11729</v>
      </c>
      <c r="B2090" s="218" t="s">
        <v>11730</v>
      </c>
      <c r="C2090" s="218" t="s">
        <v>3534</v>
      </c>
      <c r="D2090" s="218" t="s">
        <v>11731</v>
      </c>
      <c r="E2090" s="218" t="s">
        <v>1839</v>
      </c>
      <c r="F2090" s="218" t="s">
        <v>1840</v>
      </c>
      <c r="G2090" s="218" t="s">
        <v>1841</v>
      </c>
    </row>
    <row r="2091" spans="1:7" x14ac:dyDescent="0.15">
      <c r="A2091" s="218" t="s">
        <v>5679</v>
      </c>
      <c r="B2091" s="218" t="s">
        <v>5680</v>
      </c>
      <c r="C2091" s="218" t="s">
        <v>3534</v>
      </c>
      <c r="D2091" s="218" t="s">
        <v>5681</v>
      </c>
      <c r="E2091" s="218" t="s">
        <v>1839</v>
      </c>
      <c r="F2091" s="218" t="s">
        <v>1840</v>
      </c>
      <c r="G2091" s="218" t="s">
        <v>1841</v>
      </c>
    </row>
    <row r="2092" spans="1:7" x14ac:dyDescent="0.15">
      <c r="A2092" s="218" t="s">
        <v>10779</v>
      </c>
      <c r="B2092" s="218" t="s">
        <v>10780</v>
      </c>
      <c r="C2092" s="218" t="s">
        <v>3534</v>
      </c>
      <c r="D2092" s="218" t="s">
        <v>10781</v>
      </c>
      <c r="E2092" s="218" t="s">
        <v>1839</v>
      </c>
      <c r="F2092" s="218" t="s">
        <v>1840</v>
      </c>
      <c r="G2092" s="218" t="s">
        <v>1841</v>
      </c>
    </row>
    <row r="2093" spans="1:7" x14ac:dyDescent="0.15">
      <c r="A2093" s="218" t="s">
        <v>10782</v>
      </c>
      <c r="B2093" s="218" t="s">
        <v>10783</v>
      </c>
      <c r="C2093" s="218" t="s">
        <v>3534</v>
      </c>
      <c r="D2093" s="218" t="s">
        <v>10784</v>
      </c>
      <c r="E2093" s="218" t="s">
        <v>1839</v>
      </c>
      <c r="F2093" s="218" t="s">
        <v>1840</v>
      </c>
      <c r="G2093" s="218" t="s">
        <v>1841</v>
      </c>
    </row>
    <row r="2094" spans="1:7" x14ac:dyDescent="0.15">
      <c r="A2094" s="218" t="s">
        <v>10785</v>
      </c>
      <c r="B2094" s="218" t="s">
        <v>10786</v>
      </c>
      <c r="C2094" s="218" t="s">
        <v>3534</v>
      </c>
      <c r="D2094" s="218" t="s">
        <v>10787</v>
      </c>
      <c r="E2094" s="218" t="s">
        <v>1839</v>
      </c>
      <c r="F2094" s="218" t="s">
        <v>1840</v>
      </c>
      <c r="G2094" s="218" t="s">
        <v>1841</v>
      </c>
    </row>
    <row r="2095" spans="1:7" x14ac:dyDescent="0.15">
      <c r="A2095" s="218" t="s">
        <v>5682</v>
      </c>
      <c r="B2095" s="218" t="s">
        <v>5683</v>
      </c>
      <c r="C2095" s="218" t="s">
        <v>3534</v>
      </c>
      <c r="D2095" s="218" t="s">
        <v>5684</v>
      </c>
      <c r="E2095" s="218" t="s">
        <v>1839</v>
      </c>
      <c r="F2095" s="218" t="s">
        <v>1840</v>
      </c>
      <c r="G2095" s="218" t="s">
        <v>1841</v>
      </c>
    </row>
    <row r="2096" spans="1:7" x14ac:dyDescent="0.15">
      <c r="A2096" s="218" t="s">
        <v>10788</v>
      </c>
      <c r="B2096" s="218" t="s">
        <v>10789</v>
      </c>
      <c r="C2096" s="218" t="s">
        <v>3534</v>
      </c>
      <c r="D2096" s="218" t="s">
        <v>10790</v>
      </c>
      <c r="E2096" s="218" t="s">
        <v>1839</v>
      </c>
      <c r="F2096" s="218" t="s">
        <v>1840</v>
      </c>
      <c r="G2096" s="218" t="s">
        <v>1841</v>
      </c>
    </row>
    <row r="2097" spans="1:7" x14ac:dyDescent="0.15">
      <c r="A2097" s="218" t="s">
        <v>11732</v>
      </c>
      <c r="B2097" s="218" t="s">
        <v>11733</v>
      </c>
      <c r="C2097" s="218" t="s">
        <v>3534</v>
      </c>
      <c r="D2097" s="218" t="s">
        <v>10790</v>
      </c>
      <c r="E2097" s="218" t="s">
        <v>1839</v>
      </c>
      <c r="F2097" s="218" t="s">
        <v>1840</v>
      </c>
      <c r="G2097" s="218" t="s">
        <v>1841</v>
      </c>
    </row>
    <row r="2098" spans="1:7" x14ac:dyDescent="0.15">
      <c r="A2098" s="218" t="s">
        <v>5685</v>
      </c>
      <c r="B2098" s="218" t="s">
        <v>5686</v>
      </c>
      <c r="C2098" s="218" t="s">
        <v>3534</v>
      </c>
      <c r="D2098" s="218" t="s">
        <v>5687</v>
      </c>
      <c r="E2098" s="218" t="s">
        <v>1839</v>
      </c>
      <c r="F2098" s="218" t="s">
        <v>1840</v>
      </c>
      <c r="G2098" s="218" t="s">
        <v>1841</v>
      </c>
    </row>
    <row r="2099" spans="1:7" x14ac:dyDescent="0.15">
      <c r="A2099" s="218" t="s">
        <v>5688</v>
      </c>
      <c r="B2099" s="218" t="s">
        <v>5689</v>
      </c>
      <c r="C2099" s="218" t="s">
        <v>3534</v>
      </c>
      <c r="D2099" s="218" t="s">
        <v>5690</v>
      </c>
      <c r="E2099" s="218" t="s">
        <v>1839</v>
      </c>
      <c r="F2099" s="218" t="s">
        <v>1840</v>
      </c>
      <c r="G2099" s="218" t="s">
        <v>1841</v>
      </c>
    </row>
    <row r="2100" spans="1:7" x14ac:dyDescent="0.15">
      <c r="A2100" s="218" t="s">
        <v>5691</v>
      </c>
      <c r="B2100" s="218" t="s">
        <v>5692</v>
      </c>
      <c r="C2100" s="218" t="s">
        <v>3534</v>
      </c>
      <c r="D2100" s="218" t="s">
        <v>5693</v>
      </c>
      <c r="E2100" s="218" t="s">
        <v>1839</v>
      </c>
      <c r="F2100" s="218" t="s">
        <v>1840</v>
      </c>
      <c r="G2100" s="218" t="s">
        <v>1841</v>
      </c>
    </row>
    <row r="2101" spans="1:7" x14ac:dyDescent="0.15">
      <c r="A2101" s="218" t="s">
        <v>5694</v>
      </c>
      <c r="B2101" s="218" t="s">
        <v>5695</v>
      </c>
      <c r="C2101" s="218" t="s">
        <v>3534</v>
      </c>
      <c r="D2101" s="218" t="s">
        <v>5696</v>
      </c>
      <c r="E2101" s="218" t="s">
        <v>1839</v>
      </c>
      <c r="F2101" s="218" t="s">
        <v>1840</v>
      </c>
      <c r="G2101" s="218" t="s">
        <v>1841</v>
      </c>
    </row>
    <row r="2102" spans="1:7" x14ac:dyDescent="0.15">
      <c r="A2102" s="218" t="s">
        <v>10791</v>
      </c>
      <c r="B2102" s="218" t="s">
        <v>10792</v>
      </c>
      <c r="C2102" s="218" t="s">
        <v>3534</v>
      </c>
      <c r="D2102" s="218" t="s">
        <v>10793</v>
      </c>
      <c r="E2102" s="218" t="s">
        <v>1839</v>
      </c>
      <c r="F2102" s="218" t="s">
        <v>1840</v>
      </c>
      <c r="G2102" s="218" t="s">
        <v>1841</v>
      </c>
    </row>
    <row r="2103" spans="1:7" x14ac:dyDescent="0.15">
      <c r="A2103" s="218" t="s">
        <v>5697</v>
      </c>
      <c r="B2103" s="218" t="s">
        <v>5698</v>
      </c>
      <c r="C2103" s="218" t="s">
        <v>3534</v>
      </c>
      <c r="D2103" s="218" t="s">
        <v>5699</v>
      </c>
      <c r="E2103" s="218" t="s">
        <v>1839</v>
      </c>
      <c r="F2103" s="218" t="s">
        <v>1840</v>
      </c>
      <c r="G2103" s="218" t="s">
        <v>1841</v>
      </c>
    </row>
    <row r="2104" spans="1:7" x14ac:dyDescent="0.15">
      <c r="A2104" s="218" t="s">
        <v>5700</v>
      </c>
      <c r="B2104" s="218" t="s">
        <v>5701</v>
      </c>
      <c r="C2104" s="218" t="s">
        <v>3534</v>
      </c>
      <c r="D2104" s="218" t="s">
        <v>5702</v>
      </c>
      <c r="E2104" s="218" t="s">
        <v>1839</v>
      </c>
      <c r="F2104" s="218" t="s">
        <v>1840</v>
      </c>
      <c r="G2104" s="218" t="s">
        <v>1841</v>
      </c>
    </row>
    <row r="2105" spans="1:7" x14ac:dyDescent="0.15">
      <c r="A2105" s="218" t="s">
        <v>5703</v>
      </c>
      <c r="B2105" s="218" t="s">
        <v>5704</v>
      </c>
      <c r="C2105" s="218" t="s">
        <v>3534</v>
      </c>
      <c r="D2105" s="218" t="s">
        <v>5705</v>
      </c>
      <c r="E2105" s="218" t="s">
        <v>1839</v>
      </c>
      <c r="F2105" s="218" t="s">
        <v>1840</v>
      </c>
      <c r="G2105" s="218" t="s">
        <v>1841</v>
      </c>
    </row>
    <row r="2106" spans="1:7" x14ac:dyDescent="0.15">
      <c r="A2106" s="218" t="s">
        <v>5706</v>
      </c>
      <c r="B2106" s="218" t="s">
        <v>5707</v>
      </c>
      <c r="C2106" s="218" t="s">
        <v>3534</v>
      </c>
      <c r="D2106" s="218" t="s">
        <v>5708</v>
      </c>
      <c r="E2106" s="218" t="s">
        <v>1839</v>
      </c>
      <c r="F2106" s="218" t="s">
        <v>1840</v>
      </c>
      <c r="G2106" s="218" t="s">
        <v>1841</v>
      </c>
    </row>
    <row r="2107" spans="1:7" x14ac:dyDescent="0.15">
      <c r="A2107" s="218" t="s">
        <v>5709</v>
      </c>
      <c r="B2107" s="218" t="s">
        <v>5710</v>
      </c>
      <c r="C2107" s="218" t="s">
        <v>3534</v>
      </c>
      <c r="D2107" s="218" t="s">
        <v>5711</v>
      </c>
      <c r="E2107" s="218" t="s">
        <v>1839</v>
      </c>
      <c r="F2107" s="218" t="s">
        <v>1840</v>
      </c>
      <c r="G2107" s="218" t="s">
        <v>1841</v>
      </c>
    </row>
    <row r="2108" spans="1:7" x14ac:dyDescent="0.15">
      <c r="A2108" s="218" t="s">
        <v>10794</v>
      </c>
      <c r="B2108" s="218" t="s">
        <v>10795</v>
      </c>
      <c r="C2108" s="218" t="s">
        <v>3534</v>
      </c>
      <c r="D2108" s="218" t="s">
        <v>10796</v>
      </c>
      <c r="E2108" s="218" t="s">
        <v>1839</v>
      </c>
      <c r="F2108" s="218" t="s">
        <v>1840</v>
      </c>
      <c r="G2108" s="218" t="s">
        <v>1841</v>
      </c>
    </row>
    <row r="2109" spans="1:7" x14ac:dyDescent="0.15">
      <c r="A2109" s="218" t="s">
        <v>5712</v>
      </c>
      <c r="B2109" s="218" t="s">
        <v>5713</v>
      </c>
      <c r="C2109" s="218" t="s">
        <v>3534</v>
      </c>
      <c r="D2109" s="218" t="s">
        <v>5714</v>
      </c>
      <c r="E2109" s="218" t="s">
        <v>1935</v>
      </c>
      <c r="F2109" s="218" t="s">
        <v>1840</v>
      </c>
      <c r="G2109" s="218" t="s">
        <v>1841</v>
      </c>
    </row>
    <row r="2110" spans="1:7" x14ac:dyDescent="0.15">
      <c r="A2110" s="218" t="s">
        <v>10797</v>
      </c>
      <c r="B2110" s="218" t="s">
        <v>1486</v>
      </c>
      <c r="C2110" s="218" t="s">
        <v>3534</v>
      </c>
      <c r="D2110" s="218" t="s">
        <v>1487</v>
      </c>
      <c r="E2110" s="218" t="s">
        <v>1839</v>
      </c>
      <c r="F2110" s="218" t="s">
        <v>1840</v>
      </c>
      <c r="G2110" s="218" t="s">
        <v>1841</v>
      </c>
    </row>
    <row r="2111" spans="1:7" x14ac:dyDescent="0.15">
      <c r="A2111" s="218" t="s">
        <v>10798</v>
      </c>
      <c r="B2111" s="218" t="s">
        <v>10799</v>
      </c>
      <c r="C2111" s="218" t="s">
        <v>3534</v>
      </c>
      <c r="D2111" s="218" t="s">
        <v>10800</v>
      </c>
      <c r="E2111" s="218" t="s">
        <v>1839</v>
      </c>
      <c r="F2111" s="218" t="s">
        <v>1840</v>
      </c>
      <c r="G2111" s="218" t="s">
        <v>1841</v>
      </c>
    </row>
    <row r="2112" spans="1:7" x14ac:dyDescent="0.15">
      <c r="A2112" s="218" t="s">
        <v>5715</v>
      </c>
      <c r="B2112" s="218" t="s">
        <v>5716</v>
      </c>
      <c r="C2112" s="218" t="s">
        <v>3534</v>
      </c>
      <c r="D2112" s="218" t="s">
        <v>5717</v>
      </c>
      <c r="E2112" s="218" t="s">
        <v>1839</v>
      </c>
      <c r="F2112" s="218" t="s">
        <v>1840</v>
      </c>
      <c r="G2112" s="218" t="s">
        <v>1841</v>
      </c>
    </row>
    <row r="2113" spans="1:7" x14ac:dyDescent="0.15">
      <c r="A2113" s="218" t="s">
        <v>5718</v>
      </c>
      <c r="B2113" s="218" t="s">
        <v>5719</v>
      </c>
      <c r="C2113" s="218" t="s">
        <v>3534</v>
      </c>
      <c r="D2113" s="218" t="s">
        <v>5720</v>
      </c>
      <c r="E2113" s="218" t="s">
        <v>1839</v>
      </c>
      <c r="F2113" s="218" t="s">
        <v>1840</v>
      </c>
      <c r="G2113" s="218" t="s">
        <v>1841</v>
      </c>
    </row>
    <row r="2114" spans="1:7" x14ac:dyDescent="0.15">
      <c r="A2114" s="218" t="s">
        <v>10801</v>
      </c>
      <c r="B2114" s="218" t="s">
        <v>10802</v>
      </c>
      <c r="C2114" s="218" t="s">
        <v>3534</v>
      </c>
      <c r="D2114" s="218" t="s">
        <v>10803</v>
      </c>
      <c r="E2114" s="218" t="s">
        <v>1839</v>
      </c>
      <c r="F2114" s="218" t="s">
        <v>1840</v>
      </c>
      <c r="G2114" s="218" t="s">
        <v>1841</v>
      </c>
    </row>
    <row r="2115" spans="1:7" x14ac:dyDescent="0.15">
      <c r="A2115" s="218" t="s">
        <v>10804</v>
      </c>
      <c r="B2115" s="218" t="s">
        <v>1292</v>
      </c>
      <c r="C2115" s="218" t="s">
        <v>3534</v>
      </c>
      <c r="D2115" s="218" t="s">
        <v>1293</v>
      </c>
      <c r="E2115" s="218" t="s">
        <v>1839</v>
      </c>
      <c r="F2115" s="218" t="s">
        <v>1840</v>
      </c>
      <c r="G2115" s="218" t="s">
        <v>1841</v>
      </c>
    </row>
    <row r="2116" spans="1:7" x14ac:dyDescent="0.15">
      <c r="A2116" s="218" t="s">
        <v>10805</v>
      </c>
      <c r="B2116" s="218" t="s">
        <v>1756</v>
      </c>
      <c r="C2116" s="218" t="s">
        <v>3534</v>
      </c>
      <c r="D2116" s="218" t="s">
        <v>1757</v>
      </c>
      <c r="E2116" s="218" t="s">
        <v>1839</v>
      </c>
      <c r="F2116" s="218" t="s">
        <v>1840</v>
      </c>
      <c r="G2116" s="218" t="s">
        <v>1841</v>
      </c>
    </row>
    <row r="2117" spans="1:7" x14ac:dyDescent="0.15">
      <c r="A2117" s="218" t="s">
        <v>10806</v>
      </c>
      <c r="B2117" s="218" t="s">
        <v>10807</v>
      </c>
      <c r="C2117" s="218" t="s">
        <v>3534</v>
      </c>
      <c r="D2117" s="218" t="s">
        <v>10808</v>
      </c>
      <c r="E2117" s="218" t="s">
        <v>1839</v>
      </c>
      <c r="F2117" s="218" t="s">
        <v>1840</v>
      </c>
      <c r="G2117" s="218" t="s">
        <v>1841</v>
      </c>
    </row>
    <row r="2118" spans="1:7" x14ac:dyDescent="0.15">
      <c r="A2118" s="218" t="s">
        <v>5721</v>
      </c>
      <c r="B2118" s="218" t="s">
        <v>5722</v>
      </c>
      <c r="C2118" s="218" t="s">
        <v>3534</v>
      </c>
      <c r="D2118" s="218" t="s">
        <v>5723</v>
      </c>
      <c r="E2118" s="218" t="s">
        <v>1839</v>
      </c>
      <c r="F2118" s="218" t="s">
        <v>1840</v>
      </c>
      <c r="G2118" s="218" t="s">
        <v>1841</v>
      </c>
    </row>
    <row r="2119" spans="1:7" x14ac:dyDescent="0.15">
      <c r="A2119" s="218" t="s">
        <v>10809</v>
      </c>
      <c r="B2119" s="218" t="s">
        <v>10810</v>
      </c>
      <c r="C2119" s="218" t="s">
        <v>3534</v>
      </c>
      <c r="D2119" s="218" t="s">
        <v>10811</v>
      </c>
      <c r="E2119" s="218" t="s">
        <v>1839</v>
      </c>
      <c r="F2119" s="218" t="s">
        <v>1840</v>
      </c>
      <c r="G2119" s="218" t="s">
        <v>1841</v>
      </c>
    </row>
    <row r="2120" spans="1:7" x14ac:dyDescent="0.15">
      <c r="A2120" s="218" t="s">
        <v>5724</v>
      </c>
      <c r="B2120" s="218" t="s">
        <v>5725</v>
      </c>
      <c r="C2120" s="218" t="s">
        <v>3534</v>
      </c>
      <c r="D2120" s="218" t="s">
        <v>5726</v>
      </c>
      <c r="E2120" s="218" t="s">
        <v>1839</v>
      </c>
      <c r="F2120" s="218" t="s">
        <v>1840</v>
      </c>
      <c r="G2120" s="218" t="s">
        <v>1841</v>
      </c>
    </row>
    <row r="2121" spans="1:7" x14ac:dyDescent="0.15">
      <c r="A2121" s="218" t="s">
        <v>5727</v>
      </c>
      <c r="B2121" s="218" t="s">
        <v>5728</v>
      </c>
      <c r="C2121" s="218" t="s">
        <v>3534</v>
      </c>
      <c r="D2121" s="218" t="s">
        <v>5729</v>
      </c>
      <c r="E2121" s="218" t="s">
        <v>1839</v>
      </c>
      <c r="F2121" s="218" t="s">
        <v>1840</v>
      </c>
      <c r="G2121" s="218" t="s">
        <v>1841</v>
      </c>
    </row>
    <row r="2122" spans="1:7" x14ac:dyDescent="0.15">
      <c r="A2122" s="218" t="s">
        <v>10812</v>
      </c>
      <c r="B2122" s="218" t="s">
        <v>10813</v>
      </c>
      <c r="C2122" s="218" t="s">
        <v>3534</v>
      </c>
      <c r="D2122" s="218" t="s">
        <v>10814</v>
      </c>
      <c r="E2122" s="218" t="s">
        <v>1839</v>
      </c>
      <c r="F2122" s="218" t="s">
        <v>1840</v>
      </c>
      <c r="G2122" s="218" t="s">
        <v>1841</v>
      </c>
    </row>
    <row r="2123" spans="1:7" x14ac:dyDescent="0.15">
      <c r="A2123" s="218" t="s">
        <v>5730</v>
      </c>
      <c r="B2123" s="218" t="s">
        <v>5731</v>
      </c>
      <c r="C2123" s="218" t="s">
        <v>3534</v>
      </c>
      <c r="D2123" s="218" t="s">
        <v>5732</v>
      </c>
      <c r="E2123" s="218" t="s">
        <v>1839</v>
      </c>
      <c r="F2123" s="218" t="s">
        <v>1840</v>
      </c>
      <c r="G2123" s="218" t="s">
        <v>1841</v>
      </c>
    </row>
    <row r="2124" spans="1:7" x14ac:dyDescent="0.15">
      <c r="A2124" s="218" t="s">
        <v>5733</v>
      </c>
      <c r="B2124" s="218" t="s">
        <v>5734</v>
      </c>
      <c r="C2124" s="218" t="s">
        <v>3534</v>
      </c>
      <c r="D2124" s="218" t="s">
        <v>5735</v>
      </c>
      <c r="E2124" s="218" t="s">
        <v>1839</v>
      </c>
      <c r="F2124" s="218" t="s">
        <v>1840</v>
      </c>
      <c r="G2124" s="218" t="s">
        <v>1841</v>
      </c>
    </row>
    <row r="2125" spans="1:7" x14ac:dyDescent="0.15">
      <c r="A2125" s="218" t="s">
        <v>5736</v>
      </c>
      <c r="B2125" s="218" t="s">
        <v>5737</v>
      </c>
      <c r="C2125" s="218" t="s">
        <v>3534</v>
      </c>
      <c r="D2125" s="218" t="s">
        <v>5738</v>
      </c>
      <c r="E2125" s="218" t="s">
        <v>1839</v>
      </c>
      <c r="F2125" s="218" t="s">
        <v>1840</v>
      </c>
      <c r="G2125" s="218" t="s">
        <v>1841</v>
      </c>
    </row>
    <row r="2126" spans="1:7" x14ac:dyDescent="0.15">
      <c r="A2126" s="218" t="s">
        <v>10815</v>
      </c>
      <c r="B2126" s="218" t="s">
        <v>996</v>
      </c>
      <c r="C2126" s="218" t="s">
        <v>3534</v>
      </c>
      <c r="D2126" s="218" t="s">
        <v>997</v>
      </c>
      <c r="E2126" s="218" t="s">
        <v>1839</v>
      </c>
      <c r="F2126" s="218" t="s">
        <v>1840</v>
      </c>
      <c r="G2126" s="218" t="s">
        <v>1841</v>
      </c>
    </row>
    <row r="2127" spans="1:7" x14ac:dyDescent="0.15">
      <c r="A2127" s="218" t="s">
        <v>11734</v>
      </c>
      <c r="B2127" s="218" t="s">
        <v>11735</v>
      </c>
      <c r="C2127" s="218" t="s">
        <v>3534</v>
      </c>
      <c r="D2127" s="218" t="s">
        <v>11736</v>
      </c>
      <c r="E2127" s="218" t="s">
        <v>1839</v>
      </c>
      <c r="F2127" s="218" t="s">
        <v>1840</v>
      </c>
      <c r="G2127" s="218" t="s">
        <v>1841</v>
      </c>
    </row>
    <row r="2128" spans="1:7" x14ac:dyDescent="0.15">
      <c r="A2128" s="218" t="s">
        <v>10816</v>
      </c>
      <c r="B2128" s="218" t="s">
        <v>10817</v>
      </c>
      <c r="C2128" s="218" t="s">
        <v>3534</v>
      </c>
      <c r="D2128" s="218" t="s">
        <v>10818</v>
      </c>
      <c r="E2128" s="218" t="s">
        <v>1839</v>
      </c>
      <c r="F2128" s="218" t="s">
        <v>1840</v>
      </c>
      <c r="G2128" s="218" t="s">
        <v>1841</v>
      </c>
    </row>
    <row r="2129" spans="1:7" x14ac:dyDescent="0.15">
      <c r="A2129" s="218" t="s">
        <v>10819</v>
      </c>
      <c r="B2129" s="218" t="s">
        <v>10820</v>
      </c>
      <c r="C2129" s="218" t="s">
        <v>3534</v>
      </c>
      <c r="D2129" s="218" t="s">
        <v>10821</v>
      </c>
      <c r="E2129" s="218" t="s">
        <v>1839</v>
      </c>
      <c r="F2129" s="218" t="s">
        <v>1840</v>
      </c>
      <c r="G2129" s="218" t="s">
        <v>1841</v>
      </c>
    </row>
    <row r="2130" spans="1:7" x14ac:dyDescent="0.15">
      <c r="A2130" s="218" t="s">
        <v>10822</v>
      </c>
      <c r="B2130" s="218" t="s">
        <v>10823</v>
      </c>
      <c r="C2130" s="218" t="s">
        <v>3534</v>
      </c>
      <c r="D2130" s="218" t="s">
        <v>10824</v>
      </c>
      <c r="E2130" s="218" t="s">
        <v>1839</v>
      </c>
      <c r="F2130" s="218" t="s">
        <v>1840</v>
      </c>
      <c r="G2130" s="218" t="s">
        <v>1841</v>
      </c>
    </row>
    <row r="2131" spans="1:7" x14ac:dyDescent="0.15">
      <c r="A2131" s="218" t="s">
        <v>10825</v>
      </c>
      <c r="B2131" s="218" t="s">
        <v>10826</v>
      </c>
      <c r="C2131" s="218" t="s">
        <v>3534</v>
      </c>
      <c r="D2131" s="218" t="s">
        <v>10827</v>
      </c>
      <c r="E2131" s="218" t="s">
        <v>1935</v>
      </c>
      <c r="F2131" s="218" t="s">
        <v>1840</v>
      </c>
      <c r="G2131" s="218" t="s">
        <v>1841</v>
      </c>
    </row>
    <row r="2132" spans="1:7" x14ac:dyDescent="0.15">
      <c r="A2132" s="218" t="s">
        <v>5739</v>
      </c>
      <c r="B2132" s="218" t="s">
        <v>5740</v>
      </c>
      <c r="C2132" s="218" t="s">
        <v>3534</v>
      </c>
      <c r="D2132" s="218" t="s">
        <v>5741</v>
      </c>
      <c r="E2132" s="218" t="s">
        <v>1839</v>
      </c>
      <c r="F2132" s="218" t="s">
        <v>1840</v>
      </c>
      <c r="G2132" s="218" t="s">
        <v>1841</v>
      </c>
    </row>
    <row r="2133" spans="1:7" x14ac:dyDescent="0.15">
      <c r="A2133" s="218" t="s">
        <v>5742</v>
      </c>
      <c r="B2133" s="218" t="s">
        <v>5743</v>
      </c>
      <c r="C2133" s="218" t="s">
        <v>3534</v>
      </c>
      <c r="D2133" s="218" t="s">
        <v>5744</v>
      </c>
      <c r="E2133" s="218" t="s">
        <v>1839</v>
      </c>
      <c r="F2133" s="218" t="s">
        <v>1840</v>
      </c>
      <c r="G2133" s="218" t="s">
        <v>1841</v>
      </c>
    </row>
    <row r="2134" spans="1:7" x14ac:dyDescent="0.15">
      <c r="A2134" s="218" t="s">
        <v>5748</v>
      </c>
      <c r="B2134" s="218" t="s">
        <v>5749</v>
      </c>
      <c r="C2134" s="218" t="s">
        <v>3534</v>
      </c>
      <c r="D2134" s="218" t="s">
        <v>5750</v>
      </c>
      <c r="E2134" s="218" t="s">
        <v>1839</v>
      </c>
      <c r="F2134" s="218" t="s">
        <v>1840</v>
      </c>
      <c r="G2134" s="218" t="s">
        <v>1841</v>
      </c>
    </row>
    <row r="2135" spans="1:7" x14ac:dyDescent="0.15">
      <c r="A2135" s="218" t="s">
        <v>5751</v>
      </c>
      <c r="B2135" s="218" t="s">
        <v>5752</v>
      </c>
      <c r="C2135" s="218" t="s">
        <v>3534</v>
      </c>
      <c r="D2135" s="218" t="s">
        <v>5753</v>
      </c>
      <c r="E2135" s="218" t="s">
        <v>1839</v>
      </c>
      <c r="F2135" s="218" t="s">
        <v>1840</v>
      </c>
      <c r="G2135" s="218" t="s">
        <v>1841</v>
      </c>
    </row>
    <row r="2136" spans="1:7" x14ac:dyDescent="0.15">
      <c r="A2136" s="218" t="s">
        <v>5754</v>
      </c>
      <c r="B2136" s="218" t="s">
        <v>5755</v>
      </c>
      <c r="C2136" s="218" t="s">
        <v>3534</v>
      </c>
      <c r="D2136" s="218" t="s">
        <v>5756</v>
      </c>
      <c r="E2136" s="218" t="s">
        <v>1839</v>
      </c>
      <c r="F2136" s="218" t="s">
        <v>1840</v>
      </c>
      <c r="G2136" s="218" t="s">
        <v>1841</v>
      </c>
    </row>
    <row r="2137" spans="1:7" x14ac:dyDescent="0.15">
      <c r="A2137" s="218" t="s">
        <v>5757</v>
      </c>
      <c r="B2137" s="218" t="s">
        <v>5758</v>
      </c>
      <c r="C2137" s="218" t="s">
        <v>3534</v>
      </c>
      <c r="D2137" s="218" t="s">
        <v>5759</v>
      </c>
      <c r="E2137" s="218" t="s">
        <v>1839</v>
      </c>
      <c r="F2137" s="218" t="s">
        <v>1840</v>
      </c>
      <c r="G2137" s="218" t="s">
        <v>1841</v>
      </c>
    </row>
    <row r="2138" spans="1:7" x14ac:dyDescent="0.15">
      <c r="A2138" s="218" t="s">
        <v>5760</v>
      </c>
      <c r="B2138" s="218" t="s">
        <v>5761</v>
      </c>
      <c r="C2138" s="218" t="s">
        <v>3534</v>
      </c>
      <c r="D2138" s="218" t="s">
        <v>5762</v>
      </c>
      <c r="E2138" s="218" t="s">
        <v>1839</v>
      </c>
      <c r="F2138" s="218" t="s">
        <v>1840</v>
      </c>
      <c r="G2138" s="218" t="s">
        <v>1841</v>
      </c>
    </row>
    <row r="2139" spans="1:7" x14ac:dyDescent="0.15">
      <c r="A2139" s="218" t="s">
        <v>5763</v>
      </c>
      <c r="B2139" s="218" t="s">
        <v>5764</v>
      </c>
      <c r="C2139" s="218" t="s">
        <v>3534</v>
      </c>
      <c r="D2139" s="218" t="s">
        <v>5765</v>
      </c>
      <c r="E2139" s="218" t="s">
        <v>1839</v>
      </c>
      <c r="F2139" s="218" t="s">
        <v>1840</v>
      </c>
      <c r="G2139" s="218" t="s">
        <v>1841</v>
      </c>
    </row>
    <row r="2140" spans="1:7" x14ac:dyDescent="0.15">
      <c r="A2140" s="218" t="s">
        <v>5766</v>
      </c>
      <c r="B2140" s="218" t="s">
        <v>5767</v>
      </c>
      <c r="C2140" s="218" t="s">
        <v>3534</v>
      </c>
      <c r="D2140" s="218" t="s">
        <v>5768</v>
      </c>
      <c r="E2140" s="218" t="s">
        <v>1839</v>
      </c>
      <c r="F2140" s="218" t="s">
        <v>1840</v>
      </c>
      <c r="G2140" s="218" t="s">
        <v>1841</v>
      </c>
    </row>
    <row r="2141" spans="1:7" x14ac:dyDescent="0.15">
      <c r="A2141" s="218" t="s">
        <v>5769</v>
      </c>
      <c r="B2141" s="218" t="s">
        <v>5770</v>
      </c>
      <c r="C2141" s="218" t="s">
        <v>3534</v>
      </c>
      <c r="D2141" s="218" t="s">
        <v>5771</v>
      </c>
      <c r="E2141" s="218" t="s">
        <v>1839</v>
      </c>
      <c r="F2141" s="218" t="s">
        <v>1840</v>
      </c>
      <c r="G2141" s="218" t="s">
        <v>1841</v>
      </c>
    </row>
    <row r="2142" spans="1:7" x14ac:dyDescent="0.15">
      <c r="A2142" s="218" t="s">
        <v>5772</v>
      </c>
      <c r="B2142" s="218" t="s">
        <v>5773</v>
      </c>
      <c r="C2142" s="218" t="s">
        <v>3534</v>
      </c>
      <c r="D2142" s="218" t="s">
        <v>5774</v>
      </c>
      <c r="E2142" s="218" t="s">
        <v>1839</v>
      </c>
      <c r="F2142" s="218" t="s">
        <v>1840</v>
      </c>
      <c r="G2142" s="218" t="s">
        <v>1841</v>
      </c>
    </row>
    <row r="2143" spans="1:7" x14ac:dyDescent="0.15">
      <c r="A2143" s="218" t="s">
        <v>11737</v>
      </c>
      <c r="B2143" s="218" t="s">
        <v>11738</v>
      </c>
      <c r="C2143" s="218" t="s">
        <v>3534</v>
      </c>
      <c r="D2143" s="218" t="s">
        <v>11739</v>
      </c>
      <c r="E2143" s="218" t="s">
        <v>1935</v>
      </c>
      <c r="F2143" s="218" t="s">
        <v>1840</v>
      </c>
      <c r="G2143" s="218" t="s">
        <v>1841</v>
      </c>
    </row>
    <row r="2144" spans="1:7" x14ac:dyDescent="0.15">
      <c r="A2144" s="218" t="s">
        <v>10828</v>
      </c>
      <c r="B2144" s="218" t="s">
        <v>1240</v>
      </c>
      <c r="C2144" s="218" t="s">
        <v>3534</v>
      </c>
      <c r="D2144" s="218" t="s">
        <v>1241</v>
      </c>
      <c r="E2144" s="218" t="s">
        <v>1839</v>
      </c>
      <c r="F2144" s="218" t="s">
        <v>1840</v>
      </c>
      <c r="G2144" s="218" t="s">
        <v>1841</v>
      </c>
    </row>
    <row r="2145" spans="1:7" x14ac:dyDescent="0.15">
      <c r="A2145" s="218" t="s">
        <v>10829</v>
      </c>
      <c r="B2145" s="218" t="s">
        <v>1069</v>
      </c>
      <c r="C2145" s="218" t="s">
        <v>3534</v>
      </c>
      <c r="D2145" s="218" t="s">
        <v>1070</v>
      </c>
      <c r="E2145" s="218" t="s">
        <v>1839</v>
      </c>
      <c r="F2145" s="218" t="s">
        <v>1840</v>
      </c>
      <c r="G2145" s="218" t="s">
        <v>1841</v>
      </c>
    </row>
    <row r="2146" spans="1:7" x14ac:dyDescent="0.15">
      <c r="A2146" s="218" t="s">
        <v>10830</v>
      </c>
      <c r="B2146" s="218" t="s">
        <v>10831</v>
      </c>
      <c r="C2146" s="218" t="s">
        <v>3534</v>
      </c>
      <c r="D2146" s="218" t="s">
        <v>10832</v>
      </c>
      <c r="E2146" s="218" t="s">
        <v>1839</v>
      </c>
      <c r="F2146" s="218" t="s">
        <v>1840</v>
      </c>
      <c r="G2146" s="218" t="s">
        <v>1841</v>
      </c>
    </row>
    <row r="2147" spans="1:7" x14ac:dyDescent="0.15">
      <c r="A2147" s="218" t="s">
        <v>5775</v>
      </c>
      <c r="B2147" s="218" t="s">
        <v>5776</v>
      </c>
      <c r="C2147" s="218" t="s">
        <v>3534</v>
      </c>
      <c r="D2147" s="218" t="s">
        <v>5777</v>
      </c>
      <c r="E2147" s="218" t="s">
        <v>1839</v>
      </c>
      <c r="F2147" s="218" t="s">
        <v>1840</v>
      </c>
      <c r="G2147" s="218" t="s">
        <v>1841</v>
      </c>
    </row>
    <row r="2148" spans="1:7" x14ac:dyDescent="0.15">
      <c r="A2148" s="218" t="s">
        <v>11740</v>
      </c>
      <c r="B2148" s="218" t="s">
        <v>11741</v>
      </c>
      <c r="C2148" s="218" t="s">
        <v>3534</v>
      </c>
      <c r="D2148" s="218" t="s">
        <v>11742</v>
      </c>
      <c r="E2148" s="218" t="s">
        <v>1839</v>
      </c>
      <c r="F2148" s="218" t="s">
        <v>1840</v>
      </c>
      <c r="G2148" s="218" t="s">
        <v>1841</v>
      </c>
    </row>
    <row r="2149" spans="1:7" x14ac:dyDescent="0.15">
      <c r="A2149" s="218" t="s">
        <v>5778</v>
      </c>
      <c r="B2149" s="218" t="s">
        <v>5779</v>
      </c>
      <c r="C2149" s="218" t="s">
        <v>3534</v>
      </c>
      <c r="D2149" s="218" t="s">
        <v>5780</v>
      </c>
      <c r="E2149" s="218" t="s">
        <v>1839</v>
      </c>
      <c r="F2149" s="218" t="s">
        <v>1840</v>
      </c>
      <c r="G2149" s="218" t="s">
        <v>1841</v>
      </c>
    </row>
    <row r="2150" spans="1:7" x14ac:dyDescent="0.15">
      <c r="A2150" s="218" t="s">
        <v>10833</v>
      </c>
      <c r="B2150" s="218" t="s">
        <v>1433</v>
      </c>
      <c r="C2150" s="218" t="s">
        <v>3534</v>
      </c>
      <c r="D2150" s="218" t="s">
        <v>1434</v>
      </c>
      <c r="E2150" s="218" t="s">
        <v>1839</v>
      </c>
      <c r="F2150" s="218" t="s">
        <v>1840</v>
      </c>
      <c r="G2150" s="218" t="s">
        <v>1841</v>
      </c>
    </row>
    <row r="2151" spans="1:7" x14ac:dyDescent="0.15">
      <c r="A2151" s="218" t="s">
        <v>10834</v>
      </c>
      <c r="B2151" s="218" t="s">
        <v>10835</v>
      </c>
      <c r="C2151" s="218" t="s">
        <v>3534</v>
      </c>
      <c r="D2151" s="218" t="s">
        <v>10836</v>
      </c>
      <c r="E2151" s="218" t="s">
        <v>1839</v>
      </c>
      <c r="F2151" s="218" t="s">
        <v>1840</v>
      </c>
      <c r="G2151" s="218" t="s">
        <v>1841</v>
      </c>
    </row>
    <row r="2152" spans="1:7" x14ac:dyDescent="0.15">
      <c r="A2152" s="218" t="s">
        <v>5781</v>
      </c>
      <c r="B2152" s="218" t="s">
        <v>5782</v>
      </c>
      <c r="C2152" s="218" t="s">
        <v>3534</v>
      </c>
      <c r="D2152" s="218" t="s">
        <v>5783</v>
      </c>
      <c r="E2152" s="218" t="s">
        <v>1839</v>
      </c>
      <c r="F2152" s="218" t="s">
        <v>1840</v>
      </c>
      <c r="G2152" s="218" t="s">
        <v>1841</v>
      </c>
    </row>
    <row r="2153" spans="1:7" x14ac:dyDescent="0.15">
      <c r="A2153" s="218" t="s">
        <v>10837</v>
      </c>
      <c r="B2153" s="218" t="s">
        <v>10838</v>
      </c>
      <c r="C2153" s="218" t="s">
        <v>3534</v>
      </c>
      <c r="D2153" s="218" t="s">
        <v>10839</v>
      </c>
      <c r="E2153" s="218" t="s">
        <v>1839</v>
      </c>
      <c r="F2153" s="218" t="s">
        <v>1840</v>
      </c>
      <c r="G2153" s="218" t="s">
        <v>1841</v>
      </c>
    </row>
    <row r="2154" spans="1:7" x14ac:dyDescent="0.15">
      <c r="A2154" s="218" t="s">
        <v>5784</v>
      </c>
      <c r="B2154" s="218" t="s">
        <v>5785</v>
      </c>
      <c r="C2154" s="218" t="s">
        <v>3534</v>
      </c>
      <c r="D2154" s="218" t="s">
        <v>5786</v>
      </c>
      <c r="E2154" s="218" t="s">
        <v>1839</v>
      </c>
      <c r="F2154" s="218" t="s">
        <v>1840</v>
      </c>
      <c r="G2154" s="218" t="s">
        <v>1841</v>
      </c>
    </row>
    <row r="2155" spans="1:7" x14ac:dyDescent="0.15">
      <c r="A2155" s="218" t="s">
        <v>5787</v>
      </c>
      <c r="B2155" s="218" t="s">
        <v>5788</v>
      </c>
      <c r="C2155" s="218" t="s">
        <v>3534</v>
      </c>
      <c r="D2155" s="218" t="s">
        <v>5789</v>
      </c>
      <c r="E2155" s="218" t="s">
        <v>1839</v>
      </c>
      <c r="F2155" s="218" t="s">
        <v>1840</v>
      </c>
      <c r="G2155" s="218" t="s">
        <v>1841</v>
      </c>
    </row>
    <row r="2156" spans="1:7" x14ac:dyDescent="0.15">
      <c r="A2156" s="218" t="s">
        <v>5790</v>
      </c>
      <c r="B2156" s="218" t="s">
        <v>5791</v>
      </c>
      <c r="C2156" s="218" t="s">
        <v>3534</v>
      </c>
      <c r="D2156" s="218" t="s">
        <v>5792</v>
      </c>
      <c r="E2156" s="218" t="s">
        <v>1839</v>
      </c>
      <c r="F2156" s="218" t="s">
        <v>1840</v>
      </c>
      <c r="G2156" s="218" t="s">
        <v>1841</v>
      </c>
    </row>
    <row r="2157" spans="1:7" x14ac:dyDescent="0.15">
      <c r="A2157" s="218" t="s">
        <v>5793</v>
      </c>
      <c r="B2157" s="218" t="s">
        <v>5794</v>
      </c>
      <c r="C2157" s="218" t="s">
        <v>3534</v>
      </c>
      <c r="D2157" s="218" t="s">
        <v>5795</v>
      </c>
      <c r="E2157" s="218" t="s">
        <v>1839</v>
      </c>
      <c r="F2157" s="218" t="s">
        <v>1840</v>
      </c>
      <c r="G2157" s="218" t="s">
        <v>1841</v>
      </c>
    </row>
    <row r="2158" spans="1:7" x14ac:dyDescent="0.15">
      <c r="A2158" s="218" t="s">
        <v>5796</v>
      </c>
      <c r="B2158" s="218" t="s">
        <v>5797</v>
      </c>
      <c r="C2158" s="218" t="s">
        <v>3534</v>
      </c>
      <c r="D2158" s="218" t="s">
        <v>5798</v>
      </c>
      <c r="E2158" s="218" t="s">
        <v>1839</v>
      </c>
      <c r="F2158" s="218" t="s">
        <v>1840</v>
      </c>
      <c r="G2158" s="218" t="s">
        <v>1841</v>
      </c>
    </row>
    <row r="2159" spans="1:7" x14ac:dyDescent="0.15">
      <c r="A2159" s="218" t="s">
        <v>5799</v>
      </c>
      <c r="B2159" s="218" t="s">
        <v>5800</v>
      </c>
      <c r="C2159" s="218" t="s">
        <v>3534</v>
      </c>
      <c r="D2159" s="218" t="s">
        <v>5801</v>
      </c>
      <c r="E2159" s="218" t="s">
        <v>1839</v>
      </c>
      <c r="F2159" s="218" t="s">
        <v>1840</v>
      </c>
      <c r="G2159" s="218" t="s">
        <v>1841</v>
      </c>
    </row>
    <row r="2160" spans="1:7" x14ac:dyDescent="0.15">
      <c r="A2160" s="218" t="s">
        <v>10840</v>
      </c>
      <c r="B2160" s="218" t="s">
        <v>1184</v>
      </c>
      <c r="C2160" s="218" t="s">
        <v>3534</v>
      </c>
      <c r="D2160" s="218" t="s">
        <v>1185</v>
      </c>
      <c r="E2160" s="218" t="s">
        <v>1839</v>
      </c>
      <c r="F2160" s="218" t="s">
        <v>1840</v>
      </c>
      <c r="G2160" s="218" t="s">
        <v>1841</v>
      </c>
    </row>
    <row r="2161" spans="1:7" x14ac:dyDescent="0.15">
      <c r="A2161" s="218" t="s">
        <v>10841</v>
      </c>
      <c r="B2161" s="218" t="s">
        <v>10842</v>
      </c>
      <c r="C2161" s="218" t="s">
        <v>3534</v>
      </c>
      <c r="D2161" s="218" t="s">
        <v>10843</v>
      </c>
      <c r="E2161" s="218" t="s">
        <v>1839</v>
      </c>
      <c r="F2161" s="218" t="s">
        <v>1840</v>
      </c>
      <c r="G2161" s="218" t="s">
        <v>1841</v>
      </c>
    </row>
    <row r="2162" spans="1:7" x14ac:dyDescent="0.15">
      <c r="A2162" s="218" t="s">
        <v>5802</v>
      </c>
      <c r="B2162" s="218" t="s">
        <v>5803</v>
      </c>
      <c r="C2162" s="218" t="s">
        <v>3534</v>
      </c>
      <c r="D2162" s="218" t="s">
        <v>5804</v>
      </c>
      <c r="E2162" s="218" t="s">
        <v>1839</v>
      </c>
      <c r="F2162" s="218" t="s">
        <v>1840</v>
      </c>
      <c r="G2162" s="218" t="s">
        <v>1841</v>
      </c>
    </row>
    <row r="2163" spans="1:7" x14ac:dyDescent="0.15">
      <c r="A2163" s="218" t="s">
        <v>10844</v>
      </c>
      <c r="B2163" s="218" t="s">
        <v>10845</v>
      </c>
      <c r="C2163" s="218" t="s">
        <v>3534</v>
      </c>
      <c r="D2163" s="218" t="s">
        <v>10846</v>
      </c>
      <c r="E2163" s="218" t="s">
        <v>1839</v>
      </c>
      <c r="F2163" s="218" t="s">
        <v>1840</v>
      </c>
      <c r="G2163" s="218" t="s">
        <v>1841</v>
      </c>
    </row>
    <row r="2164" spans="1:7" x14ac:dyDescent="0.15">
      <c r="A2164" s="218" t="s">
        <v>5805</v>
      </c>
      <c r="B2164" s="218" t="s">
        <v>5806</v>
      </c>
      <c r="C2164" s="218" t="s">
        <v>3534</v>
      </c>
      <c r="D2164" s="218" t="s">
        <v>5807</v>
      </c>
      <c r="E2164" s="218" t="s">
        <v>1839</v>
      </c>
      <c r="F2164" s="218" t="s">
        <v>1840</v>
      </c>
      <c r="G2164" s="218" t="s">
        <v>1841</v>
      </c>
    </row>
    <row r="2165" spans="1:7" x14ac:dyDescent="0.15">
      <c r="A2165" s="218" t="s">
        <v>10847</v>
      </c>
      <c r="B2165" s="218" t="s">
        <v>10848</v>
      </c>
      <c r="C2165" s="218" t="s">
        <v>3534</v>
      </c>
      <c r="D2165" s="218" t="s">
        <v>10849</v>
      </c>
      <c r="E2165" s="218" t="s">
        <v>1839</v>
      </c>
      <c r="F2165" s="218" t="s">
        <v>1840</v>
      </c>
      <c r="G2165" s="218" t="s">
        <v>1841</v>
      </c>
    </row>
    <row r="2166" spans="1:7" x14ac:dyDescent="0.15">
      <c r="A2166" s="218" t="s">
        <v>5808</v>
      </c>
      <c r="B2166" s="218" t="s">
        <v>5809</v>
      </c>
      <c r="C2166" s="218" t="s">
        <v>3534</v>
      </c>
      <c r="D2166" s="218" t="s">
        <v>5810</v>
      </c>
      <c r="E2166" s="218" t="s">
        <v>1839</v>
      </c>
      <c r="F2166" s="218" t="s">
        <v>1840</v>
      </c>
      <c r="G2166" s="218" t="s">
        <v>1841</v>
      </c>
    </row>
    <row r="2167" spans="1:7" x14ac:dyDescent="0.15">
      <c r="A2167" s="218" t="s">
        <v>10850</v>
      </c>
      <c r="B2167" s="218" t="s">
        <v>10851</v>
      </c>
      <c r="C2167" s="218" t="s">
        <v>3534</v>
      </c>
      <c r="D2167" s="218" t="s">
        <v>10852</v>
      </c>
      <c r="E2167" s="218" t="s">
        <v>1935</v>
      </c>
      <c r="F2167" s="218" t="s">
        <v>1840</v>
      </c>
      <c r="G2167" s="218" t="s">
        <v>1841</v>
      </c>
    </row>
    <row r="2168" spans="1:7" x14ac:dyDescent="0.15">
      <c r="A2168" s="218" t="s">
        <v>5811</v>
      </c>
      <c r="B2168" s="218" t="s">
        <v>5812</v>
      </c>
      <c r="C2168" s="218" t="s">
        <v>3534</v>
      </c>
      <c r="D2168" s="218" t="s">
        <v>5813</v>
      </c>
      <c r="E2168" s="218" t="s">
        <v>1839</v>
      </c>
      <c r="F2168" s="218" t="s">
        <v>1840</v>
      </c>
      <c r="G2168" s="218" t="s">
        <v>1841</v>
      </c>
    </row>
    <row r="2169" spans="1:7" x14ac:dyDescent="0.15">
      <c r="A2169" s="218" t="s">
        <v>10853</v>
      </c>
      <c r="B2169" s="218" t="s">
        <v>10854</v>
      </c>
      <c r="C2169" s="218" t="s">
        <v>3534</v>
      </c>
      <c r="D2169" s="218" t="s">
        <v>1721</v>
      </c>
      <c r="E2169" s="218" t="s">
        <v>1839</v>
      </c>
      <c r="F2169" s="218" t="s">
        <v>1840</v>
      </c>
      <c r="G2169" s="218" t="s">
        <v>1841</v>
      </c>
    </row>
    <row r="2170" spans="1:7" x14ac:dyDescent="0.15">
      <c r="A2170" s="218" t="s">
        <v>10855</v>
      </c>
      <c r="B2170" s="218" t="s">
        <v>10856</v>
      </c>
      <c r="C2170" s="218" t="s">
        <v>3534</v>
      </c>
      <c r="D2170" s="218" t="s">
        <v>10857</v>
      </c>
      <c r="E2170" s="218" t="s">
        <v>1839</v>
      </c>
      <c r="F2170" s="218" t="s">
        <v>1840</v>
      </c>
      <c r="G2170" s="218" t="s">
        <v>1841</v>
      </c>
    </row>
    <row r="2171" spans="1:7" x14ac:dyDescent="0.15">
      <c r="A2171" s="218" t="s">
        <v>10858</v>
      </c>
      <c r="B2171" s="218" t="s">
        <v>928</v>
      </c>
      <c r="C2171" s="218" t="s">
        <v>3534</v>
      </c>
      <c r="D2171" s="218" t="s">
        <v>929</v>
      </c>
      <c r="E2171" s="218" t="s">
        <v>1839</v>
      </c>
      <c r="F2171" s="218" t="s">
        <v>1840</v>
      </c>
      <c r="G2171" s="218" t="s">
        <v>1841</v>
      </c>
    </row>
    <row r="2172" spans="1:7" x14ac:dyDescent="0.15">
      <c r="A2172" s="218" t="s">
        <v>5817</v>
      </c>
      <c r="B2172" s="218" t="s">
        <v>5818</v>
      </c>
      <c r="C2172" s="218" t="s">
        <v>3534</v>
      </c>
      <c r="D2172" s="218" t="s">
        <v>5819</v>
      </c>
      <c r="E2172" s="218" t="s">
        <v>1839</v>
      </c>
      <c r="F2172" s="218" t="s">
        <v>1840</v>
      </c>
      <c r="G2172" s="218" t="s">
        <v>1841</v>
      </c>
    </row>
    <row r="2173" spans="1:7" x14ac:dyDescent="0.15">
      <c r="A2173" s="218" t="s">
        <v>10859</v>
      </c>
      <c r="B2173" s="218" t="s">
        <v>10860</v>
      </c>
      <c r="C2173" s="218" t="s">
        <v>3534</v>
      </c>
      <c r="D2173" s="218" t="s">
        <v>10861</v>
      </c>
      <c r="E2173" s="218" t="s">
        <v>1839</v>
      </c>
      <c r="F2173" s="218" t="s">
        <v>1840</v>
      </c>
      <c r="G2173" s="218" t="s">
        <v>1841</v>
      </c>
    </row>
    <row r="2174" spans="1:7" x14ac:dyDescent="0.15">
      <c r="A2174" s="218" t="s">
        <v>5820</v>
      </c>
      <c r="B2174" s="218" t="s">
        <v>5821</v>
      </c>
      <c r="C2174" s="218" t="s">
        <v>3534</v>
      </c>
      <c r="D2174" s="218" t="s">
        <v>5822</v>
      </c>
      <c r="E2174" s="218" t="s">
        <v>1839</v>
      </c>
      <c r="F2174" s="218" t="s">
        <v>1840</v>
      </c>
      <c r="G2174" s="218" t="s">
        <v>1841</v>
      </c>
    </row>
    <row r="2175" spans="1:7" x14ac:dyDescent="0.15">
      <c r="A2175" s="218" t="s">
        <v>10862</v>
      </c>
      <c r="B2175" s="218" t="s">
        <v>10863</v>
      </c>
      <c r="C2175" s="218" t="s">
        <v>3534</v>
      </c>
      <c r="D2175" s="218" t="s">
        <v>10864</v>
      </c>
      <c r="E2175" s="218" t="s">
        <v>1839</v>
      </c>
      <c r="F2175" s="218" t="s">
        <v>1840</v>
      </c>
      <c r="G2175" s="218" t="s">
        <v>1841</v>
      </c>
    </row>
    <row r="2176" spans="1:7" x14ac:dyDescent="0.15">
      <c r="A2176" s="218" t="s">
        <v>10865</v>
      </c>
      <c r="B2176" s="218" t="s">
        <v>1007</v>
      </c>
      <c r="C2176" s="218" t="s">
        <v>3534</v>
      </c>
      <c r="D2176" s="218" t="s">
        <v>1008</v>
      </c>
      <c r="E2176" s="218" t="s">
        <v>1839</v>
      </c>
      <c r="F2176" s="218" t="s">
        <v>1840</v>
      </c>
      <c r="G2176" s="218" t="s">
        <v>1841</v>
      </c>
    </row>
    <row r="2177" spans="1:7" x14ac:dyDescent="0.15">
      <c r="A2177" s="218" t="s">
        <v>10866</v>
      </c>
      <c r="B2177" s="218" t="s">
        <v>10867</v>
      </c>
      <c r="C2177" s="218" t="s">
        <v>3534</v>
      </c>
      <c r="D2177" s="218" t="s">
        <v>10868</v>
      </c>
      <c r="E2177" s="218" t="s">
        <v>1839</v>
      </c>
      <c r="F2177" s="218" t="s">
        <v>1840</v>
      </c>
      <c r="G2177" s="218" t="s">
        <v>1841</v>
      </c>
    </row>
    <row r="2178" spans="1:7" x14ac:dyDescent="0.15">
      <c r="A2178" s="218" t="s">
        <v>10869</v>
      </c>
      <c r="B2178" s="218" t="s">
        <v>10870</v>
      </c>
      <c r="C2178" s="218" t="s">
        <v>3534</v>
      </c>
      <c r="D2178" s="218" t="s">
        <v>10871</v>
      </c>
      <c r="E2178" s="218" t="s">
        <v>1839</v>
      </c>
      <c r="F2178" s="218" t="s">
        <v>1840</v>
      </c>
      <c r="G2178" s="218" t="s">
        <v>1841</v>
      </c>
    </row>
    <row r="2179" spans="1:7" x14ac:dyDescent="0.15">
      <c r="A2179" s="218" t="s">
        <v>11743</v>
      </c>
      <c r="B2179" s="218" t="s">
        <v>11744</v>
      </c>
      <c r="C2179" s="218" t="s">
        <v>3534</v>
      </c>
      <c r="D2179" s="218" t="s">
        <v>11745</v>
      </c>
      <c r="E2179" s="218" t="s">
        <v>1839</v>
      </c>
      <c r="F2179" s="218" t="s">
        <v>1840</v>
      </c>
      <c r="G2179" s="218" t="s">
        <v>1841</v>
      </c>
    </row>
    <row r="2180" spans="1:7" x14ac:dyDescent="0.15">
      <c r="A2180" s="218" t="s">
        <v>10872</v>
      </c>
      <c r="B2180" s="218" t="s">
        <v>741</v>
      </c>
      <c r="C2180" s="218" t="s">
        <v>3534</v>
      </c>
      <c r="D2180" s="218" t="s">
        <v>742</v>
      </c>
      <c r="E2180" s="218" t="s">
        <v>1839</v>
      </c>
      <c r="F2180" s="218" t="s">
        <v>1840</v>
      </c>
      <c r="G2180" s="218" t="s">
        <v>1841</v>
      </c>
    </row>
    <row r="2181" spans="1:7" x14ac:dyDescent="0.15">
      <c r="A2181" s="218" t="s">
        <v>5823</v>
      </c>
      <c r="B2181" s="218" t="s">
        <v>5824</v>
      </c>
      <c r="C2181" s="218" t="s">
        <v>3534</v>
      </c>
      <c r="D2181" s="218" t="s">
        <v>5825</v>
      </c>
      <c r="E2181" s="218" t="s">
        <v>1839</v>
      </c>
      <c r="F2181" s="218" t="s">
        <v>1840</v>
      </c>
      <c r="G2181" s="218" t="s">
        <v>1841</v>
      </c>
    </row>
    <row r="2182" spans="1:7" x14ac:dyDescent="0.15">
      <c r="A2182" s="218" t="s">
        <v>5826</v>
      </c>
      <c r="B2182" s="218" t="s">
        <v>5827</v>
      </c>
      <c r="C2182" s="218" t="s">
        <v>3534</v>
      </c>
      <c r="D2182" s="218" t="s">
        <v>5828</v>
      </c>
      <c r="E2182" s="218" t="s">
        <v>1839</v>
      </c>
      <c r="F2182" s="218" t="s">
        <v>1840</v>
      </c>
      <c r="G2182" s="218" t="s">
        <v>1841</v>
      </c>
    </row>
    <row r="2183" spans="1:7" x14ac:dyDescent="0.15">
      <c r="A2183" s="218" t="s">
        <v>10873</v>
      </c>
      <c r="B2183" s="218" t="s">
        <v>10874</v>
      </c>
      <c r="C2183" s="218" t="s">
        <v>3534</v>
      </c>
      <c r="D2183" s="218" t="s">
        <v>10875</v>
      </c>
      <c r="E2183" s="218" t="s">
        <v>1839</v>
      </c>
      <c r="F2183" s="218" t="s">
        <v>1840</v>
      </c>
      <c r="G2183" s="218" t="s">
        <v>1841</v>
      </c>
    </row>
    <row r="2184" spans="1:7" x14ac:dyDescent="0.15">
      <c r="A2184" s="218" t="s">
        <v>11746</v>
      </c>
      <c r="B2184" s="218" t="s">
        <v>11747</v>
      </c>
      <c r="C2184" s="218" t="s">
        <v>3534</v>
      </c>
      <c r="D2184" s="218" t="s">
        <v>11748</v>
      </c>
      <c r="E2184" s="218" t="s">
        <v>1839</v>
      </c>
      <c r="F2184" s="218" t="s">
        <v>1840</v>
      </c>
      <c r="G2184" s="218" t="s">
        <v>1841</v>
      </c>
    </row>
    <row r="2185" spans="1:7" x14ac:dyDescent="0.15">
      <c r="A2185" s="218" t="s">
        <v>5829</v>
      </c>
      <c r="B2185" s="218" t="s">
        <v>5830</v>
      </c>
      <c r="C2185" s="218" t="s">
        <v>3534</v>
      </c>
      <c r="D2185" s="218" t="s">
        <v>5831</v>
      </c>
      <c r="E2185" s="218" t="s">
        <v>1839</v>
      </c>
      <c r="F2185" s="218" t="s">
        <v>1840</v>
      </c>
      <c r="G2185" s="218" t="s">
        <v>1841</v>
      </c>
    </row>
    <row r="2186" spans="1:7" x14ac:dyDescent="0.15">
      <c r="A2186" s="218" t="s">
        <v>10876</v>
      </c>
      <c r="B2186" s="218" t="s">
        <v>10877</v>
      </c>
      <c r="C2186" s="218" t="s">
        <v>3534</v>
      </c>
      <c r="D2186" s="218" t="s">
        <v>10878</v>
      </c>
      <c r="E2186" s="218" t="s">
        <v>1839</v>
      </c>
      <c r="F2186" s="218" t="s">
        <v>1840</v>
      </c>
      <c r="G2186" s="218" t="s">
        <v>1841</v>
      </c>
    </row>
    <row r="2187" spans="1:7" x14ac:dyDescent="0.15">
      <c r="A2187" s="218" t="s">
        <v>10879</v>
      </c>
      <c r="B2187" s="218" t="s">
        <v>10880</v>
      </c>
      <c r="C2187" s="218" t="s">
        <v>3534</v>
      </c>
      <c r="D2187" s="218" t="s">
        <v>10881</v>
      </c>
      <c r="E2187" s="218" t="s">
        <v>1839</v>
      </c>
      <c r="F2187" s="218" t="s">
        <v>1840</v>
      </c>
      <c r="G2187" s="218" t="s">
        <v>1841</v>
      </c>
    </row>
    <row r="2188" spans="1:7" x14ac:dyDescent="0.15">
      <c r="A2188" s="218" t="s">
        <v>5832</v>
      </c>
      <c r="B2188" s="218" t="s">
        <v>5833</v>
      </c>
      <c r="C2188" s="218" t="s">
        <v>3534</v>
      </c>
      <c r="D2188" s="218" t="s">
        <v>5834</v>
      </c>
      <c r="E2188" s="218" t="s">
        <v>1839</v>
      </c>
      <c r="F2188" s="218" t="s">
        <v>1840</v>
      </c>
      <c r="G2188" s="218" t="s">
        <v>1841</v>
      </c>
    </row>
    <row r="2189" spans="1:7" x14ac:dyDescent="0.15">
      <c r="A2189" s="218" t="s">
        <v>10882</v>
      </c>
      <c r="B2189" s="218" t="s">
        <v>10883</v>
      </c>
      <c r="C2189" s="218" t="s">
        <v>3534</v>
      </c>
      <c r="D2189" s="218" t="s">
        <v>10884</v>
      </c>
      <c r="E2189" s="218" t="s">
        <v>1839</v>
      </c>
      <c r="F2189" s="218" t="s">
        <v>1840</v>
      </c>
      <c r="G2189" s="218" t="s">
        <v>1841</v>
      </c>
    </row>
    <row r="2190" spans="1:7" x14ac:dyDescent="0.15">
      <c r="A2190" s="218" t="s">
        <v>5838</v>
      </c>
      <c r="B2190" s="218" t="s">
        <v>5839</v>
      </c>
      <c r="C2190" s="218" t="s">
        <v>3534</v>
      </c>
      <c r="D2190" s="218" t="s">
        <v>5840</v>
      </c>
      <c r="E2190" s="218" t="s">
        <v>1839</v>
      </c>
      <c r="F2190" s="218" t="s">
        <v>1840</v>
      </c>
      <c r="G2190" s="218" t="s">
        <v>1841</v>
      </c>
    </row>
    <row r="2191" spans="1:7" x14ac:dyDescent="0.15">
      <c r="A2191" s="218" t="s">
        <v>10885</v>
      </c>
      <c r="B2191" s="218" t="s">
        <v>10886</v>
      </c>
      <c r="C2191" s="218" t="s">
        <v>3534</v>
      </c>
      <c r="D2191" s="218" t="s">
        <v>10887</v>
      </c>
      <c r="E2191" s="218" t="s">
        <v>1839</v>
      </c>
      <c r="F2191" s="218" t="s">
        <v>1840</v>
      </c>
      <c r="G2191" s="218" t="s">
        <v>1841</v>
      </c>
    </row>
    <row r="2192" spans="1:7" x14ac:dyDescent="0.15">
      <c r="A2192" s="218" t="s">
        <v>5841</v>
      </c>
      <c r="B2192" s="218" t="s">
        <v>5842</v>
      </c>
      <c r="C2192" s="218" t="s">
        <v>3534</v>
      </c>
      <c r="D2192" s="218" t="s">
        <v>5843</v>
      </c>
      <c r="E2192" s="218" t="s">
        <v>1839</v>
      </c>
      <c r="F2192" s="218" t="s">
        <v>1840</v>
      </c>
      <c r="G2192" s="218" t="s">
        <v>1841</v>
      </c>
    </row>
    <row r="2193" spans="1:7" x14ac:dyDescent="0.15">
      <c r="A2193" s="218" t="s">
        <v>5844</v>
      </c>
      <c r="B2193" s="218" t="s">
        <v>5845</v>
      </c>
      <c r="C2193" s="218" t="s">
        <v>3534</v>
      </c>
      <c r="D2193" s="218" t="s">
        <v>5846</v>
      </c>
      <c r="E2193" s="218" t="s">
        <v>1839</v>
      </c>
      <c r="F2193" s="218" t="s">
        <v>1840</v>
      </c>
      <c r="G2193" s="218" t="s">
        <v>1841</v>
      </c>
    </row>
    <row r="2194" spans="1:7" x14ac:dyDescent="0.15">
      <c r="A2194" s="218" t="s">
        <v>10891</v>
      </c>
      <c r="B2194" s="218" t="s">
        <v>10892</v>
      </c>
      <c r="C2194" s="218" t="s">
        <v>3534</v>
      </c>
      <c r="D2194" s="218" t="s">
        <v>10893</v>
      </c>
      <c r="E2194" s="218" t="s">
        <v>1839</v>
      </c>
      <c r="F2194" s="218" t="s">
        <v>1840</v>
      </c>
      <c r="G2194" s="218" t="s">
        <v>1841</v>
      </c>
    </row>
    <row r="2195" spans="1:7" x14ac:dyDescent="0.15">
      <c r="A2195" s="218" t="s">
        <v>5847</v>
      </c>
      <c r="B2195" s="218" t="s">
        <v>5848</v>
      </c>
      <c r="C2195" s="218" t="s">
        <v>3534</v>
      </c>
      <c r="D2195" s="218" t="s">
        <v>5849</v>
      </c>
      <c r="E2195" s="218" t="s">
        <v>1839</v>
      </c>
      <c r="F2195" s="218" t="s">
        <v>1840</v>
      </c>
      <c r="G2195" s="218" t="s">
        <v>1841</v>
      </c>
    </row>
    <row r="2196" spans="1:7" x14ac:dyDescent="0.15">
      <c r="A2196" s="218" t="s">
        <v>10894</v>
      </c>
      <c r="B2196" s="218" t="s">
        <v>10895</v>
      </c>
      <c r="C2196" s="218" t="s">
        <v>3534</v>
      </c>
      <c r="D2196" s="218" t="s">
        <v>10896</v>
      </c>
      <c r="E2196" s="218" t="s">
        <v>1839</v>
      </c>
      <c r="F2196" s="218" t="s">
        <v>1840</v>
      </c>
      <c r="G2196" s="218" t="s">
        <v>1841</v>
      </c>
    </row>
    <row r="2197" spans="1:7" x14ac:dyDescent="0.15">
      <c r="A2197" s="218" t="s">
        <v>11749</v>
      </c>
      <c r="B2197" s="218" t="s">
        <v>11750</v>
      </c>
      <c r="C2197" s="218" t="s">
        <v>3534</v>
      </c>
      <c r="D2197" s="218" t="s">
        <v>11751</v>
      </c>
      <c r="E2197" s="218" t="s">
        <v>1839</v>
      </c>
      <c r="F2197" s="218" t="s">
        <v>1840</v>
      </c>
      <c r="G2197" s="218" t="s">
        <v>1841</v>
      </c>
    </row>
    <row r="2198" spans="1:7" x14ac:dyDescent="0.15">
      <c r="A2198" s="218" t="s">
        <v>10897</v>
      </c>
      <c r="B2198" s="218" t="s">
        <v>10898</v>
      </c>
      <c r="C2198" s="218" t="s">
        <v>3534</v>
      </c>
      <c r="D2198" s="218" t="s">
        <v>10899</v>
      </c>
      <c r="E2198" s="218" t="s">
        <v>1839</v>
      </c>
      <c r="F2198" s="218" t="s">
        <v>1840</v>
      </c>
      <c r="G2198" s="218" t="s">
        <v>1841</v>
      </c>
    </row>
    <row r="2199" spans="1:7" x14ac:dyDescent="0.15">
      <c r="A2199" s="218" t="s">
        <v>5850</v>
      </c>
      <c r="B2199" s="218" t="s">
        <v>5851</v>
      </c>
      <c r="C2199" s="218" t="s">
        <v>3534</v>
      </c>
      <c r="D2199" s="218" t="s">
        <v>5852</v>
      </c>
      <c r="E2199" s="218" t="s">
        <v>1839</v>
      </c>
      <c r="F2199" s="218" t="s">
        <v>1840</v>
      </c>
      <c r="G2199" s="218" t="s">
        <v>1841</v>
      </c>
    </row>
    <row r="2200" spans="1:7" x14ac:dyDescent="0.15">
      <c r="A2200" s="218" t="s">
        <v>10900</v>
      </c>
      <c r="B2200" s="218" t="s">
        <v>1763</v>
      </c>
      <c r="C2200" s="218" t="s">
        <v>3534</v>
      </c>
      <c r="D2200" s="218" t="s">
        <v>1764</v>
      </c>
      <c r="E2200" s="218" t="s">
        <v>1839</v>
      </c>
      <c r="F2200" s="218" t="s">
        <v>1840</v>
      </c>
      <c r="G2200" s="218" t="s">
        <v>1841</v>
      </c>
    </row>
    <row r="2201" spans="1:7" x14ac:dyDescent="0.15">
      <c r="A2201" s="218" t="s">
        <v>5853</v>
      </c>
      <c r="B2201" s="218" t="s">
        <v>5854</v>
      </c>
      <c r="C2201" s="218" t="s">
        <v>3534</v>
      </c>
      <c r="D2201" s="218" t="s">
        <v>5855</v>
      </c>
      <c r="E2201" s="218" t="s">
        <v>1839</v>
      </c>
      <c r="F2201" s="218" t="s">
        <v>1840</v>
      </c>
      <c r="G2201" s="218" t="s">
        <v>1841</v>
      </c>
    </row>
    <row r="2202" spans="1:7" x14ac:dyDescent="0.15">
      <c r="A2202" s="218" t="s">
        <v>5856</v>
      </c>
      <c r="B2202" s="218" t="s">
        <v>5857</v>
      </c>
      <c r="C2202" s="218" t="s">
        <v>3534</v>
      </c>
      <c r="D2202" s="218" t="s">
        <v>5858</v>
      </c>
      <c r="E2202" s="218" t="s">
        <v>1839</v>
      </c>
      <c r="F2202" s="218" t="s">
        <v>1840</v>
      </c>
      <c r="G2202" s="218" t="s">
        <v>1841</v>
      </c>
    </row>
    <row r="2203" spans="1:7" x14ac:dyDescent="0.15">
      <c r="A2203" s="218" t="s">
        <v>10901</v>
      </c>
      <c r="B2203" s="218" t="s">
        <v>10902</v>
      </c>
      <c r="C2203" s="218" t="s">
        <v>3534</v>
      </c>
      <c r="D2203" s="218" t="s">
        <v>10903</v>
      </c>
      <c r="E2203" s="218" t="s">
        <v>1839</v>
      </c>
      <c r="F2203" s="218" t="s">
        <v>1840</v>
      </c>
      <c r="G2203" s="218" t="s">
        <v>1841</v>
      </c>
    </row>
    <row r="2204" spans="1:7" x14ac:dyDescent="0.15">
      <c r="A2204" s="218" t="s">
        <v>5859</v>
      </c>
      <c r="B2204" s="218" t="s">
        <v>5860</v>
      </c>
      <c r="C2204" s="218" t="s">
        <v>3534</v>
      </c>
      <c r="D2204" s="218" t="s">
        <v>5861</v>
      </c>
      <c r="E2204" s="218" t="s">
        <v>1839</v>
      </c>
      <c r="F2204" s="218" t="s">
        <v>1840</v>
      </c>
      <c r="G2204" s="218" t="s">
        <v>1841</v>
      </c>
    </row>
    <row r="2205" spans="1:7" x14ac:dyDescent="0.15">
      <c r="A2205" s="218" t="s">
        <v>5862</v>
      </c>
      <c r="B2205" s="218" t="s">
        <v>5863</v>
      </c>
      <c r="C2205" s="218" t="s">
        <v>3534</v>
      </c>
      <c r="D2205" s="218" t="s">
        <v>5864</v>
      </c>
      <c r="E2205" s="218" t="s">
        <v>1839</v>
      </c>
      <c r="F2205" s="218" t="s">
        <v>1840</v>
      </c>
      <c r="G2205" s="218" t="s">
        <v>1841</v>
      </c>
    </row>
    <row r="2206" spans="1:7" x14ac:dyDescent="0.15">
      <c r="A2206" s="218" t="s">
        <v>10904</v>
      </c>
      <c r="B2206" s="218" t="s">
        <v>10905</v>
      </c>
      <c r="C2206" s="218" t="s">
        <v>3534</v>
      </c>
      <c r="D2206" s="218" t="s">
        <v>10906</v>
      </c>
      <c r="E2206" s="218" t="s">
        <v>1839</v>
      </c>
      <c r="F2206" s="218" t="s">
        <v>1840</v>
      </c>
      <c r="G2206" s="218" t="s">
        <v>1841</v>
      </c>
    </row>
    <row r="2207" spans="1:7" x14ac:dyDescent="0.15">
      <c r="A2207" s="218" t="s">
        <v>10907</v>
      </c>
      <c r="B2207" s="218" t="s">
        <v>10908</v>
      </c>
      <c r="C2207" s="218" t="s">
        <v>3534</v>
      </c>
      <c r="D2207" s="218" t="s">
        <v>10909</v>
      </c>
      <c r="E2207" s="218" t="s">
        <v>1839</v>
      </c>
      <c r="F2207" s="218" t="s">
        <v>1840</v>
      </c>
      <c r="G2207" s="218" t="s">
        <v>1841</v>
      </c>
    </row>
    <row r="2208" spans="1:7" x14ac:dyDescent="0.15">
      <c r="A2208" s="218" t="s">
        <v>10910</v>
      </c>
      <c r="B2208" s="218" t="s">
        <v>10911</v>
      </c>
      <c r="C2208" s="218" t="s">
        <v>3534</v>
      </c>
      <c r="D2208" s="218" t="s">
        <v>10912</v>
      </c>
      <c r="E2208" s="218" t="s">
        <v>1839</v>
      </c>
      <c r="F2208" s="218" t="s">
        <v>1840</v>
      </c>
      <c r="G2208" s="218" t="s">
        <v>1841</v>
      </c>
    </row>
    <row r="2209" spans="1:7" x14ac:dyDescent="0.15">
      <c r="A2209" s="218" t="s">
        <v>5865</v>
      </c>
      <c r="B2209" s="218" t="s">
        <v>5866</v>
      </c>
      <c r="C2209" s="218" t="s">
        <v>3534</v>
      </c>
      <c r="D2209" s="218" t="s">
        <v>5867</v>
      </c>
      <c r="E2209" s="218" t="s">
        <v>1839</v>
      </c>
      <c r="F2209" s="218" t="s">
        <v>1840</v>
      </c>
      <c r="G2209" s="218" t="s">
        <v>1841</v>
      </c>
    </row>
    <row r="2210" spans="1:7" x14ac:dyDescent="0.15">
      <c r="A2210" s="218" t="s">
        <v>10913</v>
      </c>
      <c r="B2210" s="218" t="s">
        <v>10914</v>
      </c>
      <c r="C2210" s="218" t="s">
        <v>3534</v>
      </c>
      <c r="D2210" s="218" t="s">
        <v>10915</v>
      </c>
      <c r="E2210" s="218" t="s">
        <v>1839</v>
      </c>
      <c r="F2210" s="218" t="s">
        <v>1840</v>
      </c>
      <c r="G2210" s="218" t="s">
        <v>1841</v>
      </c>
    </row>
    <row r="2211" spans="1:7" x14ac:dyDescent="0.15">
      <c r="A2211" s="218" t="s">
        <v>10916</v>
      </c>
      <c r="B2211" s="218" t="s">
        <v>10917</v>
      </c>
      <c r="C2211" s="218" t="s">
        <v>3534</v>
      </c>
      <c r="D2211" s="218" t="s">
        <v>10918</v>
      </c>
      <c r="E2211" s="218" t="s">
        <v>1839</v>
      </c>
      <c r="F2211" s="218" t="s">
        <v>1840</v>
      </c>
      <c r="G2211" s="218" t="s">
        <v>1841</v>
      </c>
    </row>
    <row r="2212" spans="1:7" x14ac:dyDescent="0.15">
      <c r="A2212" s="218" t="s">
        <v>10919</v>
      </c>
      <c r="B2212" s="218" t="s">
        <v>10920</v>
      </c>
      <c r="C2212" s="218" t="s">
        <v>3534</v>
      </c>
      <c r="D2212" s="218" t="s">
        <v>10921</v>
      </c>
      <c r="E2212" s="218" t="s">
        <v>1839</v>
      </c>
      <c r="F2212" s="218" t="s">
        <v>1840</v>
      </c>
      <c r="G2212" s="218" t="s">
        <v>1841</v>
      </c>
    </row>
    <row r="2213" spans="1:7" x14ac:dyDescent="0.15">
      <c r="A2213" s="218" t="s">
        <v>5868</v>
      </c>
      <c r="B2213" s="218" t="s">
        <v>5869</v>
      </c>
      <c r="C2213" s="218" t="s">
        <v>3534</v>
      </c>
      <c r="D2213" s="218" t="s">
        <v>5870</v>
      </c>
      <c r="E2213" s="218" t="s">
        <v>1839</v>
      </c>
      <c r="F2213" s="218" t="s">
        <v>1840</v>
      </c>
      <c r="G2213" s="218" t="s">
        <v>1841</v>
      </c>
    </row>
    <row r="2214" spans="1:7" x14ac:dyDescent="0.15">
      <c r="A2214" s="218" t="s">
        <v>10922</v>
      </c>
      <c r="B2214" s="218" t="s">
        <v>10923</v>
      </c>
      <c r="C2214" s="218" t="s">
        <v>3534</v>
      </c>
      <c r="D2214" s="218" t="s">
        <v>10924</v>
      </c>
      <c r="E2214" s="218" t="s">
        <v>1839</v>
      </c>
      <c r="F2214" s="218" t="s">
        <v>1840</v>
      </c>
      <c r="G2214" s="218" t="s">
        <v>1841</v>
      </c>
    </row>
    <row r="2215" spans="1:7" x14ac:dyDescent="0.15">
      <c r="A2215" s="218" t="s">
        <v>5871</v>
      </c>
      <c r="B2215" s="218" t="s">
        <v>5872</v>
      </c>
      <c r="C2215" s="218" t="s">
        <v>3534</v>
      </c>
      <c r="D2215" s="218" t="s">
        <v>5873</v>
      </c>
      <c r="E2215" s="218" t="s">
        <v>1839</v>
      </c>
      <c r="F2215" s="218" t="s">
        <v>1840</v>
      </c>
      <c r="G2215" s="218" t="s">
        <v>1841</v>
      </c>
    </row>
    <row r="2216" spans="1:7" x14ac:dyDescent="0.15">
      <c r="A2216" s="218" t="s">
        <v>10925</v>
      </c>
      <c r="B2216" s="218" t="s">
        <v>1422</v>
      </c>
      <c r="C2216" s="218" t="s">
        <v>3534</v>
      </c>
      <c r="D2216" s="218" t="s">
        <v>1423</v>
      </c>
      <c r="E2216" s="218" t="s">
        <v>1839</v>
      </c>
      <c r="F2216" s="218" t="s">
        <v>1840</v>
      </c>
      <c r="G2216" s="218" t="s">
        <v>1841</v>
      </c>
    </row>
    <row r="2217" spans="1:7" x14ac:dyDescent="0.15">
      <c r="A2217" s="218" t="s">
        <v>5874</v>
      </c>
      <c r="B2217" s="218" t="s">
        <v>5875</v>
      </c>
      <c r="C2217" s="218" t="s">
        <v>3534</v>
      </c>
      <c r="D2217" s="218" t="s">
        <v>5876</v>
      </c>
      <c r="E2217" s="218" t="s">
        <v>1839</v>
      </c>
      <c r="F2217" s="218" t="s">
        <v>1840</v>
      </c>
      <c r="G2217" s="218" t="s">
        <v>1841</v>
      </c>
    </row>
    <row r="2218" spans="1:7" x14ac:dyDescent="0.15">
      <c r="A2218" s="218" t="s">
        <v>5877</v>
      </c>
      <c r="B2218" s="218" t="s">
        <v>5878</v>
      </c>
      <c r="C2218" s="218" t="s">
        <v>3534</v>
      </c>
      <c r="D2218" s="218" t="s">
        <v>5879</v>
      </c>
      <c r="E2218" s="218" t="s">
        <v>1839</v>
      </c>
      <c r="F2218" s="218" t="s">
        <v>1840</v>
      </c>
      <c r="G2218" s="218" t="s">
        <v>1841</v>
      </c>
    </row>
    <row r="2219" spans="1:7" x14ac:dyDescent="0.15">
      <c r="A2219" s="218" t="s">
        <v>10926</v>
      </c>
      <c r="B2219" s="218" t="s">
        <v>10927</v>
      </c>
      <c r="C2219" s="218" t="s">
        <v>3534</v>
      </c>
      <c r="D2219" s="218" t="s">
        <v>10928</v>
      </c>
      <c r="E2219" s="218" t="s">
        <v>1839</v>
      </c>
      <c r="F2219" s="218" t="s">
        <v>1840</v>
      </c>
      <c r="G2219" s="218" t="s">
        <v>1841</v>
      </c>
    </row>
    <row r="2220" spans="1:7" x14ac:dyDescent="0.15">
      <c r="A2220" s="218" t="s">
        <v>10929</v>
      </c>
      <c r="B2220" s="218" t="s">
        <v>805</v>
      </c>
      <c r="C2220" s="218" t="s">
        <v>3534</v>
      </c>
      <c r="D2220" s="218" t="s">
        <v>806</v>
      </c>
      <c r="E2220" s="218" t="s">
        <v>1839</v>
      </c>
      <c r="F2220" s="218" t="s">
        <v>1840</v>
      </c>
      <c r="G2220" s="218" t="s">
        <v>1841</v>
      </c>
    </row>
    <row r="2221" spans="1:7" x14ac:dyDescent="0.15">
      <c r="A2221" s="218" t="s">
        <v>5880</v>
      </c>
      <c r="B2221" s="218" t="s">
        <v>5881</v>
      </c>
      <c r="C2221" s="218" t="s">
        <v>3534</v>
      </c>
      <c r="D2221" s="218" t="s">
        <v>5882</v>
      </c>
      <c r="E2221" s="218" t="s">
        <v>1839</v>
      </c>
      <c r="F2221" s="218" t="s">
        <v>1840</v>
      </c>
      <c r="G2221" s="218" t="s">
        <v>1841</v>
      </c>
    </row>
    <row r="2222" spans="1:7" x14ac:dyDescent="0.15">
      <c r="A2222" s="218" t="s">
        <v>5883</v>
      </c>
      <c r="B2222" s="218" t="s">
        <v>5884</v>
      </c>
      <c r="C2222" s="218" t="s">
        <v>3534</v>
      </c>
      <c r="D2222" s="218" t="s">
        <v>5885</v>
      </c>
      <c r="E2222" s="218" t="s">
        <v>1839</v>
      </c>
      <c r="F2222" s="218" t="s">
        <v>1840</v>
      </c>
      <c r="G2222" s="218" t="s">
        <v>1841</v>
      </c>
    </row>
    <row r="2223" spans="1:7" x14ac:dyDescent="0.15">
      <c r="A2223" s="218" t="s">
        <v>10933</v>
      </c>
      <c r="B2223" s="218" t="s">
        <v>10934</v>
      </c>
      <c r="C2223" s="218" t="s">
        <v>3534</v>
      </c>
      <c r="D2223" s="218" t="s">
        <v>10935</v>
      </c>
      <c r="E2223" s="218" t="s">
        <v>1839</v>
      </c>
      <c r="F2223" s="218" t="s">
        <v>1840</v>
      </c>
      <c r="G2223" s="218" t="s">
        <v>1841</v>
      </c>
    </row>
    <row r="2224" spans="1:7" x14ac:dyDescent="0.15">
      <c r="A2224" s="218" t="s">
        <v>10936</v>
      </c>
      <c r="B2224" s="218" t="s">
        <v>1260</v>
      </c>
      <c r="C2224" s="218" t="s">
        <v>3534</v>
      </c>
      <c r="D2224" s="218" t="s">
        <v>1261</v>
      </c>
      <c r="E2224" s="218" t="s">
        <v>1839</v>
      </c>
      <c r="F2224" s="218" t="s">
        <v>1840</v>
      </c>
      <c r="G2224" s="218" t="s">
        <v>1841</v>
      </c>
    </row>
    <row r="2225" spans="1:7" x14ac:dyDescent="0.15">
      <c r="A2225" s="218" t="s">
        <v>5887</v>
      </c>
      <c r="B2225" s="218" t="s">
        <v>5888</v>
      </c>
      <c r="C2225" s="218" t="s">
        <v>3534</v>
      </c>
      <c r="D2225" s="218" t="s">
        <v>5889</v>
      </c>
      <c r="E2225" s="218" t="s">
        <v>1839</v>
      </c>
      <c r="F2225" s="218" t="s">
        <v>1840</v>
      </c>
      <c r="G2225" s="218" t="s">
        <v>1841</v>
      </c>
    </row>
    <row r="2226" spans="1:7" x14ac:dyDescent="0.15">
      <c r="A2226" s="218" t="s">
        <v>10937</v>
      </c>
      <c r="B2226" s="218" t="s">
        <v>10938</v>
      </c>
      <c r="C2226" s="218" t="s">
        <v>3534</v>
      </c>
      <c r="D2226" s="218" t="s">
        <v>10939</v>
      </c>
      <c r="E2226" s="218" t="s">
        <v>1839</v>
      </c>
      <c r="F2226" s="218" t="s">
        <v>1840</v>
      </c>
      <c r="G2226" s="218" t="s">
        <v>1841</v>
      </c>
    </row>
    <row r="2227" spans="1:7" x14ac:dyDescent="0.15">
      <c r="A2227" s="218" t="s">
        <v>5890</v>
      </c>
      <c r="B2227" s="218" t="s">
        <v>5891</v>
      </c>
      <c r="C2227" s="218" t="s">
        <v>3534</v>
      </c>
      <c r="D2227" s="218" t="s">
        <v>5892</v>
      </c>
      <c r="E2227" s="218" t="s">
        <v>1839</v>
      </c>
      <c r="F2227" s="218" t="s">
        <v>1840</v>
      </c>
      <c r="G2227" s="218" t="s">
        <v>1841</v>
      </c>
    </row>
    <row r="2228" spans="1:7" x14ac:dyDescent="0.15">
      <c r="A2228" s="218" t="s">
        <v>5893</v>
      </c>
      <c r="B2228" s="218" t="s">
        <v>5894</v>
      </c>
      <c r="C2228" s="218" t="s">
        <v>3534</v>
      </c>
      <c r="D2228" s="218" t="s">
        <v>5895</v>
      </c>
      <c r="E2228" s="218" t="s">
        <v>1839</v>
      </c>
      <c r="F2228" s="218" t="s">
        <v>1840</v>
      </c>
      <c r="G2228" s="218" t="s">
        <v>1841</v>
      </c>
    </row>
    <row r="2229" spans="1:7" x14ac:dyDescent="0.15">
      <c r="A2229" s="218" t="s">
        <v>10940</v>
      </c>
      <c r="B2229" s="218" t="s">
        <v>10941</v>
      </c>
      <c r="C2229" s="218" t="s">
        <v>3534</v>
      </c>
      <c r="D2229" s="218" t="s">
        <v>10942</v>
      </c>
      <c r="E2229" s="218" t="s">
        <v>1839</v>
      </c>
      <c r="F2229" s="218" t="s">
        <v>1840</v>
      </c>
      <c r="G2229" s="218" t="s">
        <v>1841</v>
      </c>
    </row>
    <row r="2230" spans="1:7" x14ac:dyDescent="0.15">
      <c r="A2230" s="218" t="s">
        <v>5896</v>
      </c>
      <c r="B2230" s="218" t="s">
        <v>5897</v>
      </c>
      <c r="C2230" s="218" t="s">
        <v>3534</v>
      </c>
      <c r="D2230" s="218" t="s">
        <v>5898</v>
      </c>
      <c r="E2230" s="218" t="s">
        <v>1839</v>
      </c>
      <c r="F2230" s="218" t="s">
        <v>1840</v>
      </c>
      <c r="G2230" s="218" t="s">
        <v>1841</v>
      </c>
    </row>
    <row r="2231" spans="1:7" x14ac:dyDescent="0.15">
      <c r="A2231" s="218" t="s">
        <v>10943</v>
      </c>
      <c r="B2231" s="218" t="s">
        <v>10944</v>
      </c>
      <c r="C2231" s="218" t="s">
        <v>3534</v>
      </c>
      <c r="D2231" s="218" t="s">
        <v>10945</v>
      </c>
      <c r="E2231" s="218" t="s">
        <v>1839</v>
      </c>
      <c r="F2231" s="218" t="s">
        <v>1840</v>
      </c>
      <c r="G2231" s="218" t="s">
        <v>1841</v>
      </c>
    </row>
    <row r="2232" spans="1:7" x14ac:dyDescent="0.15">
      <c r="A2232" s="218" t="s">
        <v>10946</v>
      </c>
      <c r="B2232" s="218" t="s">
        <v>10947</v>
      </c>
      <c r="C2232" s="218" t="s">
        <v>3534</v>
      </c>
      <c r="D2232" s="218" t="s">
        <v>10948</v>
      </c>
      <c r="E2232" s="218" t="s">
        <v>1839</v>
      </c>
      <c r="F2232" s="218" t="s">
        <v>1840</v>
      </c>
      <c r="G2232" s="218" t="s">
        <v>1841</v>
      </c>
    </row>
    <row r="2233" spans="1:7" x14ac:dyDescent="0.15">
      <c r="A2233" s="218" t="s">
        <v>5899</v>
      </c>
      <c r="B2233" s="218" t="s">
        <v>5900</v>
      </c>
      <c r="C2233" s="218" t="s">
        <v>3534</v>
      </c>
      <c r="D2233" s="218" t="s">
        <v>5901</v>
      </c>
      <c r="E2233" s="218" t="s">
        <v>1839</v>
      </c>
      <c r="F2233" s="218" t="s">
        <v>1840</v>
      </c>
      <c r="G2233" s="218" t="s">
        <v>1841</v>
      </c>
    </row>
    <row r="2234" spans="1:7" x14ac:dyDescent="0.15">
      <c r="A2234" s="218" t="s">
        <v>5902</v>
      </c>
      <c r="B2234" s="218" t="s">
        <v>5903</v>
      </c>
      <c r="C2234" s="218" t="s">
        <v>3534</v>
      </c>
      <c r="D2234" s="218" t="s">
        <v>5904</v>
      </c>
      <c r="E2234" s="218" t="s">
        <v>1839</v>
      </c>
      <c r="F2234" s="218" t="s">
        <v>1840</v>
      </c>
      <c r="G2234" s="218" t="s">
        <v>1841</v>
      </c>
    </row>
    <row r="2235" spans="1:7" x14ac:dyDescent="0.15">
      <c r="A2235" s="218" t="s">
        <v>5905</v>
      </c>
      <c r="B2235" s="218" t="s">
        <v>5906</v>
      </c>
      <c r="C2235" s="218" t="s">
        <v>3534</v>
      </c>
      <c r="D2235" s="218" t="s">
        <v>5907</v>
      </c>
      <c r="E2235" s="218" t="s">
        <v>1839</v>
      </c>
      <c r="F2235" s="218" t="s">
        <v>1840</v>
      </c>
      <c r="G2235" s="218" t="s">
        <v>1841</v>
      </c>
    </row>
    <row r="2236" spans="1:7" x14ac:dyDescent="0.15">
      <c r="A2236" s="218" t="s">
        <v>10949</v>
      </c>
      <c r="B2236" s="218" t="s">
        <v>10950</v>
      </c>
      <c r="C2236" s="218" t="s">
        <v>3534</v>
      </c>
      <c r="D2236" s="218" t="s">
        <v>10951</v>
      </c>
      <c r="E2236" s="218" t="s">
        <v>1839</v>
      </c>
      <c r="F2236" s="218" t="s">
        <v>1840</v>
      </c>
      <c r="G2236" s="218" t="s">
        <v>1841</v>
      </c>
    </row>
    <row r="2237" spans="1:7" x14ac:dyDescent="0.15">
      <c r="A2237" s="218" t="s">
        <v>10952</v>
      </c>
      <c r="B2237" s="218" t="s">
        <v>10953</v>
      </c>
      <c r="C2237" s="218" t="s">
        <v>3534</v>
      </c>
      <c r="D2237" s="218" t="s">
        <v>10954</v>
      </c>
      <c r="E2237" s="218" t="s">
        <v>1839</v>
      </c>
      <c r="F2237" s="218" t="s">
        <v>1840</v>
      </c>
      <c r="G2237" s="218" t="s">
        <v>1841</v>
      </c>
    </row>
    <row r="2238" spans="1:7" x14ac:dyDescent="0.15">
      <c r="A2238" s="218" t="s">
        <v>10955</v>
      </c>
      <c r="B2238" s="218" t="s">
        <v>10956</v>
      </c>
      <c r="C2238" s="218" t="s">
        <v>3534</v>
      </c>
      <c r="D2238" s="218" t="s">
        <v>10957</v>
      </c>
      <c r="E2238" s="218" t="s">
        <v>1839</v>
      </c>
      <c r="F2238" s="218" t="s">
        <v>1840</v>
      </c>
      <c r="G2238" s="218" t="s">
        <v>1841</v>
      </c>
    </row>
    <row r="2239" spans="1:7" x14ac:dyDescent="0.15">
      <c r="A2239" s="218" t="s">
        <v>5908</v>
      </c>
      <c r="B2239" s="218" t="s">
        <v>5909</v>
      </c>
      <c r="C2239" s="218" t="s">
        <v>3534</v>
      </c>
      <c r="D2239" s="218" t="s">
        <v>5910</v>
      </c>
      <c r="E2239" s="218" t="s">
        <v>1839</v>
      </c>
      <c r="F2239" s="218" t="s">
        <v>1840</v>
      </c>
      <c r="G2239" s="218" t="s">
        <v>1841</v>
      </c>
    </row>
    <row r="2240" spans="1:7" x14ac:dyDescent="0.15">
      <c r="A2240" s="218" t="s">
        <v>11752</v>
      </c>
      <c r="B2240" s="218" t="s">
        <v>11753</v>
      </c>
      <c r="C2240" s="218" t="s">
        <v>3534</v>
      </c>
      <c r="D2240" s="218" t="s">
        <v>11754</v>
      </c>
      <c r="E2240" s="218" t="s">
        <v>1839</v>
      </c>
      <c r="F2240" s="218" t="s">
        <v>1840</v>
      </c>
      <c r="G2240" s="218" t="s">
        <v>1841</v>
      </c>
    </row>
    <row r="2241" spans="1:7" x14ac:dyDescent="0.15">
      <c r="A2241" s="218" t="s">
        <v>5911</v>
      </c>
      <c r="B2241" s="218" t="s">
        <v>5912</v>
      </c>
      <c r="C2241" s="218" t="s">
        <v>3534</v>
      </c>
      <c r="D2241" s="218" t="s">
        <v>5913</v>
      </c>
      <c r="E2241" s="218" t="s">
        <v>1839</v>
      </c>
      <c r="F2241" s="218" t="s">
        <v>1840</v>
      </c>
      <c r="G2241" s="218" t="s">
        <v>1841</v>
      </c>
    </row>
    <row r="2242" spans="1:7" x14ac:dyDescent="0.15">
      <c r="A2242" s="218" t="s">
        <v>5914</v>
      </c>
      <c r="B2242" s="218" t="s">
        <v>5915</v>
      </c>
      <c r="C2242" s="218" t="s">
        <v>3534</v>
      </c>
      <c r="D2242" s="218" t="s">
        <v>5916</v>
      </c>
      <c r="E2242" s="218" t="s">
        <v>1839</v>
      </c>
      <c r="F2242" s="218" t="s">
        <v>1840</v>
      </c>
      <c r="G2242" s="218" t="s">
        <v>1841</v>
      </c>
    </row>
    <row r="2243" spans="1:7" x14ac:dyDescent="0.15">
      <c r="A2243" s="218" t="s">
        <v>10958</v>
      </c>
      <c r="B2243" s="218" t="s">
        <v>10959</v>
      </c>
      <c r="C2243" s="218" t="s">
        <v>3534</v>
      </c>
      <c r="D2243" s="218" t="s">
        <v>10960</v>
      </c>
      <c r="E2243" s="218" t="s">
        <v>1839</v>
      </c>
      <c r="F2243" s="218" t="s">
        <v>1840</v>
      </c>
      <c r="G2243" s="218" t="s">
        <v>1841</v>
      </c>
    </row>
    <row r="2244" spans="1:7" x14ac:dyDescent="0.15">
      <c r="A2244" s="218" t="s">
        <v>5917</v>
      </c>
      <c r="B2244" s="218" t="s">
        <v>5918</v>
      </c>
      <c r="C2244" s="218" t="s">
        <v>3534</v>
      </c>
      <c r="D2244" s="218" t="s">
        <v>5919</v>
      </c>
      <c r="E2244" s="218" t="s">
        <v>1935</v>
      </c>
      <c r="F2244" s="218" t="s">
        <v>1840</v>
      </c>
      <c r="G2244" s="218" t="s">
        <v>1841</v>
      </c>
    </row>
    <row r="2245" spans="1:7" x14ac:dyDescent="0.15">
      <c r="A2245" s="218" t="s">
        <v>10961</v>
      </c>
      <c r="B2245" s="218" t="s">
        <v>10962</v>
      </c>
      <c r="C2245" s="218" t="s">
        <v>3534</v>
      </c>
      <c r="D2245" s="218" t="s">
        <v>10963</v>
      </c>
      <c r="E2245" s="218" t="s">
        <v>1839</v>
      </c>
      <c r="F2245" s="218" t="s">
        <v>1840</v>
      </c>
      <c r="G2245" s="218" t="s">
        <v>1841</v>
      </c>
    </row>
    <row r="2246" spans="1:7" x14ac:dyDescent="0.15">
      <c r="A2246" s="218" t="s">
        <v>10964</v>
      </c>
      <c r="B2246" s="218" t="s">
        <v>10965</v>
      </c>
      <c r="C2246" s="218" t="s">
        <v>3534</v>
      </c>
      <c r="D2246" s="218" t="s">
        <v>10966</v>
      </c>
      <c r="E2246" s="218" t="s">
        <v>1839</v>
      </c>
      <c r="F2246" s="218" t="s">
        <v>1840</v>
      </c>
      <c r="G2246" s="218" t="s">
        <v>1841</v>
      </c>
    </row>
    <row r="2247" spans="1:7" x14ac:dyDescent="0.15">
      <c r="A2247" s="218" t="s">
        <v>11755</v>
      </c>
      <c r="B2247" s="218" t="s">
        <v>11756</v>
      </c>
      <c r="C2247" s="218" t="s">
        <v>3534</v>
      </c>
      <c r="D2247" s="218" t="s">
        <v>11757</v>
      </c>
      <c r="E2247" s="218" t="s">
        <v>1935</v>
      </c>
      <c r="F2247" s="218" t="s">
        <v>1840</v>
      </c>
      <c r="G2247" s="218" t="s">
        <v>1841</v>
      </c>
    </row>
    <row r="2248" spans="1:7" x14ac:dyDescent="0.15">
      <c r="A2248" s="218" t="s">
        <v>5920</v>
      </c>
      <c r="B2248" s="218" t="s">
        <v>5921</v>
      </c>
      <c r="C2248" s="218" t="s">
        <v>3534</v>
      </c>
      <c r="D2248" s="218" t="s">
        <v>5922</v>
      </c>
      <c r="E2248" s="218" t="s">
        <v>1839</v>
      </c>
      <c r="F2248" s="218" t="s">
        <v>1840</v>
      </c>
      <c r="G2248" s="218" t="s">
        <v>1841</v>
      </c>
    </row>
    <row r="2249" spans="1:7" x14ac:dyDescent="0.15">
      <c r="A2249" s="218" t="s">
        <v>10967</v>
      </c>
      <c r="B2249" s="218" t="s">
        <v>10968</v>
      </c>
      <c r="C2249" s="218" t="s">
        <v>3534</v>
      </c>
      <c r="D2249" s="218" t="s">
        <v>10969</v>
      </c>
      <c r="E2249" s="218" t="s">
        <v>1839</v>
      </c>
      <c r="F2249" s="218" t="s">
        <v>1840</v>
      </c>
      <c r="G2249" s="218" t="s">
        <v>1841</v>
      </c>
    </row>
    <row r="2250" spans="1:7" x14ac:dyDescent="0.15">
      <c r="A2250" s="218" t="s">
        <v>5929</v>
      </c>
      <c r="B2250" s="218" t="s">
        <v>5930</v>
      </c>
      <c r="C2250" s="218" t="s">
        <v>3534</v>
      </c>
      <c r="D2250" s="218" t="s">
        <v>5931</v>
      </c>
      <c r="E2250" s="218" t="s">
        <v>1839</v>
      </c>
      <c r="F2250" s="218" t="s">
        <v>1840</v>
      </c>
      <c r="G2250" s="218" t="s">
        <v>1841</v>
      </c>
    </row>
    <row r="2251" spans="1:7" x14ac:dyDescent="0.15">
      <c r="A2251" s="218" t="s">
        <v>10970</v>
      </c>
      <c r="B2251" s="218" t="s">
        <v>1255</v>
      </c>
      <c r="C2251" s="218" t="s">
        <v>3534</v>
      </c>
      <c r="D2251" s="218" t="s">
        <v>10971</v>
      </c>
      <c r="E2251" s="218" t="s">
        <v>1839</v>
      </c>
      <c r="F2251" s="218" t="s">
        <v>1840</v>
      </c>
      <c r="G2251" s="218" t="s">
        <v>1841</v>
      </c>
    </row>
    <row r="2252" spans="1:7" x14ac:dyDescent="0.15">
      <c r="A2252" s="218" t="s">
        <v>10972</v>
      </c>
      <c r="B2252" s="218" t="s">
        <v>10973</v>
      </c>
      <c r="C2252" s="218" t="s">
        <v>3534</v>
      </c>
      <c r="D2252" s="218" t="s">
        <v>10974</v>
      </c>
      <c r="E2252" s="218" t="s">
        <v>1839</v>
      </c>
      <c r="F2252" s="218" t="s">
        <v>1840</v>
      </c>
      <c r="G2252" s="218" t="s">
        <v>1841</v>
      </c>
    </row>
    <row r="2253" spans="1:7" x14ac:dyDescent="0.15">
      <c r="A2253" s="218" t="s">
        <v>5935</v>
      </c>
      <c r="B2253" s="218" t="s">
        <v>5936</v>
      </c>
      <c r="C2253" s="218" t="s">
        <v>3534</v>
      </c>
      <c r="D2253" s="218" t="s">
        <v>5937</v>
      </c>
      <c r="E2253" s="218" t="s">
        <v>1839</v>
      </c>
      <c r="F2253" s="218" t="s">
        <v>1840</v>
      </c>
      <c r="G2253" s="218" t="s">
        <v>1841</v>
      </c>
    </row>
    <row r="2254" spans="1:7" x14ac:dyDescent="0.15">
      <c r="A2254" s="218" t="s">
        <v>10975</v>
      </c>
      <c r="B2254" s="218" t="s">
        <v>1075</v>
      </c>
      <c r="C2254" s="218" t="s">
        <v>3534</v>
      </c>
      <c r="D2254" s="218" t="s">
        <v>1076</v>
      </c>
      <c r="E2254" s="218" t="s">
        <v>1839</v>
      </c>
      <c r="F2254" s="218" t="s">
        <v>1840</v>
      </c>
      <c r="G2254" s="218" t="s">
        <v>1841</v>
      </c>
    </row>
    <row r="2255" spans="1:7" x14ac:dyDescent="0.15">
      <c r="A2255" s="218" t="s">
        <v>5938</v>
      </c>
      <c r="B2255" s="218" t="s">
        <v>5939</v>
      </c>
      <c r="C2255" s="218" t="s">
        <v>3534</v>
      </c>
      <c r="D2255" s="218" t="s">
        <v>5940</v>
      </c>
      <c r="E2255" s="218" t="s">
        <v>1839</v>
      </c>
      <c r="F2255" s="218" t="s">
        <v>1840</v>
      </c>
      <c r="G2255" s="218" t="s">
        <v>1841</v>
      </c>
    </row>
    <row r="2256" spans="1:7" x14ac:dyDescent="0.15">
      <c r="A2256" s="218" t="s">
        <v>5941</v>
      </c>
      <c r="B2256" s="218" t="s">
        <v>5942</v>
      </c>
      <c r="C2256" s="218" t="s">
        <v>3534</v>
      </c>
      <c r="D2256" s="218" t="s">
        <v>5943</v>
      </c>
      <c r="E2256" s="218" t="s">
        <v>1839</v>
      </c>
      <c r="F2256" s="218" t="s">
        <v>1840</v>
      </c>
      <c r="G2256" s="218" t="s">
        <v>1841</v>
      </c>
    </row>
    <row r="2257" spans="1:7" x14ac:dyDescent="0.15">
      <c r="A2257" s="218" t="s">
        <v>5944</v>
      </c>
      <c r="B2257" s="218" t="s">
        <v>5945</v>
      </c>
      <c r="C2257" s="218" t="s">
        <v>3534</v>
      </c>
      <c r="D2257" s="218" t="s">
        <v>5946</v>
      </c>
      <c r="E2257" s="218" t="s">
        <v>1839</v>
      </c>
      <c r="F2257" s="218" t="s">
        <v>1840</v>
      </c>
      <c r="G2257" s="218" t="s">
        <v>1841</v>
      </c>
    </row>
    <row r="2258" spans="1:7" x14ac:dyDescent="0.15">
      <c r="A2258" s="218" t="s">
        <v>10976</v>
      </c>
      <c r="B2258" s="218" t="s">
        <v>10977</v>
      </c>
      <c r="C2258" s="218" t="s">
        <v>3534</v>
      </c>
      <c r="D2258" s="218" t="s">
        <v>10978</v>
      </c>
      <c r="E2258" s="218" t="s">
        <v>1839</v>
      </c>
      <c r="F2258" s="218" t="s">
        <v>1840</v>
      </c>
      <c r="G2258" s="218" t="s">
        <v>1841</v>
      </c>
    </row>
    <row r="2259" spans="1:7" x14ac:dyDescent="0.15">
      <c r="A2259" s="218" t="s">
        <v>5947</v>
      </c>
      <c r="B2259" s="218" t="s">
        <v>5948</v>
      </c>
      <c r="C2259" s="218" t="s">
        <v>3534</v>
      </c>
      <c r="D2259" s="218" t="s">
        <v>5949</v>
      </c>
      <c r="E2259" s="218" t="s">
        <v>1839</v>
      </c>
      <c r="F2259" s="218" t="s">
        <v>1840</v>
      </c>
      <c r="G2259" s="218" t="s">
        <v>1841</v>
      </c>
    </row>
    <row r="2260" spans="1:7" x14ac:dyDescent="0.15">
      <c r="A2260" s="218" t="s">
        <v>10979</v>
      </c>
      <c r="B2260" s="218" t="s">
        <v>10980</v>
      </c>
      <c r="C2260" s="218" t="s">
        <v>3534</v>
      </c>
      <c r="D2260" s="218" t="s">
        <v>10981</v>
      </c>
      <c r="E2260" s="218" t="s">
        <v>1839</v>
      </c>
      <c r="F2260" s="218" t="s">
        <v>1840</v>
      </c>
      <c r="G2260" s="218" t="s">
        <v>1841</v>
      </c>
    </row>
    <row r="2261" spans="1:7" x14ac:dyDescent="0.15">
      <c r="A2261" s="218" t="s">
        <v>10982</v>
      </c>
      <c r="B2261" s="218" t="s">
        <v>10983</v>
      </c>
      <c r="C2261" s="218" t="s">
        <v>3534</v>
      </c>
      <c r="D2261" s="218" t="s">
        <v>10984</v>
      </c>
      <c r="E2261" s="218" t="s">
        <v>1839</v>
      </c>
      <c r="F2261" s="218" t="s">
        <v>1840</v>
      </c>
      <c r="G2261" s="218" t="s">
        <v>1841</v>
      </c>
    </row>
    <row r="2262" spans="1:7" x14ac:dyDescent="0.15">
      <c r="A2262" s="218" t="s">
        <v>10985</v>
      </c>
      <c r="B2262" s="218" t="s">
        <v>10986</v>
      </c>
      <c r="C2262" s="218" t="s">
        <v>3534</v>
      </c>
      <c r="D2262" s="218" t="s">
        <v>10987</v>
      </c>
      <c r="E2262" s="218" t="s">
        <v>1839</v>
      </c>
      <c r="F2262" s="218" t="s">
        <v>1840</v>
      </c>
      <c r="G2262" s="218" t="s">
        <v>1841</v>
      </c>
    </row>
    <row r="2263" spans="1:7" x14ac:dyDescent="0.15">
      <c r="A2263" s="218" t="s">
        <v>10988</v>
      </c>
      <c r="B2263" s="218" t="s">
        <v>10989</v>
      </c>
      <c r="C2263" s="218" t="s">
        <v>3534</v>
      </c>
      <c r="D2263" s="218" t="s">
        <v>10990</v>
      </c>
      <c r="E2263" s="218" t="s">
        <v>1839</v>
      </c>
      <c r="F2263" s="218" t="s">
        <v>1840</v>
      </c>
      <c r="G2263" s="218" t="s">
        <v>1841</v>
      </c>
    </row>
    <row r="2264" spans="1:7" x14ac:dyDescent="0.15">
      <c r="A2264" s="218" t="s">
        <v>5950</v>
      </c>
      <c r="B2264" s="218" t="s">
        <v>5951</v>
      </c>
      <c r="C2264" s="218" t="s">
        <v>3534</v>
      </c>
      <c r="D2264" s="218" t="s">
        <v>5952</v>
      </c>
      <c r="E2264" s="218" t="s">
        <v>1839</v>
      </c>
      <c r="F2264" s="218" t="s">
        <v>1840</v>
      </c>
      <c r="G2264" s="218" t="s">
        <v>1841</v>
      </c>
    </row>
    <row r="2265" spans="1:7" x14ac:dyDescent="0.15">
      <c r="A2265" s="218" t="s">
        <v>10991</v>
      </c>
      <c r="B2265" s="218" t="s">
        <v>975</v>
      </c>
      <c r="C2265" s="218" t="s">
        <v>3534</v>
      </c>
      <c r="D2265" s="218" t="s">
        <v>976</v>
      </c>
      <c r="E2265" s="218" t="s">
        <v>1839</v>
      </c>
      <c r="F2265" s="218" t="s">
        <v>1840</v>
      </c>
      <c r="G2265" s="218" t="s">
        <v>1841</v>
      </c>
    </row>
    <row r="2266" spans="1:7" x14ac:dyDescent="0.15">
      <c r="A2266" s="218" t="s">
        <v>5953</v>
      </c>
      <c r="B2266" s="218" t="s">
        <v>5954</v>
      </c>
      <c r="C2266" s="218" t="s">
        <v>3534</v>
      </c>
      <c r="D2266" s="218" t="s">
        <v>5955</v>
      </c>
      <c r="E2266" s="218" t="s">
        <v>1839</v>
      </c>
      <c r="F2266" s="218" t="s">
        <v>1840</v>
      </c>
      <c r="G2266" s="218" t="s">
        <v>1841</v>
      </c>
    </row>
    <row r="2267" spans="1:7" x14ac:dyDescent="0.15">
      <c r="A2267" s="218" t="s">
        <v>5956</v>
      </c>
      <c r="B2267" s="218" t="s">
        <v>5957</v>
      </c>
      <c r="C2267" s="218" t="s">
        <v>3534</v>
      </c>
      <c r="D2267" s="218" t="s">
        <v>5958</v>
      </c>
      <c r="E2267" s="218" t="s">
        <v>1839</v>
      </c>
      <c r="F2267" s="218" t="s">
        <v>1840</v>
      </c>
      <c r="G2267" s="218" t="s">
        <v>1841</v>
      </c>
    </row>
    <row r="2268" spans="1:7" x14ac:dyDescent="0.15">
      <c r="A2268" s="218" t="s">
        <v>5959</v>
      </c>
      <c r="B2268" s="218" t="s">
        <v>5960</v>
      </c>
      <c r="C2268" s="218" t="s">
        <v>3534</v>
      </c>
      <c r="D2268" s="218" t="s">
        <v>5961</v>
      </c>
      <c r="E2268" s="218" t="s">
        <v>1839</v>
      </c>
      <c r="F2268" s="218" t="s">
        <v>1840</v>
      </c>
      <c r="G2268" s="218" t="s">
        <v>1841</v>
      </c>
    </row>
    <row r="2269" spans="1:7" x14ac:dyDescent="0.15">
      <c r="A2269" s="218" t="s">
        <v>10992</v>
      </c>
      <c r="B2269" s="218" t="s">
        <v>10993</v>
      </c>
      <c r="C2269" s="218" t="s">
        <v>3534</v>
      </c>
      <c r="D2269" s="218" t="s">
        <v>10994</v>
      </c>
      <c r="E2269" s="218" t="s">
        <v>1839</v>
      </c>
      <c r="F2269" s="218" t="s">
        <v>1840</v>
      </c>
      <c r="G2269" s="218" t="s">
        <v>1841</v>
      </c>
    </row>
    <row r="2270" spans="1:7" x14ac:dyDescent="0.15">
      <c r="A2270" s="218" t="s">
        <v>11758</v>
      </c>
      <c r="B2270" s="218" t="s">
        <v>11759</v>
      </c>
      <c r="C2270" s="218" t="s">
        <v>3534</v>
      </c>
      <c r="D2270" s="218" t="s">
        <v>11760</v>
      </c>
      <c r="E2270" s="218" t="s">
        <v>1839</v>
      </c>
      <c r="F2270" s="218" t="s">
        <v>1840</v>
      </c>
      <c r="G2270" s="218" t="s">
        <v>1841</v>
      </c>
    </row>
    <row r="2271" spans="1:7" x14ac:dyDescent="0.15">
      <c r="A2271" s="218" t="s">
        <v>10995</v>
      </c>
      <c r="B2271" s="218" t="s">
        <v>10996</v>
      </c>
      <c r="C2271" s="218" t="s">
        <v>3534</v>
      </c>
      <c r="D2271" s="218" t="s">
        <v>10997</v>
      </c>
      <c r="E2271" s="218" t="s">
        <v>1839</v>
      </c>
      <c r="F2271" s="218" t="s">
        <v>1840</v>
      </c>
      <c r="G2271" s="218" t="s">
        <v>1841</v>
      </c>
    </row>
    <row r="2272" spans="1:7" x14ac:dyDescent="0.15">
      <c r="A2272" s="218" t="s">
        <v>10998</v>
      </c>
      <c r="B2272" s="218" t="s">
        <v>10999</v>
      </c>
      <c r="C2272" s="218" t="s">
        <v>3534</v>
      </c>
      <c r="D2272" s="218" t="s">
        <v>11000</v>
      </c>
      <c r="E2272" s="218" t="s">
        <v>1839</v>
      </c>
      <c r="F2272" s="218" t="s">
        <v>1840</v>
      </c>
      <c r="G2272" s="218" t="s">
        <v>1841</v>
      </c>
    </row>
    <row r="2273" spans="1:7" x14ac:dyDescent="0.15">
      <c r="A2273" s="218" t="s">
        <v>5962</v>
      </c>
      <c r="B2273" s="218" t="s">
        <v>5963</v>
      </c>
      <c r="C2273" s="218" t="s">
        <v>3534</v>
      </c>
      <c r="D2273" s="218" t="s">
        <v>5964</v>
      </c>
      <c r="E2273" s="218" t="s">
        <v>1935</v>
      </c>
      <c r="F2273" s="218" t="s">
        <v>1840</v>
      </c>
      <c r="G2273" s="218" t="s">
        <v>1841</v>
      </c>
    </row>
    <row r="2274" spans="1:7" x14ac:dyDescent="0.15">
      <c r="A2274" s="218" t="s">
        <v>5965</v>
      </c>
      <c r="B2274" s="218" t="s">
        <v>5966</v>
      </c>
      <c r="C2274" s="218" t="s">
        <v>3534</v>
      </c>
      <c r="D2274" s="218" t="s">
        <v>5967</v>
      </c>
      <c r="E2274" s="218" t="s">
        <v>1839</v>
      </c>
      <c r="F2274" s="218" t="s">
        <v>1840</v>
      </c>
      <c r="G2274" s="218" t="s">
        <v>1841</v>
      </c>
    </row>
    <row r="2275" spans="1:7" x14ac:dyDescent="0.15">
      <c r="A2275" s="218" t="s">
        <v>11001</v>
      </c>
      <c r="B2275" s="218" t="s">
        <v>1547</v>
      </c>
      <c r="C2275" s="218" t="s">
        <v>3534</v>
      </c>
      <c r="D2275" s="218" t="s">
        <v>1548</v>
      </c>
      <c r="E2275" s="218" t="s">
        <v>1839</v>
      </c>
      <c r="F2275" s="218" t="s">
        <v>1840</v>
      </c>
      <c r="G2275" s="218" t="s">
        <v>1841</v>
      </c>
    </row>
    <row r="2276" spans="1:7" x14ac:dyDescent="0.15">
      <c r="A2276" s="218" t="s">
        <v>5968</v>
      </c>
      <c r="B2276" s="218" t="s">
        <v>5969</v>
      </c>
      <c r="C2276" s="218" t="s">
        <v>3534</v>
      </c>
      <c r="D2276" s="218" t="s">
        <v>5970</v>
      </c>
      <c r="E2276" s="218" t="s">
        <v>1839</v>
      </c>
      <c r="F2276" s="218" t="s">
        <v>1840</v>
      </c>
      <c r="G2276" s="218" t="s">
        <v>1841</v>
      </c>
    </row>
    <row r="2277" spans="1:7" x14ac:dyDescent="0.15">
      <c r="A2277" s="218" t="s">
        <v>5971</v>
      </c>
      <c r="B2277" s="218" t="s">
        <v>5972</v>
      </c>
      <c r="C2277" s="218" t="s">
        <v>3534</v>
      </c>
      <c r="D2277" s="218" t="s">
        <v>5973</v>
      </c>
      <c r="E2277" s="218" t="s">
        <v>1839</v>
      </c>
      <c r="F2277" s="218" t="s">
        <v>1840</v>
      </c>
      <c r="G2277" s="218" t="s">
        <v>1841</v>
      </c>
    </row>
    <row r="2278" spans="1:7" x14ac:dyDescent="0.15">
      <c r="A2278" s="218" t="s">
        <v>11002</v>
      </c>
      <c r="B2278" s="218" t="s">
        <v>1073</v>
      </c>
      <c r="C2278" s="218" t="s">
        <v>3534</v>
      </c>
      <c r="D2278" s="218" t="s">
        <v>1074</v>
      </c>
      <c r="E2278" s="218" t="s">
        <v>1839</v>
      </c>
      <c r="F2278" s="218" t="s">
        <v>1840</v>
      </c>
      <c r="G2278" s="218" t="s">
        <v>1841</v>
      </c>
    </row>
    <row r="2279" spans="1:7" x14ac:dyDescent="0.15">
      <c r="A2279" s="218" t="s">
        <v>11003</v>
      </c>
      <c r="B2279" s="218" t="s">
        <v>781</v>
      </c>
      <c r="C2279" s="218" t="s">
        <v>3534</v>
      </c>
      <c r="D2279" s="218" t="s">
        <v>782</v>
      </c>
      <c r="E2279" s="218" t="s">
        <v>1839</v>
      </c>
      <c r="F2279" s="218" t="s">
        <v>1840</v>
      </c>
      <c r="G2279" s="218" t="s">
        <v>1841</v>
      </c>
    </row>
    <row r="2280" spans="1:7" x14ac:dyDescent="0.15">
      <c r="A2280" s="218" t="s">
        <v>11004</v>
      </c>
      <c r="B2280" s="218" t="s">
        <v>11005</v>
      </c>
      <c r="C2280" s="218" t="s">
        <v>3534</v>
      </c>
      <c r="D2280" s="218" t="s">
        <v>11005</v>
      </c>
      <c r="E2280" s="218" t="s">
        <v>1839</v>
      </c>
      <c r="F2280" s="218" t="s">
        <v>1840</v>
      </c>
      <c r="G2280" s="218" t="s">
        <v>1841</v>
      </c>
    </row>
    <row r="2281" spans="1:7" x14ac:dyDescent="0.15">
      <c r="A2281" s="218" t="s">
        <v>5974</v>
      </c>
      <c r="B2281" s="218" t="s">
        <v>5975</v>
      </c>
      <c r="C2281" s="218" t="s">
        <v>3534</v>
      </c>
      <c r="D2281" s="218" t="s">
        <v>5976</v>
      </c>
      <c r="E2281" s="218" t="s">
        <v>1839</v>
      </c>
      <c r="F2281" s="218" t="s">
        <v>1840</v>
      </c>
      <c r="G2281" s="218" t="s">
        <v>1841</v>
      </c>
    </row>
    <row r="2282" spans="1:7" x14ac:dyDescent="0.15">
      <c r="A2282" s="218" t="s">
        <v>11006</v>
      </c>
      <c r="B2282" s="218" t="s">
        <v>11007</v>
      </c>
      <c r="C2282" s="218" t="s">
        <v>3534</v>
      </c>
      <c r="D2282" s="218" t="s">
        <v>11008</v>
      </c>
      <c r="E2282" s="218" t="s">
        <v>1839</v>
      </c>
      <c r="F2282" s="218" t="s">
        <v>1840</v>
      </c>
      <c r="G2282" s="218" t="s">
        <v>1841</v>
      </c>
    </row>
    <row r="2283" spans="1:7" x14ac:dyDescent="0.15">
      <c r="A2283" s="218" t="s">
        <v>5977</v>
      </c>
      <c r="B2283" s="218" t="s">
        <v>5978</v>
      </c>
      <c r="C2283" s="218" t="s">
        <v>3534</v>
      </c>
      <c r="D2283" s="218" t="s">
        <v>5979</v>
      </c>
      <c r="E2283" s="218" t="s">
        <v>1839</v>
      </c>
      <c r="F2283" s="218" t="s">
        <v>1840</v>
      </c>
      <c r="G2283" s="218" t="s">
        <v>1841</v>
      </c>
    </row>
    <row r="2284" spans="1:7" x14ac:dyDescent="0.15">
      <c r="A2284" s="218" t="s">
        <v>5980</v>
      </c>
      <c r="B2284" s="218" t="s">
        <v>5981</v>
      </c>
      <c r="C2284" s="218" t="s">
        <v>3534</v>
      </c>
      <c r="D2284" s="218" t="s">
        <v>5982</v>
      </c>
      <c r="E2284" s="218" t="s">
        <v>1839</v>
      </c>
      <c r="F2284" s="218" t="s">
        <v>1840</v>
      </c>
      <c r="G2284" s="218" t="s">
        <v>1841</v>
      </c>
    </row>
    <row r="2285" spans="1:7" x14ac:dyDescent="0.15">
      <c r="A2285" s="218" t="s">
        <v>5983</v>
      </c>
      <c r="B2285" s="218" t="s">
        <v>5984</v>
      </c>
      <c r="C2285" s="218" t="s">
        <v>3534</v>
      </c>
      <c r="D2285" s="218" t="s">
        <v>5985</v>
      </c>
      <c r="E2285" s="218" t="s">
        <v>1839</v>
      </c>
      <c r="F2285" s="218" t="s">
        <v>1840</v>
      </c>
      <c r="G2285" s="218" t="s">
        <v>1841</v>
      </c>
    </row>
    <row r="2286" spans="1:7" x14ac:dyDescent="0.15">
      <c r="A2286" s="218" t="s">
        <v>5986</v>
      </c>
      <c r="B2286" s="218" t="s">
        <v>5987</v>
      </c>
      <c r="C2286" s="218" t="s">
        <v>3534</v>
      </c>
      <c r="D2286" s="218" t="s">
        <v>5988</v>
      </c>
      <c r="E2286" s="218" t="s">
        <v>1839</v>
      </c>
      <c r="F2286" s="218" t="s">
        <v>1840</v>
      </c>
      <c r="G2286" s="218" t="s">
        <v>1841</v>
      </c>
    </row>
    <row r="2287" spans="1:7" x14ac:dyDescent="0.15">
      <c r="A2287" s="218" t="s">
        <v>5989</v>
      </c>
      <c r="B2287" s="218" t="s">
        <v>5990</v>
      </c>
      <c r="C2287" s="218" t="s">
        <v>3534</v>
      </c>
      <c r="D2287" s="218" t="s">
        <v>5991</v>
      </c>
      <c r="E2287" s="218" t="s">
        <v>1839</v>
      </c>
      <c r="F2287" s="218" t="s">
        <v>1840</v>
      </c>
      <c r="G2287" s="218" t="s">
        <v>1841</v>
      </c>
    </row>
    <row r="2288" spans="1:7" x14ac:dyDescent="0.15">
      <c r="A2288" s="218" t="s">
        <v>11009</v>
      </c>
      <c r="B2288" s="218" t="s">
        <v>11010</v>
      </c>
      <c r="C2288" s="218" t="s">
        <v>3534</v>
      </c>
      <c r="D2288" s="218" t="s">
        <v>11011</v>
      </c>
      <c r="E2288" s="218" t="s">
        <v>1839</v>
      </c>
      <c r="F2288" s="218" t="s">
        <v>1840</v>
      </c>
      <c r="G2288" s="218" t="s">
        <v>1841</v>
      </c>
    </row>
    <row r="2289" spans="1:7" x14ac:dyDescent="0.15">
      <c r="A2289" s="218" t="s">
        <v>11012</v>
      </c>
      <c r="B2289" s="218" t="s">
        <v>11013</v>
      </c>
      <c r="C2289" s="218" t="s">
        <v>3534</v>
      </c>
      <c r="D2289" s="218" t="s">
        <v>11014</v>
      </c>
      <c r="E2289" s="218" t="s">
        <v>1839</v>
      </c>
      <c r="F2289" s="218" t="s">
        <v>1840</v>
      </c>
      <c r="G2289" s="218" t="s">
        <v>1841</v>
      </c>
    </row>
    <row r="2290" spans="1:7" x14ac:dyDescent="0.15">
      <c r="A2290" s="218" t="s">
        <v>5992</v>
      </c>
      <c r="B2290" s="218" t="s">
        <v>5993</v>
      </c>
      <c r="C2290" s="218" t="s">
        <v>3534</v>
      </c>
      <c r="D2290" s="218" t="s">
        <v>5994</v>
      </c>
      <c r="E2290" s="218" t="s">
        <v>1839</v>
      </c>
      <c r="F2290" s="218" t="s">
        <v>1840</v>
      </c>
      <c r="G2290" s="218" t="s">
        <v>1841</v>
      </c>
    </row>
    <row r="2291" spans="1:7" x14ac:dyDescent="0.15">
      <c r="A2291" s="218" t="s">
        <v>11015</v>
      </c>
      <c r="B2291" s="218" t="s">
        <v>879</v>
      </c>
      <c r="C2291" s="218" t="s">
        <v>3534</v>
      </c>
      <c r="D2291" s="218" t="s">
        <v>880</v>
      </c>
      <c r="E2291" s="218" t="s">
        <v>1935</v>
      </c>
      <c r="F2291" s="218" t="s">
        <v>1840</v>
      </c>
      <c r="G2291" s="218" t="s">
        <v>1841</v>
      </c>
    </row>
    <row r="2292" spans="1:7" x14ac:dyDescent="0.15">
      <c r="A2292" s="218" t="s">
        <v>5995</v>
      </c>
      <c r="B2292" s="218" t="s">
        <v>5996</v>
      </c>
      <c r="C2292" s="218" t="s">
        <v>3534</v>
      </c>
      <c r="D2292" s="218" t="s">
        <v>5997</v>
      </c>
      <c r="E2292" s="218" t="s">
        <v>1839</v>
      </c>
      <c r="F2292" s="218" t="s">
        <v>1840</v>
      </c>
      <c r="G2292" s="218" t="s">
        <v>1841</v>
      </c>
    </row>
    <row r="2293" spans="1:7" x14ac:dyDescent="0.15">
      <c r="A2293" s="218" t="s">
        <v>11016</v>
      </c>
      <c r="B2293" s="218" t="s">
        <v>11017</v>
      </c>
      <c r="C2293" s="218" t="s">
        <v>3534</v>
      </c>
      <c r="D2293" s="218" t="s">
        <v>11018</v>
      </c>
      <c r="E2293" s="218" t="s">
        <v>1839</v>
      </c>
      <c r="F2293" s="218" t="s">
        <v>1840</v>
      </c>
      <c r="G2293" s="218" t="s">
        <v>1841</v>
      </c>
    </row>
    <row r="2294" spans="1:7" x14ac:dyDescent="0.15">
      <c r="A2294" s="218" t="s">
        <v>5998</v>
      </c>
      <c r="B2294" s="218" t="s">
        <v>5999</v>
      </c>
      <c r="C2294" s="218" t="s">
        <v>3534</v>
      </c>
      <c r="D2294" s="218" t="s">
        <v>6000</v>
      </c>
      <c r="E2294" s="218" t="s">
        <v>1839</v>
      </c>
      <c r="F2294" s="218" t="s">
        <v>1840</v>
      </c>
      <c r="G2294" s="218" t="s">
        <v>1841</v>
      </c>
    </row>
    <row r="2295" spans="1:7" x14ac:dyDescent="0.15">
      <c r="A2295" s="218" t="s">
        <v>11019</v>
      </c>
      <c r="B2295" s="218" t="s">
        <v>11020</v>
      </c>
      <c r="C2295" s="218" t="s">
        <v>3534</v>
      </c>
      <c r="D2295" s="218" t="s">
        <v>11021</v>
      </c>
      <c r="E2295" s="218" t="s">
        <v>1935</v>
      </c>
      <c r="F2295" s="218" t="s">
        <v>1840</v>
      </c>
      <c r="G2295" s="218" t="s">
        <v>1841</v>
      </c>
    </row>
    <row r="2296" spans="1:7" x14ac:dyDescent="0.15">
      <c r="A2296" s="218" t="s">
        <v>6001</v>
      </c>
      <c r="B2296" s="218" t="s">
        <v>6002</v>
      </c>
      <c r="C2296" s="218" t="s">
        <v>3534</v>
      </c>
      <c r="D2296" s="218" t="s">
        <v>6003</v>
      </c>
      <c r="E2296" s="218" t="s">
        <v>1839</v>
      </c>
      <c r="F2296" s="218" t="s">
        <v>1840</v>
      </c>
      <c r="G2296" s="218" t="s">
        <v>1841</v>
      </c>
    </row>
    <row r="2297" spans="1:7" x14ac:dyDescent="0.15">
      <c r="A2297" s="218" t="s">
        <v>6004</v>
      </c>
      <c r="B2297" s="218" t="s">
        <v>6005</v>
      </c>
      <c r="C2297" s="218" t="s">
        <v>3534</v>
      </c>
      <c r="D2297" s="218" t="s">
        <v>6006</v>
      </c>
      <c r="E2297" s="218" t="s">
        <v>1839</v>
      </c>
      <c r="F2297" s="218" t="s">
        <v>1840</v>
      </c>
      <c r="G2297" s="218" t="s">
        <v>1841</v>
      </c>
    </row>
    <row r="2298" spans="1:7" x14ac:dyDescent="0.15">
      <c r="A2298" s="218" t="s">
        <v>11761</v>
      </c>
      <c r="B2298" s="218" t="s">
        <v>11762</v>
      </c>
      <c r="C2298" s="218" t="s">
        <v>3534</v>
      </c>
      <c r="D2298" s="218" t="s">
        <v>11763</v>
      </c>
      <c r="E2298" s="218" t="s">
        <v>1839</v>
      </c>
      <c r="F2298" s="218" t="s">
        <v>1840</v>
      </c>
      <c r="G2298" s="218" t="s">
        <v>1841</v>
      </c>
    </row>
    <row r="2299" spans="1:7" x14ac:dyDescent="0.15">
      <c r="A2299" s="218" t="s">
        <v>11022</v>
      </c>
      <c r="B2299" s="218" t="s">
        <v>1152</v>
      </c>
      <c r="C2299" s="218" t="s">
        <v>3534</v>
      </c>
      <c r="D2299" s="218" t="s">
        <v>1153</v>
      </c>
      <c r="E2299" s="218" t="s">
        <v>1839</v>
      </c>
      <c r="F2299" s="218" t="s">
        <v>1840</v>
      </c>
      <c r="G2299" s="218" t="s">
        <v>1841</v>
      </c>
    </row>
    <row r="2300" spans="1:7" x14ac:dyDescent="0.15">
      <c r="A2300" s="218" t="s">
        <v>11023</v>
      </c>
      <c r="B2300" s="218" t="s">
        <v>1160</v>
      </c>
      <c r="C2300" s="218" t="s">
        <v>3534</v>
      </c>
      <c r="D2300" s="218" t="s">
        <v>1161</v>
      </c>
      <c r="E2300" s="218" t="s">
        <v>1839</v>
      </c>
      <c r="F2300" s="218" t="s">
        <v>1840</v>
      </c>
      <c r="G2300" s="218" t="s">
        <v>1841</v>
      </c>
    </row>
    <row r="2301" spans="1:7" x14ac:dyDescent="0.15">
      <c r="A2301" s="218" t="s">
        <v>11024</v>
      </c>
      <c r="B2301" s="218" t="s">
        <v>11025</v>
      </c>
      <c r="C2301" s="218" t="s">
        <v>3534</v>
      </c>
      <c r="D2301" s="218" t="s">
        <v>11026</v>
      </c>
      <c r="E2301" s="218" t="s">
        <v>1839</v>
      </c>
      <c r="F2301" s="218" t="s">
        <v>1840</v>
      </c>
      <c r="G2301" s="218" t="s">
        <v>1841</v>
      </c>
    </row>
    <row r="2302" spans="1:7" x14ac:dyDescent="0.15">
      <c r="A2302" s="218" t="s">
        <v>6007</v>
      </c>
      <c r="B2302" s="218" t="s">
        <v>6008</v>
      </c>
      <c r="C2302" s="218" t="s">
        <v>3534</v>
      </c>
      <c r="D2302" s="218" t="s">
        <v>6009</v>
      </c>
      <c r="E2302" s="218" t="s">
        <v>1839</v>
      </c>
      <c r="F2302" s="218" t="s">
        <v>1840</v>
      </c>
      <c r="G2302" s="218" t="s">
        <v>1841</v>
      </c>
    </row>
    <row r="2303" spans="1:7" x14ac:dyDescent="0.15">
      <c r="A2303" s="218" t="s">
        <v>11027</v>
      </c>
      <c r="B2303" s="218" t="s">
        <v>11028</v>
      </c>
      <c r="C2303" s="218" t="s">
        <v>3534</v>
      </c>
      <c r="D2303" s="218" t="s">
        <v>11029</v>
      </c>
      <c r="E2303" s="218" t="s">
        <v>1839</v>
      </c>
      <c r="F2303" s="218" t="s">
        <v>1840</v>
      </c>
      <c r="G2303" s="218" t="s">
        <v>1841</v>
      </c>
    </row>
    <row r="2304" spans="1:7" x14ac:dyDescent="0.15">
      <c r="A2304" s="218" t="s">
        <v>6010</v>
      </c>
      <c r="B2304" s="218" t="s">
        <v>6011</v>
      </c>
      <c r="C2304" s="218" t="s">
        <v>3534</v>
      </c>
      <c r="D2304" s="218" t="s">
        <v>6012</v>
      </c>
      <c r="E2304" s="218" t="s">
        <v>1839</v>
      </c>
      <c r="F2304" s="218" t="s">
        <v>1840</v>
      </c>
      <c r="G2304" s="218" t="s">
        <v>1841</v>
      </c>
    </row>
    <row r="2305" spans="1:7" x14ac:dyDescent="0.15">
      <c r="A2305" s="218" t="s">
        <v>11030</v>
      </c>
      <c r="B2305" s="218" t="s">
        <v>11031</v>
      </c>
      <c r="C2305" s="218" t="s">
        <v>3534</v>
      </c>
      <c r="D2305" s="218" t="s">
        <v>11032</v>
      </c>
      <c r="E2305" s="218" t="s">
        <v>1839</v>
      </c>
      <c r="F2305" s="218" t="s">
        <v>1840</v>
      </c>
      <c r="G2305" s="218" t="s">
        <v>1841</v>
      </c>
    </row>
    <row r="2306" spans="1:7" x14ac:dyDescent="0.15">
      <c r="A2306" s="218" t="s">
        <v>11764</v>
      </c>
      <c r="B2306" s="218" t="s">
        <v>11765</v>
      </c>
      <c r="C2306" s="218" t="s">
        <v>3534</v>
      </c>
      <c r="D2306" s="218" t="s">
        <v>11766</v>
      </c>
      <c r="E2306" s="218" t="s">
        <v>1839</v>
      </c>
      <c r="F2306" s="218" t="s">
        <v>1840</v>
      </c>
      <c r="G2306" s="218" t="s">
        <v>1841</v>
      </c>
    </row>
    <row r="2307" spans="1:7" x14ac:dyDescent="0.15">
      <c r="A2307" s="218" t="s">
        <v>6013</v>
      </c>
      <c r="B2307" s="218" t="s">
        <v>6014</v>
      </c>
      <c r="C2307" s="218" t="s">
        <v>3534</v>
      </c>
      <c r="D2307" s="218" t="s">
        <v>6015</v>
      </c>
      <c r="E2307" s="218" t="s">
        <v>1839</v>
      </c>
      <c r="F2307" s="218" t="s">
        <v>1840</v>
      </c>
      <c r="G2307" s="218" t="s">
        <v>1841</v>
      </c>
    </row>
    <row r="2308" spans="1:7" x14ac:dyDescent="0.15">
      <c r="A2308" s="218" t="s">
        <v>6016</v>
      </c>
      <c r="B2308" s="218" t="s">
        <v>6017</v>
      </c>
      <c r="C2308" s="218" t="s">
        <v>3534</v>
      </c>
      <c r="D2308" s="218" t="s">
        <v>6018</v>
      </c>
      <c r="E2308" s="218" t="s">
        <v>1839</v>
      </c>
      <c r="F2308" s="218" t="s">
        <v>1840</v>
      </c>
      <c r="G2308" s="218" t="s">
        <v>1841</v>
      </c>
    </row>
    <row r="2309" spans="1:7" x14ac:dyDescent="0.15">
      <c r="A2309" s="218" t="s">
        <v>11767</v>
      </c>
      <c r="B2309" s="218" t="s">
        <v>11768</v>
      </c>
      <c r="C2309" s="218" t="s">
        <v>3534</v>
      </c>
      <c r="D2309" s="218" t="s">
        <v>11769</v>
      </c>
      <c r="E2309" s="218" t="s">
        <v>1839</v>
      </c>
      <c r="F2309" s="218" t="s">
        <v>1840</v>
      </c>
      <c r="G2309" s="218" t="s">
        <v>1841</v>
      </c>
    </row>
    <row r="2310" spans="1:7" x14ac:dyDescent="0.15">
      <c r="A2310" s="218" t="s">
        <v>6019</v>
      </c>
      <c r="B2310" s="218" t="s">
        <v>6020</v>
      </c>
      <c r="C2310" s="218" t="s">
        <v>3534</v>
      </c>
      <c r="D2310" s="218" t="s">
        <v>6021</v>
      </c>
      <c r="E2310" s="218" t="s">
        <v>1839</v>
      </c>
      <c r="F2310" s="218" t="s">
        <v>1840</v>
      </c>
      <c r="G2310" s="218" t="s">
        <v>1841</v>
      </c>
    </row>
    <row r="2311" spans="1:7" x14ac:dyDescent="0.15">
      <c r="A2311" s="218" t="s">
        <v>11036</v>
      </c>
      <c r="B2311" s="218" t="s">
        <v>11037</v>
      </c>
      <c r="C2311" s="218" t="s">
        <v>3534</v>
      </c>
      <c r="D2311" s="218" t="s">
        <v>11038</v>
      </c>
      <c r="E2311" s="218" t="s">
        <v>1839</v>
      </c>
      <c r="F2311" s="218" t="s">
        <v>1840</v>
      </c>
      <c r="G2311" s="218" t="s">
        <v>1841</v>
      </c>
    </row>
    <row r="2312" spans="1:7" x14ac:dyDescent="0.15">
      <c r="A2312" s="218" t="s">
        <v>11039</v>
      </c>
      <c r="B2312" s="218" t="s">
        <v>11040</v>
      </c>
      <c r="C2312" s="218" t="s">
        <v>3534</v>
      </c>
      <c r="D2312" s="218" t="s">
        <v>11041</v>
      </c>
      <c r="E2312" s="218" t="s">
        <v>1935</v>
      </c>
      <c r="F2312" s="218" t="s">
        <v>1840</v>
      </c>
      <c r="G2312" s="218" t="s">
        <v>1841</v>
      </c>
    </row>
    <row r="2313" spans="1:7" x14ac:dyDescent="0.15">
      <c r="A2313" s="218" t="s">
        <v>11042</v>
      </c>
      <c r="B2313" s="218" t="s">
        <v>901</v>
      </c>
      <c r="C2313" s="218" t="s">
        <v>3534</v>
      </c>
      <c r="D2313" s="218" t="s">
        <v>902</v>
      </c>
      <c r="E2313" s="218" t="s">
        <v>1839</v>
      </c>
      <c r="F2313" s="218" t="s">
        <v>1840</v>
      </c>
      <c r="G2313" s="218" t="s">
        <v>1841</v>
      </c>
    </row>
    <row r="2314" spans="1:7" x14ac:dyDescent="0.15">
      <c r="A2314" s="218" t="s">
        <v>6025</v>
      </c>
      <c r="B2314" s="218" t="s">
        <v>6026</v>
      </c>
      <c r="C2314" s="218" t="s">
        <v>3534</v>
      </c>
      <c r="D2314" s="218" t="s">
        <v>6027</v>
      </c>
      <c r="E2314" s="218" t="s">
        <v>1839</v>
      </c>
      <c r="F2314" s="218" t="s">
        <v>1840</v>
      </c>
      <c r="G2314" s="218" t="s">
        <v>1841</v>
      </c>
    </row>
    <row r="2315" spans="1:7" x14ac:dyDescent="0.15">
      <c r="A2315" s="218" t="s">
        <v>11770</v>
      </c>
      <c r="B2315" s="218" t="s">
        <v>11771</v>
      </c>
      <c r="C2315" s="218" t="s">
        <v>3534</v>
      </c>
      <c r="D2315" s="218" t="s">
        <v>11772</v>
      </c>
      <c r="E2315" s="218" t="s">
        <v>1839</v>
      </c>
      <c r="F2315" s="218" t="s">
        <v>1840</v>
      </c>
      <c r="G2315" s="218" t="s">
        <v>1841</v>
      </c>
    </row>
    <row r="2316" spans="1:7" x14ac:dyDescent="0.15">
      <c r="A2316" s="218" t="s">
        <v>11043</v>
      </c>
      <c r="B2316" s="218" t="s">
        <v>11044</v>
      </c>
      <c r="C2316" s="218" t="s">
        <v>3534</v>
      </c>
      <c r="D2316" s="218" t="s">
        <v>11045</v>
      </c>
      <c r="E2316" s="218" t="s">
        <v>1839</v>
      </c>
      <c r="F2316" s="218" t="s">
        <v>1840</v>
      </c>
      <c r="G2316" s="218" t="s">
        <v>1841</v>
      </c>
    </row>
    <row r="2317" spans="1:7" x14ac:dyDescent="0.15">
      <c r="A2317" s="218" t="s">
        <v>6028</v>
      </c>
      <c r="B2317" s="218" t="s">
        <v>6029</v>
      </c>
      <c r="C2317" s="218" t="s">
        <v>3534</v>
      </c>
      <c r="D2317" s="218" t="s">
        <v>6030</v>
      </c>
      <c r="E2317" s="218" t="s">
        <v>1935</v>
      </c>
      <c r="F2317" s="218" t="s">
        <v>1840</v>
      </c>
      <c r="G2317" s="218" t="s">
        <v>1841</v>
      </c>
    </row>
    <row r="2318" spans="1:7" x14ac:dyDescent="0.15">
      <c r="A2318" s="218" t="s">
        <v>6031</v>
      </c>
      <c r="B2318" s="218" t="s">
        <v>6032</v>
      </c>
      <c r="C2318" s="218" t="s">
        <v>3534</v>
      </c>
      <c r="D2318" s="218" t="s">
        <v>6033</v>
      </c>
      <c r="E2318" s="218" t="s">
        <v>1839</v>
      </c>
      <c r="F2318" s="218" t="s">
        <v>1840</v>
      </c>
      <c r="G2318" s="218" t="s">
        <v>1841</v>
      </c>
    </row>
    <row r="2319" spans="1:7" x14ac:dyDescent="0.15">
      <c r="A2319" s="218" t="s">
        <v>6034</v>
      </c>
      <c r="B2319" s="218" t="s">
        <v>6035</v>
      </c>
      <c r="C2319" s="218" t="s">
        <v>3534</v>
      </c>
      <c r="D2319" s="218" t="s">
        <v>6036</v>
      </c>
      <c r="E2319" s="218" t="s">
        <v>1839</v>
      </c>
      <c r="F2319" s="218" t="s">
        <v>1840</v>
      </c>
      <c r="G2319" s="218" t="s">
        <v>1841</v>
      </c>
    </row>
    <row r="2320" spans="1:7" x14ac:dyDescent="0.15">
      <c r="A2320" s="218" t="s">
        <v>11046</v>
      </c>
      <c r="B2320" s="218" t="s">
        <v>11047</v>
      </c>
      <c r="C2320" s="218" t="s">
        <v>3534</v>
      </c>
      <c r="D2320" s="218" t="s">
        <v>11048</v>
      </c>
      <c r="E2320" s="218" t="s">
        <v>1839</v>
      </c>
      <c r="F2320" s="218" t="s">
        <v>1840</v>
      </c>
      <c r="G2320" s="218" t="s">
        <v>1841</v>
      </c>
    </row>
    <row r="2321" spans="1:7" x14ac:dyDescent="0.15">
      <c r="A2321" s="218" t="s">
        <v>6037</v>
      </c>
      <c r="B2321" s="218" t="s">
        <v>6038</v>
      </c>
      <c r="C2321" s="218" t="s">
        <v>3534</v>
      </c>
      <c r="D2321" s="218" t="s">
        <v>6039</v>
      </c>
      <c r="E2321" s="218" t="s">
        <v>1839</v>
      </c>
      <c r="F2321" s="218" t="s">
        <v>1840</v>
      </c>
      <c r="G2321" s="218" t="s">
        <v>1841</v>
      </c>
    </row>
    <row r="2322" spans="1:7" x14ac:dyDescent="0.15">
      <c r="A2322" s="218" t="s">
        <v>11049</v>
      </c>
      <c r="B2322" s="218" t="s">
        <v>11050</v>
      </c>
      <c r="C2322" s="218" t="s">
        <v>3534</v>
      </c>
      <c r="D2322" s="218" t="s">
        <v>11051</v>
      </c>
      <c r="E2322" s="218" t="s">
        <v>1839</v>
      </c>
      <c r="F2322" s="218" t="s">
        <v>1840</v>
      </c>
      <c r="G2322" s="218" t="s">
        <v>1841</v>
      </c>
    </row>
    <row r="2323" spans="1:7" x14ac:dyDescent="0.15">
      <c r="A2323" s="218" t="s">
        <v>11052</v>
      </c>
      <c r="B2323" s="218" t="s">
        <v>11053</v>
      </c>
      <c r="C2323" s="218" t="s">
        <v>3534</v>
      </c>
      <c r="D2323" s="218" t="s">
        <v>11054</v>
      </c>
      <c r="E2323" s="218" t="s">
        <v>1839</v>
      </c>
      <c r="F2323" s="218" t="s">
        <v>1840</v>
      </c>
      <c r="G2323" s="218" t="s">
        <v>1841</v>
      </c>
    </row>
    <row r="2324" spans="1:7" x14ac:dyDescent="0.15">
      <c r="A2324" s="218" t="s">
        <v>11055</v>
      </c>
      <c r="B2324" s="218" t="s">
        <v>11056</v>
      </c>
      <c r="C2324" s="218" t="s">
        <v>3534</v>
      </c>
      <c r="D2324" s="218" t="s">
        <v>11057</v>
      </c>
      <c r="E2324" s="218" t="s">
        <v>1839</v>
      </c>
      <c r="F2324" s="218" t="s">
        <v>1840</v>
      </c>
      <c r="G2324" s="218" t="s">
        <v>1841</v>
      </c>
    </row>
    <row r="2325" spans="1:7" x14ac:dyDescent="0.15">
      <c r="A2325" s="218" t="s">
        <v>11773</v>
      </c>
      <c r="B2325" s="218" t="s">
        <v>11774</v>
      </c>
      <c r="C2325" s="218" t="s">
        <v>3534</v>
      </c>
      <c r="D2325" s="218" t="s">
        <v>11775</v>
      </c>
      <c r="E2325" s="218" t="s">
        <v>1839</v>
      </c>
      <c r="F2325" s="218" t="s">
        <v>1840</v>
      </c>
      <c r="G2325" s="218" t="s">
        <v>1841</v>
      </c>
    </row>
    <row r="2326" spans="1:7" x14ac:dyDescent="0.15">
      <c r="A2326" s="218" t="s">
        <v>11058</v>
      </c>
      <c r="B2326" s="218" t="s">
        <v>11059</v>
      </c>
      <c r="C2326" s="218" t="s">
        <v>3534</v>
      </c>
      <c r="D2326" s="218" t="s">
        <v>11060</v>
      </c>
      <c r="E2326" s="218" t="s">
        <v>1839</v>
      </c>
      <c r="F2326" s="218" t="s">
        <v>1840</v>
      </c>
      <c r="G2326" s="218" t="s">
        <v>1841</v>
      </c>
    </row>
    <row r="2327" spans="1:7" x14ac:dyDescent="0.15">
      <c r="A2327" s="218" t="s">
        <v>11061</v>
      </c>
      <c r="B2327" s="218" t="s">
        <v>11062</v>
      </c>
      <c r="C2327" s="218" t="s">
        <v>3534</v>
      </c>
      <c r="D2327" s="218" t="s">
        <v>11063</v>
      </c>
      <c r="E2327" s="218" t="s">
        <v>1839</v>
      </c>
      <c r="F2327" s="218" t="s">
        <v>1840</v>
      </c>
      <c r="G2327" s="218" t="s">
        <v>1841</v>
      </c>
    </row>
    <row r="2328" spans="1:7" x14ac:dyDescent="0.15">
      <c r="A2328" s="218" t="s">
        <v>11067</v>
      </c>
      <c r="B2328" s="218" t="s">
        <v>11068</v>
      </c>
      <c r="C2328" s="218" t="s">
        <v>3534</v>
      </c>
      <c r="D2328" s="218" t="s">
        <v>11069</v>
      </c>
      <c r="E2328" s="218" t="s">
        <v>1839</v>
      </c>
      <c r="F2328" s="218" t="s">
        <v>1840</v>
      </c>
      <c r="G2328" s="218" t="s">
        <v>1841</v>
      </c>
    </row>
    <row r="2329" spans="1:7" x14ac:dyDescent="0.15">
      <c r="A2329" s="218" t="s">
        <v>6040</v>
      </c>
      <c r="B2329" s="218" t="s">
        <v>6041</v>
      </c>
      <c r="C2329" s="218" t="s">
        <v>3534</v>
      </c>
      <c r="D2329" s="218" t="s">
        <v>6042</v>
      </c>
      <c r="E2329" s="218" t="s">
        <v>1839</v>
      </c>
      <c r="F2329" s="218" t="s">
        <v>1840</v>
      </c>
      <c r="G2329" s="218" t="s">
        <v>1841</v>
      </c>
    </row>
    <row r="2330" spans="1:7" x14ac:dyDescent="0.15">
      <c r="A2330" s="218" t="s">
        <v>6043</v>
      </c>
      <c r="B2330" s="218" t="s">
        <v>6044</v>
      </c>
      <c r="C2330" s="218" t="s">
        <v>3534</v>
      </c>
      <c r="D2330" s="218" t="s">
        <v>6045</v>
      </c>
      <c r="E2330" s="218" t="s">
        <v>1839</v>
      </c>
      <c r="F2330" s="218" t="s">
        <v>1840</v>
      </c>
      <c r="G2330" s="218" t="s">
        <v>1841</v>
      </c>
    </row>
    <row r="2331" spans="1:7" x14ac:dyDescent="0.15">
      <c r="A2331" s="218" t="s">
        <v>6046</v>
      </c>
      <c r="B2331" s="218" t="s">
        <v>6047</v>
      </c>
      <c r="C2331" s="218" t="s">
        <v>3534</v>
      </c>
      <c r="D2331" s="218" t="s">
        <v>6048</v>
      </c>
      <c r="E2331" s="218" t="s">
        <v>1839</v>
      </c>
      <c r="F2331" s="218" t="s">
        <v>1840</v>
      </c>
      <c r="G2331" s="218" t="s">
        <v>1841</v>
      </c>
    </row>
    <row r="2332" spans="1:7" x14ac:dyDescent="0.15">
      <c r="A2332" s="218" t="s">
        <v>6049</v>
      </c>
      <c r="B2332" s="218" t="s">
        <v>6050</v>
      </c>
      <c r="C2332" s="218" t="s">
        <v>3534</v>
      </c>
      <c r="D2332" s="218" t="s">
        <v>6051</v>
      </c>
      <c r="E2332" s="218" t="s">
        <v>1839</v>
      </c>
      <c r="F2332" s="218" t="s">
        <v>1840</v>
      </c>
      <c r="G2332" s="218" t="s">
        <v>1841</v>
      </c>
    </row>
    <row r="2333" spans="1:7" x14ac:dyDescent="0.15">
      <c r="A2333" s="218" t="s">
        <v>6052</v>
      </c>
      <c r="B2333" s="218" t="s">
        <v>6053</v>
      </c>
      <c r="C2333" s="218" t="s">
        <v>3534</v>
      </c>
      <c r="D2333" s="218" t="s">
        <v>6054</v>
      </c>
      <c r="E2333" s="218" t="s">
        <v>1839</v>
      </c>
      <c r="F2333" s="218" t="s">
        <v>1840</v>
      </c>
      <c r="G2333" s="218" t="s">
        <v>1841</v>
      </c>
    </row>
    <row r="2334" spans="1:7" x14ac:dyDescent="0.15">
      <c r="A2334" s="218" t="s">
        <v>11070</v>
      </c>
      <c r="B2334" s="218" t="s">
        <v>1203</v>
      </c>
      <c r="C2334" s="218" t="s">
        <v>3534</v>
      </c>
      <c r="D2334" s="218" t="s">
        <v>1204</v>
      </c>
      <c r="E2334" s="218" t="s">
        <v>1839</v>
      </c>
      <c r="F2334" s="218" t="s">
        <v>1840</v>
      </c>
      <c r="G2334" s="218" t="s">
        <v>1841</v>
      </c>
    </row>
    <row r="2335" spans="1:7" x14ac:dyDescent="0.15">
      <c r="A2335" s="218" t="s">
        <v>11071</v>
      </c>
      <c r="B2335" s="218" t="s">
        <v>11072</v>
      </c>
      <c r="C2335" s="218" t="s">
        <v>3534</v>
      </c>
      <c r="D2335" s="218" t="s">
        <v>11073</v>
      </c>
      <c r="E2335" s="218" t="s">
        <v>1839</v>
      </c>
      <c r="F2335" s="218" t="s">
        <v>1840</v>
      </c>
      <c r="G2335" s="218" t="s">
        <v>1841</v>
      </c>
    </row>
    <row r="2336" spans="1:7" x14ac:dyDescent="0.15">
      <c r="A2336" s="218" t="s">
        <v>6055</v>
      </c>
      <c r="B2336" s="218" t="s">
        <v>6056</v>
      </c>
      <c r="C2336" s="218" t="s">
        <v>3534</v>
      </c>
      <c r="D2336" s="218" t="s">
        <v>6057</v>
      </c>
      <c r="E2336" s="218" t="s">
        <v>1839</v>
      </c>
      <c r="F2336" s="218" t="s">
        <v>1840</v>
      </c>
      <c r="G2336" s="218" t="s">
        <v>1841</v>
      </c>
    </row>
    <row r="2337" spans="1:7" x14ac:dyDescent="0.15">
      <c r="A2337" s="218" t="s">
        <v>6059</v>
      </c>
      <c r="B2337" s="218" t="s">
        <v>6060</v>
      </c>
      <c r="C2337" s="218" t="s">
        <v>3534</v>
      </c>
      <c r="D2337" s="218" t="s">
        <v>6058</v>
      </c>
      <c r="E2337" s="218" t="s">
        <v>1839</v>
      </c>
      <c r="F2337" s="218" t="s">
        <v>1840</v>
      </c>
      <c r="G2337" s="218" t="s">
        <v>1841</v>
      </c>
    </row>
    <row r="2338" spans="1:7" x14ac:dyDescent="0.15">
      <c r="A2338" s="218" t="s">
        <v>6061</v>
      </c>
      <c r="B2338" s="218" t="s">
        <v>6062</v>
      </c>
      <c r="C2338" s="218" t="s">
        <v>3534</v>
      </c>
      <c r="D2338" s="218" t="s">
        <v>6063</v>
      </c>
      <c r="E2338" s="218" t="s">
        <v>1839</v>
      </c>
      <c r="F2338" s="218" t="s">
        <v>1840</v>
      </c>
      <c r="G2338" s="218" t="s">
        <v>1841</v>
      </c>
    </row>
    <row r="2339" spans="1:7" x14ac:dyDescent="0.15">
      <c r="A2339" s="218" t="s">
        <v>6064</v>
      </c>
      <c r="B2339" s="218" t="s">
        <v>6065</v>
      </c>
      <c r="C2339" s="218" t="s">
        <v>3534</v>
      </c>
      <c r="D2339" s="218" t="s">
        <v>6066</v>
      </c>
      <c r="E2339" s="218" t="s">
        <v>1839</v>
      </c>
      <c r="F2339" s="218" t="s">
        <v>1840</v>
      </c>
      <c r="G2339" s="218" t="s">
        <v>1841</v>
      </c>
    </row>
    <row r="2340" spans="1:7" x14ac:dyDescent="0.15">
      <c r="A2340" s="218" t="s">
        <v>6067</v>
      </c>
      <c r="B2340" s="218" t="s">
        <v>6068</v>
      </c>
      <c r="C2340" s="218" t="s">
        <v>3534</v>
      </c>
      <c r="D2340" s="218" t="s">
        <v>6069</v>
      </c>
      <c r="E2340" s="218" t="s">
        <v>1839</v>
      </c>
      <c r="F2340" s="218" t="s">
        <v>1840</v>
      </c>
      <c r="G2340" s="218" t="s">
        <v>1841</v>
      </c>
    </row>
    <row r="2341" spans="1:7" x14ac:dyDescent="0.15">
      <c r="A2341" s="218" t="s">
        <v>11776</v>
      </c>
      <c r="B2341" s="218" t="s">
        <v>11777</v>
      </c>
      <c r="C2341" s="218" t="s">
        <v>3534</v>
      </c>
      <c r="D2341" s="218" t="s">
        <v>11778</v>
      </c>
      <c r="E2341" s="218" t="s">
        <v>1839</v>
      </c>
      <c r="F2341" s="218" t="s">
        <v>1840</v>
      </c>
      <c r="G2341" s="218" t="s">
        <v>1841</v>
      </c>
    </row>
    <row r="2342" spans="1:7" x14ac:dyDescent="0.15">
      <c r="A2342" s="218" t="s">
        <v>6070</v>
      </c>
      <c r="B2342" s="218" t="s">
        <v>6071</v>
      </c>
      <c r="C2342" s="218" t="s">
        <v>3534</v>
      </c>
      <c r="D2342" s="218" t="s">
        <v>6072</v>
      </c>
      <c r="E2342" s="218" t="s">
        <v>1839</v>
      </c>
      <c r="F2342" s="218" t="s">
        <v>1840</v>
      </c>
      <c r="G2342" s="218" t="s">
        <v>1841</v>
      </c>
    </row>
    <row r="2343" spans="1:7" x14ac:dyDescent="0.15">
      <c r="A2343" s="218" t="s">
        <v>11074</v>
      </c>
      <c r="B2343" s="218" t="s">
        <v>11075</v>
      </c>
      <c r="C2343" s="218" t="s">
        <v>3534</v>
      </c>
      <c r="D2343" s="218" t="s">
        <v>11076</v>
      </c>
      <c r="E2343" s="218" t="s">
        <v>1935</v>
      </c>
      <c r="F2343" s="218" t="s">
        <v>1840</v>
      </c>
      <c r="G2343" s="218" t="s">
        <v>1841</v>
      </c>
    </row>
    <row r="2344" spans="1:7" x14ac:dyDescent="0.15">
      <c r="A2344" s="218" t="s">
        <v>6073</v>
      </c>
      <c r="B2344" s="218" t="s">
        <v>6074</v>
      </c>
      <c r="C2344" s="218" t="s">
        <v>3534</v>
      </c>
      <c r="D2344" s="218" t="s">
        <v>6075</v>
      </c>
      <c r="E2344" s="218" t="s">
        <v>1839</v>
      </c>
      <c r="F2344" s="218" t="s">
        <v>1840</v>
      </c>
      <c r="G2344" s="218" t="s">
        <v>1841</v>
      </c>
    </row>
    <row r="2345" spans="1:7" x14ac:dyDescent="0.15">
      <c r="A2345" s="218" t="s">
        <v>11077</v>
      </c>
      <c r="B2345" s="218" t="s">
        <v>11078</v>
      </c>
      <c r="C2345" s="218" t="s">
        <v>3534</v>
      </c>
      <c r="D2345" s="218" t="s">
        <v>11079</v>
      </c>
      <c r="E2345" s="218" t="s">
        <v>1839</v>
      </c>
      <c r="F2345" s="218" t="s">
        <v>1840</v>
      </c>
      <c r="G2345" s="218" t="s">
        <v>1841</v>
      </c>
    </row>
    <row r="2346" spans="1:7" x14ac:dyDescent="0.15">
      <c r="A2346" s="218" t="s">
        <v>6076</v>
      </c>
      <c r="B2346" s="218" t="s">
        <v>6077</v>
      </c>
      <c r="C2346" s="218" t="s">
        <v>3534</v>
      </c>
      <c r="D2346" s="218" t="s">
        <v>6078</v>
      </c>
      <c r="E2346" s="218" t="s">
        <v>1839</v>
      </c>
      <c r="F2346" s="218" t="s">
        <v>1840</v>
      </c>
      <c r="G2346" s="218" t="s">
        <v>1841</v>
      </c>
    </row>
    <row r="2347" spans="1:7" x14ac:dyDescent="0.15">
      <c r="A2347" s="218" t="s">
        <v>6079</v>
      </c>
      <c r="B2347" s="218" t="s">
        <v>6080</v>
      </c>
      <c r="C2347" s="218" t="s">
        <v>3534</v>
      </c>
      <c r="D2347" s="218" t="s">
        <v>6081</v>
      </c>
      <c r="E2347" s="218" t="s">
        <v>1839</v>
      </c>
      <c r="F2347" s="218" t="s">
        <v>1840</v>
      </c>
      <c r="G2347" s="218" t="s">
        <v>1841</v>
      </c>
    </row>
    <row r="2348" spans="1:7" x14ac:dyDescent="0.15">
      <c r="A2348" s="218" t="s">
        <v>6082</v>
      </c>
      <c r="B2348" s="218" t="s">
        <v>6083</v>
      </c>
      <c r="C2348" s="218" t="s">
        <v>3534</v>
      </c>
      <c r="D2348" s="218" t="s">
        <v>6084</v>
      </c>
      <c r="E2348" s="218" t="s">
        <v>1839</v>
      </c>
      <c r="F2348" s="218" t="s">
        <v>1840</v>
      </c>
      <c r="G2348" s="218" t="s">
        <v>1841</v>
      </c>
    </row>
    <row r="2349" spans="1:7" x14ac:dyDescent="0.15">
      <c r="A2349" s="218" t="s">
        <v>6085</v>
      </c>
      <c r="B2349" s="218" t="s">
        <v>6086</v>
      </c>
      <c r="C2349" s="218" t="s">
        <v>3534</v>
      </c>
      <c r="D2349" s="218" t="s">
        <v>6087</v>
      </c>
      <c r="E2349" s="218" t="s">
        <v>1839</v>
      </c>
      <c r="F2349" s="218" t="s">
        <v>1840</v>
      </c>
      <c r="G2349" s="218" t="s">
        <v>1841</v>
      </c>
    </row>
    <row r="2350" spans="1:7" x14ac:dyDescent="0.15">
      <c r="A2350" s="218" t="s">
        <v>11080</v>
      </c>
      <c r="B2350" s="218" t="s">
        <v>11081</v>
      </c>
      <c r="C2350" s="218" t="s">
        <v>3534</v>
      </c>
      <c r="D2350" s="218" t="s">
        <v>11082</v>
      </c>
      <c r="E2350" s="218" t="s">
        <v>1839</v>
      </c>
      <c r="F2350" s="218" t="s">
        <v>1840</v>
      </c>
      <c r="G2350" s="218" t="s">
        <v>1841</v>
      </c>
    </row>
    <row r="2351" spans="1:7" x14ac:dyDescent="0.15">
      <c r="A2351" s="218" t="s">
        <v>6088</v>
      </c>
      <c r="B2351" s="218" t="s">
        <v>6089</v>
      </c>
      <c r="C2351" s="218" t="s">
        <v>3534</v>
      </c>
      <c r="D2351" s="218" t="s">
        <v>6090</v>
      </c>
      <c r="E2351" s="218" t="s">
        <v>1839</v>
      </c>
      <c r="F2351" s="218" t="s">
        <v>1840</v>
      </c>
      <c r="G2351" s="218" t="s">
        <v>1841</v>
      </c>
    </row>
    <row r="2352" spans="1:7" x14ac:dyDescent="0.15">
      <c r="A2352" s="218" t="s">
        <v>6091</v>
      </c>
      <c r="B2352" s="218" t="s">
        <v>6092</v>
      </c>
      <c r="C2352" s="218" t="s">
        <v>3534</v>
      </c>
      <c r="D2352" s="218" t="s">
        <v>6093</v>
      </c>
      <c r="E2352" s="218" t="s">
        <v>1839</v>
      </c>
      <c r="F2352" s="218" t="s">
        <v>1840</v>
      </c>
      <c r="G2352" s="218" t="s">
        <v>1841</v>
      </c>
    </row>
    <row r="2353" spans="1:7" x14ac:dyDescent="0.15">
      <c r="A2353" s="218" t="s">
        <v>6094</v>
      </c>
      <c r="B2353" s="218" t="s">
        <v>6095</v>
      </c>
      <c r="C2353" s="218" t="s">
        <v>3534</v>
      </c>
      <c r="D2353" s="218" t="s">
        <v>6096</v>
      </c>
      <c r="E2353" s="218" t="s">
        <v>1839</v>
      </c>
      <c r="F2353" s="218" t="s">
        <v>1840</v>
      </c>
      <c r="G2353" s="218" t="s">
        <v>1841</v>
      </c>
    </row>
    <row r="2354" spans="1:7" x14ac:dyDescent="0.15">
      <c r="A2354" s="218" t="s">
        <v>11083</v>
      </c>
      <c r="B2354" s="218" t="s">
        <v>1108</v>
      </c>
      <c r="C2354" s="218" t="s">
        <v>3534</v>
      </c>
      <c r="D2354" s="218" t="s">
        <v>1109</v>
      </c>
      <c r="E2354" s="218" t="s">
        <v>1839</v>
      </c>
      <c r="F2354" s="218" t="s">
        <v>1840</v>
      </c>
      <c r="G2354" s="218" t="s">
        <v>1841</v>
      </c>
    </row>
    <row r="2355" spans="1:7" x14ac:dyDescent="0.15">
      <c r="A2355" s="218" t="s">
        <v>11084</v>
      </c>
      <c r="B2355" s="218" t="s">
        <v>1163</v>
      </c>
      <c r="C2355" s="218" t="s">
        <v>3534</v>
      </c>
      <c r="D2355" s="218" t="s">
        <v>1164</v>
      </c>
      <c r="E2355" s="218" t="s">
        <v>1839</v>
      </c>
      <c r="F2355" s="218" t="s">
        <v>1840</v>
      </c>
      <c r="G2355" s="218" t="s">
        <v>1841</v>
      </c>
    </row>
    <row r="2356" spans="1:7" x14ac:dyDescent="0.15">
      <c r="A2356" s="218" t="s">
        <v>6097</v>
      </c>
      <c r="B2356" s="218" t="s">
        <v>6098</v>
      </c>
      <c r="C2356" s="218" t="s">
        <v>3534</v>
      </c>
      <c r="D2356" s="218" t="s">
        <v>6099</v>
      </c>
      <c r="E2356" s="218" t="s">
        <v>1839</v>
      </c>
      <c r="F2356" s="218" t="s">
        <v>1840</v>
      </c>
      <c r="G2356" s="218" t="s">
        <v>1841</v>
      </c>
    </row>
    <row r="2357" spans="1:7" x14ac:dyDescent="0.15">
      <c r="A2357" s="218" t="s">
        <v>6100</v>
      </c>
      <c r="B2357" s="218" t="s">
        <v>6101</v>
      </c>
      <c r="C2357" s="218" t="s">
        <v>3534</v>
      </c>
      <c r="D2357" s="218" t="s">
        <v>6102</v>
      </c>
      <c r="E2357" s="218" t="s">
        <v>1839</v>
      </c>
      <c r="F2357" s="218" t="s">
        <v>1840</v>
      </c>
      <c r="G2357" s="218" t="s">
        <v>1841</v>
      </c>
    </row>
    <row r="2358" spans="1:7" x14ac:dyDescent="0.15">
      <c r="A2358" s="218" t="s">
        <v>6103</v>
      </c>
      <c r="B2358" s="218" t="s">
        <v>6104</v>
      </c>
      <c r="C2358" s="218" t="s">
        <v>3534</v>
      </c>
      <c r="D2358" s="218" t="s">
        <v>6105</v>
      </c>
      <c r="E2358" s="218" t="s">
        <v>1839</v>
      </c>
      <c r="F2358" s="218" t="s">
        <v>1840</v>
      </c>
      <c r="G2358" s="218" t="s">
        <v>1841</v>
      </c>
    </row>
    <row r="2359" spans="1:7" x14ac:dyDescent="0.15">
      <c r="A2359" s="218" t="s">
        <v>6106</v>
      </c>
      <c r="B2359" s="218" t="s">
        <v>6107</v>
      </c>
      <c r="C2359" s="218" t="s">
        <v>3534</v>
      </c>
      <c r="D2359" s="218" t="s">
        <v>6108</v>
      </c>
      <c r="E2359" s="218" t="s">
        <v>1839</v>
      </c>
      <c r="F2359" s="218" t="s">
        <v>1840</v>
      </c>
      <c r="G2359" s="218" t="s">
        <v>1841</v>
      </c>
    </row>
    <row r="2360" spans="1:7" x14ac:dyDescent="0.15">
      <c r="A2360" s="218" t="s">
        <v>6109</v>
      </c>
      <c r="B2360" s="218" t="s">
        <v>6110</v>
      </c>
      <c r="C2360" s="218" t="s">
        <v>3534</v>
      </c>
      <c r="D2360" s="218" t="s">
        <v>6111</v>
      </c>
      <c r="E2360" s="218" t="s">
        <v>1935</v>
      </c>
      <c r="F2360" s="218" t="s">
        <v>1840</v>
      </c>
      <c r="G2360" s="218" t="s">
        <v>1841</v>
      </c>
    </row>
    <row r="2361" spans="1:7" x14ac:dyDescent="0.15">
      <c r="A2361" s="218" t="s">
        <v>6112</v>
      </c>
      <c r="B2361" s="218" t="s">
        <v>6113</v>
      </c>
      <c r="C2361" s="218" t="s">
        <v>3534</v>
      </c>
      <c r="D2361" s="218" t="s">
        <v>6114</v>
      </c>
      <c r="E2361" s="218" t="s">
        <v>1839</v>
      </c>
      <c r="F2361" s="218" t="s">
        <v>1840</v>
      </c>
      <c r="G2361" s="218" t="s">
        <v>1841</v>
      </c>
    </row>
    <row r="2362" spans="1:7" x14ac:dyDescent="0.15">
      <c r="A2362" s="218" t="s">
        <v>11085</v>
      </c>
      <c r="B2362" s="218" t="s">
        <v>950</v>
      </c>
      <c r="C2362" s="218" t="s">
        <v>3534</v>
      </c>
      <c r="D2362" s="218" t="s">
        <v>951</v>
      </c>
      <c r="E2362" s="218" t="s">
        <v>1839</v>
      </c>
      <c r="F2362" s="218" t="s">
        <v>1840</v>
      </c>
      <c r="G2362" s="218" t="s">
        <v>1841</v>
      </c>
    </row>
    <row r="2363" spans="1:7" x14ac:dyDescent="0.15">
      <c r="A2363" s="218" t="s">
        <v>11086</v>
      </c>
      <c r="B2363" s="218" t="s">
        <v>1009</v>
      </c>
      <c r="C2363" s="218" t="s">
        <v>3534</v>
      </c>
      <c r="D2363" s="218" t="s">
        <v>1010</v>
      </c>
      <c r="E2363" s="218" t="s">
        <v>1839</v>
      </c>
      <c r="F2363" s="218" t="s">
        <v>1840</v>
      </c>
      <c r="G2363" s="218" t="s">
        <v>1841</v>
      </c>
    </row>
    <row r="2364" spans="1:7" x14ac:dyDescent="0.15">
      <c r="A2364" s="218" t="s">
        <v>11087</v>
      </c>
      <c r="B2364" s="218" t="s">
        <v>11088</v>
      </c>
      <c r="C2364" s="218" t="s">
        <v>3534</v>
      </c>
      <c r="D2364" s="218" t="s">
        <v>11089</v>
      </c>
      <c r="E2364" s="218" t="s">
        <v>1839</v>
      </c>
      <c r="F2364" s="218" t="s">
        <v>1840</v>
      </c>
      <c r="G2364" s="218" t="s">
        <v>1841</v>
      </c>
    </row>
    <row r="2365" spans="1:7" x14ac:dyDescent="0.15">
      <c r="A2365" s="218" t="s">
        <v>11090</v>
      </c>
      <c r="B2365" s="218" t="s">
        <v>11091</v>
      </c>
      <c r="C2365" s="218" t="s">
        <v>3534</v>
      </c>
      <c r="D2365" s="218" t="s">
        <v>11092</v>
      </c>
      <c r="E2365" s="218" t="s">
        <v>1839</v>
      </c>
      <c r="F2365" s="218" t="s">
        <v>1840</v>
      </c>
      <c r="G2365" s="218" t="s">
        <v>1841</v>
      </c>
    </row>
    <row r="2366" spans="1:7" x14ac:dyDescent="0.15">
      <c r="A2366" s="218" t="s">
        <v>6115</v>
      </c>
      <c r="B2366" s="218" t="s">
        <v>6116</v>
      </c>
      <c r="C2366" s="218" t="s">
        <v>3534</v>
      </c>
      <c r="D2366" s="218" t="s">
        <v>6117</v>
      </c>
      <c r="E2366" s="218" t="s">
        <v>1839</v>
      </c>
      <c r="F2366" s="218" t="s">
        <v>1840</v>
      </c>
      <c r="G2366" s="218" t="s">
        <v>1841</v>
      </c>
    </row>
    <row r="2367" spans="1:7" x14ac:dyDescent="0.15">
      <c r="A2367" s="218" t="s">
        <v>11093</v>
      </c>
      <c r="B2367" s="218" t="s">
        <v>11094</v>
      </c>
      <c r="C2367" s="218" t="s">
        <v>3534</v>
      </c>
      <c r="D2367" s="218" t="s">
        <v>11095</v>
      </c>
      <c r="E2367" s="218" t="s">
        <v>1839</v>
      </c>
      <c r="F2367" s="218" t="s">
        <v>1840</v>
      </c>
      <c r="G2367" s="218" t="s">
        <v>1841</v>
      </c>
    </row>
    <row r="2368" spans="1:7" x14ac:dyDescent="0.15">
      <c r="A2368" s="218" t="s">
        <v>11096</v>
      </c>
      <c r="B2368" s="218" t="s">
        <v>11097</v>
      </c>
      <c r="C2368" s="218" t="s">
        <v>3534</v>
      </c>
      <c r="D2368" s="218" t="s">
        <v>11098</v>
      </c>
      <c r="E2368" s="218" t="s">
        <v>1839</v>
      </c>
      <c r="F2368" s="218" t="s">
        <v>1840</v>
      </c>
      <c r="G2368" s="218" t="s">
        <v>1841</v>
      </c>
    </row>
    <row r="2369" spans="1:7" x14ac:dyDescent="0.15">
      <c r="A2369" s="218" t="s">
        <v>6118</v>
      </c>
      <c r="B2369" s="218" t="s">
        <v>6119</v>
      </c>
      <c r="C2369" s="218" t="s">
        <v>3534</v>
      </c>
      <c r="D2369" s="218" t="s">
        <v>6120</v>
      </c>
      <c r="E2369" s="218" t="s">
        <v>1839</v>
      </c>
      <c r="F2369" s="218" t="s">
        <v>1840</v>
      </c>
      <c r="G2369" s="218" t="s">
        <v>1841</v>
      </c>
    </row>
    <row r="2370" spans="1:7" x14ac:dyDescent="0.15">
      <c r="A2370" s="218" t="s">
        <v>6121</v>
      </c>
      <c r="B2370" s="218" t="s">
        <v>6122</v>
      </c>
      <c r="C2370" s="218" t="s">
        <v>3534</v>
      </c>
      <c r="D2370" s="218" t="s">
        <v>6123</v>
      </c>
      <c r="E2370" s="218" t="s">
        <v>1839</v>
      </c>
      <c r="F2370" s="218" t="s">
        <v>1840</v>
      </c>
      <c r="G2370" s="218" t="s">
        <v>1841</v>
      </c>
    </row>
    <row r="2371" spans="1:7" x14ac:dyDescent="0.15">
      <c r="A2371" s="218" t="s">
        <v>11099</v>
      </c>
      <c r="B2371" s="218" t="s">
        <v>11100</v>
      </c>
      <c r="C2371" s="218" t="s">
        <v>3534</v>
      </c>
      <c r="D2371" s="218" t="s">
        <v>11101</v>
      </c>
      <c r="E2371" s="218" t="s">
        <v>1839</v>
      </c>
      <c r="F2371" s="218" t="s">
        <v>1840</v>
      </c>
      <c r="G2371" s="218" t="s">
        <v>1841</v>
      </c>
    </row>
    <row r="2372" spans="1:7" x14ac:dyDescent="0.15">
      <c r="A2372" s="218" t="s">
        <v>11102</v>
      </c>
      <c r="B2372" s="218" t="s">
        <v>11103</v>
      </c>
      <c r="C2372" s="218" t="s">
        <v>3534</v>
      </c>
      <c r="D2372" s="218" t="s">
        <v>1098</v>
      </c>
      <c r="E2372" s="218" t="s">
        <v>1839</v>
      </c>
      <c r="F2372" s="218" t="s">
        <v>1840</v>
      </c>
      <c r="G2372" s="218" t="s">
        <v>1841</v>
      </c>
    </row>
    <row r="2373" spans="1:7" x14ac:dyDescent="0.15">
      <c r="A2373" s="218" t="s">
        <v>6124</v>
      </c>
      <c r="B2373" s="218" t="s">
        <v>6125</v>
      </c>
      <c r="C2373" s="218" t="s">
        <v>3534</v>
      </c>
      <c r="D2373" s="218" t="s">
        <v>6126</v>
      </c>
      <c r="E2373" s="218" t="s">
        <v>1839</v>
      </c>
      <c r="F2373" s="218" t="s">
        <v>1840</v>
      </c>
      <c r="G2373" s="218" t="s">
        <v>1841</v>
      </c>
    </row>
    <row r="2374" spans="1:7" x14ac:dyDescent="0.15">
      <c r="A2374" s="218" t="s">
        <v>11104</v>
      </c>
      <c r="B2374" s="218" t="s">
        <v>952</v>
      </c>
      <c r="C2374" s="218" t="s">
        <v>3534</v>
      </c>
      <c r="D2374" s="218" t="s">
        <v>953</v>
      </c>
      <c r="E2374" s="218" t="s">
        <v>1839</v>
      </c>
      <c r="F2374" s="218" t="s">
        <v>1840</v>
      </c>
      <c r="G2374" s="218" t="s">
        <v>1841</v>
      </c>
    </row>
    <row r="2375" spans="1:7" x14ac:dyDescent="0.15">
      <c r="A2375" s="218" t="s">
        <v>11105</v>
      </c>
      <c r="B2375" s="218" t="s">
        <v>1195</v>
      </c>
      <c r="C2375" s="218" t="s">
        <v>3534</v>
      </c>
      <c r="D2375" s="218" t="s">
        <v>1196</v>
      </c>
      <c r="E2375" s="218" t="s">
        <v>1839</v>
      </c>
      <c r="F2375" s="218" t="s">
        <v>1840</v>
      </c>
      <c r="G2375" s="218" t="s">
        <v>1841</v>
      </c>
    </row>
    <row r="2376" spans="1:7" x14ac:dyDescent="0.15">
      <c r="A2376" s="218" t="s">
        <v>4405</v>
      </c>
      <c r="B2376" s="218" t="s">
        <v>11106</v>
      </c>
      <c r="C2376" s="218" t="s">
        <v>3534</v>
      </c>
      <c r="D2376" s="218" t="s">
        <v>11107</v>
      </c>
      <c r="E2376" s="218" t="s">
        <v>1839</v>
      </c>
      <c r="F2376" s="218" t="s">
        <v>1840</v>
      </c>
      <c r="G2376" s="218" t="s">
        <v>1841</v>
      </c>
    </row>
    <row r="2377" spans="1:7" x14ac:dyDescent="0.15">
      <c r="A2377" s="218" t="s">
        <v>6130</v>
      </c>
      <c r="B2377" s="218" t="s">
        <v>6131</v>
      </c>
      <c r="C2377" s="218" t="s">
        <v>3534</v>
      </c>
      <c r="D2377" s="218" t="s">
        <v>6132</v>
      </c>
      <c r="E2377" s="218" t="s">
        <v>1839</v>
      </c>
      <c r="F2377" s="218" t="s">
        <v>1840</v>
      </c>
      <c r="G2377" s="218" t="s">
        <v>1841</v>
      </c>
    </row>
    <row r="2378" spans="1:7" x14ac:dyDescent="0.15">
      <c r="A2378" s="218" t="s">
        <v>6133</v>
      </c>
      <c r="B2378" s="218" t="s">
        <v>6134</v>
      </c>
      <c r="C2378" s="218" t="s">
        <v>3534</v>
      </c>
      <c r="D2378" s="218" t="s">
        <v>6135</v>
      </c>
      <c r="E2378" s="218" t="s">
        <v>1839</v>
      </c>
      <c r="F2378" s="218" t="s">
        <v>1840</v>
      </c>
      <c r="G2378" s="218" t="s">
        <v>1841</v>
      </c>
    </row>
    <row r="2379" spans="1:7" x14ac:dyDescent="0.15">
      <c r="A2379" s="218" t="s">
        <v>11108</v>
      </c>
      <c r="B2379" s="218" t="s">
        <v>851</v>
      </c>
      <c r="C2379" s="218" t="s">
        <v>3534</v>
      </c>
      <c r="D2379" s="218" t="s">
        <v>852</v>
      </c>
      <c r="E2379" s="218" t="s">
        <v>1839</v>
      </c>
      <c r="F2379" s="218" t="s">
        <v>1840</v>
      </c>
      <c r="G2379" s="218" t="s">
        <v>1841</v>
      </c>
    </row>
    <row r="2380" spans="1:7" x14ac:dyDescent="0.15">
      <c r="A2380" s="218" t="s">
        <v>6136</v>
      </c>
      <c r="B2380" s="218" t="s">
        <v>6137</v>
      </c>
      <c r="C2380" s="218" t="s">
        <v>3534</v>
      </c>
      <c r="D2380" s="218" t="s">
        <v>6138</v>
      </c>
      <c r="E2380" s="218" t="s">
        <v>1839</v>
      </c>
      <c r="F2380" s="218" t="s">
        <v>1840</v>
      </c>
      <c r="G2380" s="218" t="s">
        <v>1841</v>
      </c>
    </row>
    <row r="2381" spans="1:7" x14ac:dyDescent="0.15">
      <c r="A2381" s="218" t="s">
        <v>6139</v>
      </c>
      <c r="B2381" s="218" t="s">
        <v>6140</v>
      </c>
      <c r="C2381" s="218" t="s">
        <v>3534</v>
      </c>
      <c r="D2381" s="218" t="s">
        <v>6141</v>
      </c>
      <c r="E2381" s="218" t="s">
        <v>1839</v>
      </c>
      <c r="F2381" s="218" t="s">
        <v>1840</v>
      </c>
      <c r="G2381" s="218" t="s">
        <v>1841</v>
      </c>
    </row>
    <row r="2382" spans="1:7" x14ac:dyDescent="0.15">
      <c r="A2382" s="218" t="s">
        <v>11109</v>
      </c>
      <c r="B2382" s="218" t="s">
        <v>11110</v>
      </c>
      <c r="C2382" s="218" t="s">
        <v>3534</v>
      </c>
      <c r="D2382" s="218" t="s">
        <v>11111</v>
      </c>
      <c r="E2382" s="218" t="s">
        <v>1839</v>
      </c>
      <c r="F2382" s="218" t="s">
        <v>1840</v>
      </c>
      <c r="G2382" s="218" t="s">
        <v>1841</v>
      </c>
    </row>
    <row r="2383" spans="1:7" x14ac:dyDescent="0.15">
      <c r="A2383" s="218" t="s">
        <v>6142</v>
      </c>
      <c r="B2383" s="218" t="s">
        <v>6143</v>
      </c>
      <c r="C2383" s="218" t="s">
        <v>3534</v>
      </c>
      <c r="D2383" s="218" t="s">
        <v>6144</v>
      </c>
      <c r="E2383" s="218" t="s">
        <v>1839</v>
      </c>
      <c r="F2383" s="218" t="s">
        <v>1840</v>
      </c>
      <c r="G2383" s="218" t="s">
        <v>1841</v>
      </c>
    </row>
    <row r="2384" spans="1:7" x14ac:dyDescent="0.15">
      <c r="A2384" s="218" t="s">
        <v>6145</v>
      </c>
      <c r="B2384" s="218" t="s">
        <v>6146</v>
      </c>
      <c r="C2384" s="218" t="s">
        <v>3534</v>
      </c>
      <c r="D2384" s="218" t="s">
        <v>6147</v>
      </c>
      <c r="E2384" s="218" t="s">
        <v>1935</v>
      </c>
      <c r="F2384" s="218" t="s">
        <v>1840</v>
      </c>
      <c r="G2384" s="218" t="s">
        <v>1841</v>
      </c>
    </row>
    <row r="2385" spans="1:7" x14ac:dyDescent="0.15">
      <c r="A2385" s="218" t="s">
        <v>6148</v>
      </c>
      <c r="B2385" s="218" t="s">
        <v>6149</v>
      </c>
      <c r="C2385" s="218" t="s">
        <v>3534</v>
      </c>
      <c r="D2385" s="218" t="s">
        <v>6150</v>
      </c>
      <c r="E2385" s="218" t="s">
        <v>1839</v>
      </c>
      <c r="F2385" s="218" t="s">
        <v>1840</v>
      </c>
      <c r="G2385" s="218" t="s">
        <v>1841</v>
      </c>
    </row>
    <row r="2386" spans="1:7" x14ac:dyDescent="0.15">
      <c r="A2386" s="218" t="s">
        <v>11112</v>
      </c>
      <c r="B2386" s="218" t="s">
        <v>11113</v>
      </c>
      <c r="C2386" s="218" t="s">
        <v>3534</v>
      </c>
      <c r="D2386" s="218" t="s">
        <v>11114</v>
      </c>
      <c r="E2386" s="218" t="s">
        <v>1839</v>
      </c>
      <c r="F2386" s="218" t="s">
        <v>1840</v>
      </c>
      <c r="G2386" s="218" t="s">
        <v>1841</v>
      </c>
    </row>
    <row r="2387" spans="1:7" x14ac:dyDescent="0.15">
      <c r="A2387" s="218" t="s">
        <v>6151</v>
      </c>
      <c r="B2387" s="218" t="s">
        <v>6152</v>
      </c>
      <c r="C2387" s="218" t="s">
        <v>3534</v>
      </c>
      <c r="D2387" s="218" t="s">
        <v>6153</v>
      </c>
      <c r="E2387" s="218" t="s">
        <v>1839</v>
      </c>
      <c r="F2387" s="218" t="s">
        <v>1840</v>
      </c>
      <c r="G2387" s="218" t="s">
        <v>1841</v>
      </c>
    </row>
    <row r="2388" spans="1:7" x14ac:dyDescent="0.15">
      <c r="A2388" s="218" t="s">
        <v>11115</v>
      </c>
      <c r="B2388" s="218" t="s">
        <v>11116</v>
      </c>
      <c r="C2388" s="218" t="s">
        <v>3534</v>
      </c>
      <c r="D2388" s="218" t="s">
        <v>11117</v>
      </c>
      <c r="E2388" s="218" t="s">
        <v>1839</v>
      </c>
      <c r="F2388" s="218" t="s">
        <v>1840</v>
      </c>
      <c r="G2388" s="218" t="s">
        <v>1841</v>
      </c>
    </row>
    <row r="2389" spans="1:7" x14ac:dyDescent="0.15">
      <c r="A2389" s="218" t="s">
        <v>11118</v>
      </c>
      <c r="B2389" s="218" t="s">
        <v>11119</v>
      </c>
      <c r="C2389" s="218" t="s">
        <v>3534</v>
      </c>
      <c r="D2389" s="218" t="s">
        <v>11120</v>
      </c>
      <c r="E2389" s="218" t="s">
        <v>1839</v>
      </c>
      <c r="F2389" s="218" t="s">
        <v>1840</v>
      </c>
      <c r="G2389" s="218" t="s">
        <v>1841</v>
      </c>
    </row>
    <row r="2390" spans="1:7" x14ac:dyDescent="0.15">
      <c r="A2390" s="218" t="s">
        <v>6157</v>
      </c>
      <c r="B2390" s="218" t="s">
        <v>6158</v>
      </c>
      <c r="C2390" s="218" t="s">
        <v>3534</v>
      </c>
      <c r="D2390" s="218" t="s">
        <v>6159</v>
      </c>
      <c r="E2390" s="218" t="s">
        <v>1935</v>
      </c>
      <c r="F2390" s="218" t="s">
        <v>1840</v>
      </c>
      <c r="G2390" s="218" t="s">
        <v>1841</v>
      </c>
    </row>
    <row r="2391" spans="1:7" x14ac:dyDescent="0.15">
      <c r="A2391" s="218" t="s">
        <v>6160</v>
      </c>
      <c r="B2391" s="218" t="s">
        <v>6161</v>
      </c>
      <c r="C2391" s="218" t="s">
        <v>3534</v>
      </c>
      <c r="D2391" s="218" t="s">
        <v>6162</v>
      </c>
      <c r="E2391" s="218" t="s">
        <v>1839</v>
      </c>
      <c r="F2391" s="218" t="s">
        <v>1840</v>
      </c>
      <c r="G2391" s="218" t="s">
        <v>1841</v>
      </c>
    </row>
    <row r="2392" spans="1:7" x14ac:dyDescent="0.15">
      <c r="A2392" s="218" t="s">
        <v>11121</v>
      </c>
      <c r="B2392" s="218" t="s">
        <v>1154</v>
      </c>
      <c r="C2392" s="218" t="s">
        <v>3534</v>
      </c>
      <c r="D2392" s="218" t="s">
        <v>1155</v>
      </c>
      <c r="E2392" s="218" t="s">
        <v>1935</v>
      </c>
      <c r="F2392" s="218" t="s">
        <v>1840</v>
      </c>
      <c r="G2392" s="218" t="s">
        <v>1841</v>
      </c>
    </row>
    <row r="2393" spans="1:7" x14ac:dyDescent="0.15">
      <c r="A2393" s="218" t="s">
        <v>11122</v>
      </c>
      <c r="B2393" s="218" t="s">
        <v>11123</v>
      </c>
      <c r="C2393" s="218" t="s">
        <v>3534</v>
      </c>
      <c r="D2393" s="218" t="s">
        <v>11124</v>
      </c>
      <c r="E2393" s="218" t="s">
        <v>1839</v>
      </c>
      <c r="F2393" s="218" t="s">
        <v>1840</v>
      </c>
      <c r="G2393" s="218" t="s">
        <v>1841</v>
      </c>
    </row>
    <row r="2394" spans="1:7" x14ac:dyDescent="0.15">
      <c r="A2394" s="218" t="s">
        <v>6163</v>
      </c>
      <c r="B2394" s="218" t="s">
        <v>6164</v>
      </c>
      <c r="C2394" s="218" t="s">
        <v>3534</v>
      </c>
      <c r="D2394" s="218" t="s">
        <v>6165</v>
      </c>
      <c r="E2394" s="218" t="s">
        <v>1839</v>
      </c>
      <c r="F2394" s="218" t="s">
        <v>1840</v>
      </c>
      <c r="G2394" s="218" t="s">
        <v>1841</v>
      </c>
    </row>
    <row r="2395" spans="1:7" x14ac:dyDescent="0.15">
      <c r="A2395" s="218" t="s">
        <v>6166</v>
      </c>
      <c r="B2395" s="218" t="s">
        <v>6167</v>
      </c>
      <c r="C2395" s="218" t="s">
        <v>3534</v>
      </c>
      <c r="D2395" s="218" t="s">
        <v>6168</v>
      </c>
      <c r="E2395" s="218" t="s">
        <v>1839</v>
      </c>
      <c r="F2395" s="218" t="s">
        <v>1840</v>
      </c>
      <c r="G2395" s="218" t="s">
        <v>1841</v>
      </c>
    </row>
    <row r="2396" spans="1:7" x14ac:dyDescent="0.15">
      <c r="A2396" s="218" t="s">
        <v>6169</v>
      </c>
      <c r="B2396" s="218" t="s">
        <v>6170</v>
      </c>
      <c r="C2396" s="218" t="s">
        <v>3534</v>
      </c>
      <c r="D2396" s="218" t="s">
        <v>6171</v>
      </c>
      <c r="E2396" s="218" t="s">
        <v>1839</v>
      </c>
      <c r="F2396" s="218" t="s">
        <v>1840</v>
      </c>
      <c r="G2396" s="218" t="s">
        <v>1841</v>
      </c>
    </row>
    <row r="2397" spans="1:7" x14ac:dyDescent="0.15">
      <c r="A2397" s="218" t="s">
        <v>6172</v>
      </c>
      <c r="B2397" s="218" t="s">
        <v>6173</v>
      </c>
      <c r="C2397" s="218" t="s">
        <v>3534</v>
      </c>
      <c r="D2397" s="218" t="s">
        <v>6174</v>
      </c>
      <c r="E2397" s="218" t="s">
        <v>1839</v>
      </c>
      <c r="F2397" s="218" t="s">
        <v>1840</v>
      </c>
      <c r="G2397" s="218" t="s">
        <v>1841</v>
      </c>
    </row>
    <row r="2398" spans="1:7" x14ac:dyDescent="0.15">
      <c r="A2398" s="218" t="s">
        <v>11125</v>
      </c>
      <c r="B2398" s="218" t="s">
        <v>885</v>
      </c>
      <c r="C2398" s="218" t="s">
        <v>3534</v>
      </c>
      <c r="D2398" s="218" t="s">
        <v>886</v>
      </c>
      <c r="E2398" s="218" t="s">
        <v>1839</v>
      </c>
      <c r="F2398" s="218" t="s">
        <v>1840</v>
      </c>
      <c r="G2398" s="218" t="s">
        <v>1841</v>
      </c>
    </row>
    <row r="2399" spans="1:7" x14ac:dyDescent="0.15">
      <c r="A2399" s="218" t="s">
        <v>6175</v>
      </c>
      <c r="B2399" s="218" t="s">
        <v>6176</v>
      </c>
      <c r="C2399" s="218" t="s">
        <v>3534</v>
      </c>
      <c r="D2399" s="218" t="s">
        <v>6177</v>
      </c>
      <c r="E2399" s="218" t="s">
        <v>1839</v>
      </c>
      <c r="F2399" s="218" t="s">
        <v>1840</v>
      </c>
      <c r="G2399" s="218" t="s">
        <v>1841</v>
      </c>
    </row>
    <row r="2400" spans="1:7" x14ac:dyDescent="0.15">
      <c r="A2400" s="218" t="s">
        <v>11126</v>
      </c>
      <c r="B2400" s="218" t="s">
        <v>11127</v>
      </c>
      <c r="C2400" s="218" t="s">
        <v>3534</v>
      </c>
      <c r="D2400" s="218" t="s">
        <v>11128</v>
      </c>
      <c r="E2400" s="218" t="s">
        <v>1935</v>
      </c>
      <c r="F2400" s="218" t="s">
        <v>1840</v>
      </c>
      <c r="G2400" s="218" t="s">
        <v>1841</v>
      </c>
    </row>
    <row r="2401" spans="1:7" x14ac:dyDescent="0.15">
      <c r="A2401" s="218" t="s">
        <v>11129</v>
      </c>
      <c r="B2401" s="218" t="s">
        <v>11130</v>
      </c>
      <c r="C2401" s="218" t="s">
        <v>3534</v>
      </c>
      <c r="D2401" s="218" t="s">
        <v>11131</v>
      </c>
      <c r="E2401" s="218" t="s">
        <v>1839</v>
      </c>
      <c r="F2401" s="218" t="s">
        <v>1840</v>
      </c>
      <c r="G2401" s="218" t="s">
        <v>1841</v>
      </c>
    </row>
    <row r="2402" spans="1:7" x14ac:dyDescent="0.15">
      <c r="A2402" s="218" t="s">
        <v>11132</v>
      </c>
      <c r="B2402" s="218" t="s">
        <v>959</v>
      </c>
      <c r="C2402" s="218" t="s">
        <v>3534</v>
      </c>
      <c r="D2402" s="218" t="s">
        <v>960</v>
      </c>
      <c r="E2402" s="218" t="s">
        <v>1839</v>
      </c>
      <c r="F2402" s="218" t="s">
        <v>1840</v>
      </c>
      <c r="G2402" s="218" t="s">
        <v>1841</v>
      </c>
    </row>
    <row r="2403" spans="1:7" x14ac:dyDescent="0.15">
      <c r="A2403" s="218" t="s">
        <v>11133</v>
      </c>
      <c r="B2403" s="218" t="s">
        <v>11134</v>
      </c>
      <c r="C2403" s="218" t="s">
        <v>3534</v>
      </c>
      <c r="D2403" s="218" t="s">
        <v>11135</v>
      </c>
      <c r="E2403" s="218" t="s">
        <v>1839</v>
      </c>
      <c r="F2403" s="218" t="s">
        <v>1840</v>
      </c>
      <c r="G2403" s="218" t="s">
        <v>1841</v>
      </c>
    </row>
    <row r="2404" spans="1:7" x14ac:dyDescent="0.15">
      <c r="A2404" s="218" t="s">
        <v>6178</v>
      </c>
      <c r="B2404" s="218" t="s">
        <v>6179</v>
      </c>
      <c r="C2404" s="218" t="s">
        <v>3534</v>
      </c>
      <c r="D2404" s="218" t="s">
        <v>6180</v>
      </c>
      <c r="E2404" s="218" t="s">
        <v>1839</v>
      </c>
      <c r="F2404" s="218" t="s">
        <v>1840</v>
      </c>
      <c r="G2404" s="218" t="s">
        <v>1841</v>
      </c>
    </row>
    <row r="2405" spans="1:7" x14ac:dyDescent="0.15">
      <c r="A2405" s="218" t="s">
        <v>6181</v>
      </c>
      <c r="B2405" s="218" t="s">
        <v>6182</v>
      </c>
      <c r="C2405" s="218" t="s">
        <v>3534</v>
      </c>
      <c r="D2405" s="218" t="s">
        <v>6183</v>
      </c>
      <c r="E2405" s="218" t="s">
        <v>1839</v>
      </c>
      <c r="F2405" s="218" t="s">
        <v>1840</v>
      </c>
      <c r="G2405" s="218" t="s">
        <v>1841</v>
      </c>
    </row>
    <row r="2406" spans="1:7" x14ac:dyDescent="0.15">
      <c r="A2406" s="218" t="s">
        <v>6187</v>
      </c>
      <c r="B2406" s="218" t="s">
        <v>6188</v>
      </c>
      <c r="C2406" s="218" t="s">
        <v>3534</v>
      </c>
      <c r="D2406" s="218" t="s">
        <v>6189</v>
      </c>
      <c r="E2406" s="218" t="s">
        <v>1839</v>
      </c>
      <c r="F2406" s="218" t="s">
        <v>1840</v>
      </c>
      <c r="G2406" s="218" t="s">
        <v>1841</v>
      </c>
    </row>
    <row r="2407" spans="1:7" x14ac:dyDescent="0.15">
      <c r="A2407" s="218" t="s">
        <v>11779</v>
      </c>
      <c r="B2407" s="218" t="s">
        <v>11780</v>
      </c>
      <c r="C2407" s="218" t="s">
        <v>3534</v>
      </c>
      <c r="D2407" s="218" t="s">
        <v>11781</v>
      </c>
      <c r="E2407" s="218" t="s">
        <v>1839</v>
      </c>
      <c r="F2407" s="218" t="s">
        <v>1840</v>
      </c>
      <c r="G2407" s="218" t="s">
        <v>1841</v>
      </c>
    </row>
    <row r="2408" spans="1:7" x14ac:dyDescent="0.15">
      <c r="A2408" s="218" t="s">
        <v>11782</v>
      </c>
      <c r="B2408" s="218" t="s">
        <v>11783</v>
      </c>
      <c r="C2408" s="218" t="s">
        <v>3534</v>
      </c>
      <c r="D2408" s="218" t="s">
        <v>11784</v>
      </c>
      <c r="E2408" s="218" t="s">
        <v>1839</v>
      </c>
      <c r="F2408" s="218" t="s">
        <v>1840</v>
      </c>
      <c r="G2408" s="218" t="s">
        <v>1841</v>
      </c>
    </row>
    <row r="2409" spans="1:7" x14ac:dyDescent="0.15">
      <c r="A2409" s="218" t="s">
        <v>11136</v>
      </c>
      <c r="B2409" s="218" t="s">
        <v>11137</v>
      </c>
      <c r="C2409" s="218" t="s">
        <v>3534</v>
      </c>
      <c r="D2409" s="218" t="s">
        <v>11138</v>
      </c>
      <c r="E2409" s="218" t="s">
        <v>1839</v>
      </c>
      <c r="F2409" s="218" t="s">
        <v>1840</v>
      </c>
      <c r="G2409" s="218" t="s">
        <v>1841</v>
      </c>
    </row>
    <row r="2410" spans="1:7" x14ac:dyDescent="0.15">
      <c r="A2410" s="218" t="s">
        <v>6190</v>
      </c>
      <c r="B2410" s="218" t="s">
        <v>6191</v>
      </c>
      <c r="C2410" s="218" t="s">
        <v>3534</v>
      </c>
      <c r="D2410" s="218" t="s">
        <v>6192</v>
      </c>
      <c r="E2410" s="218" t="s">
        <v>1839</v>
      </c>
      <c r="F2410" s="218" t="s">
        <v>1840</v>
      </c>
      <c r="G2410" s="218" t="s">
        <v>1841</v>
      </c>
    </row>
    <row r="2411" spans="1:7" x14ac:dyDescent="0.15">
      <c r="A2411" s="218" t="s">
        <v>11139</v>
      </c>
      <c r="B2411" s="218" t="s">
        <v>1170</v>
      </c>
      <c r="C2411" s="218" t="s">
        <v>3534</v>
      </c>
      <c r="D2411" s="218" t="s">
        <v>1171</v>
      </c>
      <c r="E2411" s="218" t="s">
        <v>1839</v>
      </c>
      <c r="F2411" s="218" t="s">
        <v>1840</v>
      </c>
      <c r="G2411" s="218" t="s">
        <v>1841</v>
      </c>
    </row>
    <row r="2412" spans="1:7" x14ac:dyDescent="0.15">
      <c r="A2412" s="218" t="s">
        <v>11140</v>
      </c>
      <c r="B2412" s="218" t="s">
        <v>11141</v>
      </c>
      <c r="C2412" s="218" t="s">
        <v>3534</v>
      </c>
      <c r="D2412" s="218" t="s">
        <v>11142</v>
      </c>
      <c r="E2412" s="218" t="s">
        <v>1935</v>
      </c>
      <c r="F2412" s="218" t="s">
        <v>1840</v>
      </c>
      <c r="G2412" s="218" t="s">
        <v>1841</v>
      </c>
    </row>
    <row r="2413" spans="1:7" x14ac:dyDescent="0.15">
      <c r="A2413" s="218" t="s">
        <v>11143</v>
      </c>
      <c r="B2413" s="218" t="s">
        <v>11144</v>
      </c>
      <c r="C2413" s="218" t="s">
        <v>3534</v>
      </c>
      <c r="D2413" s="218" t="s">
        <v>11145</v>
      </c>
      <c r="E2413" s="218" t="s">
        <v>1839</v>
      </c>
      <c r="F2413" s="218" t="s">
        <v>1840</v>
      </c>
      <c r="G2413" s="218" t="s">
        <v>1841</v>
      </c>
    </row>
    <row r="2414" spans="1:7" x14ac:dyDescent="0.15">
      <c r="A2414" s="218" t="s">
        <v>11785</v>
      </c>
      <c r="B2414" s="218" t="s">
        <v>11786</v>
      </c>
      <c r="C2414" s="218" t="s">
        <v>3534</v>
      </c>
      <c r="D2414" s="218" t="s">
        <v>11787</v>
      </c>
      <c r="E2414" s="218" t="s">
        <v>1839</v>
      </c>
      <c r="F2414" s="218" t="s">
        <v>1840</v>
      </c>
      <c r="G2414" s="218" t="s">
        <v>1841</v>
      </c>
    </row>
    <row r="2415" spans="1:7" x14ac:dyDescent="0.15">
      <c r="A2415" s="218" t="s">
        <v>6193</v>
      </c>
      <c r="B2415" s="218" t="s">
        <v>6194</v>
      </c>
      <c r="C2415" s="218" t="s">
        <v>3534</v>
      </c>
      <c r="D2415" s="218" t="s">
        <v>6195</v>
      </c>
      <c r="E2415" s="218" t="s">
        <v>1839</v>
      </c>
      <c r="F2415" s="218" t="s">
        <v>1840</v>
      </c>
      <c r="G2415" s="218" t="s">
        <v>1841</v>
      </c>
    </row>
    <row r="2416" spans="1:7" x14ac:dyDescent="0.15">
      <c r="A2416" s="218" t="s">
        <v>11146</v>
      </c>
      <c r="B2416" s="218" t="s">
        <v>1253</v>
      </c>
      <c r="C2416" s="218" t="s">
        <v>3534</v>
      </c>
      <c r="D2416" s="218" t="s">
        <v>1254</v>
      </c>
      <c r="E2416" s="218" t="s">
        <v>1839</v>
      </c>
      <c r="F2416" s="218" t="s">
        <v>1840</v>
      </c>
      <c r="G2416" s="218" t="s">
        <v>1841</v>
      </c>
    </row>
    <row r="2417" spans="1:7" x14ac:dyDescent="0.15">
      <c r="A2417" s="218" t="s">
        <v>11147</v>
      </c>
      <c r="B2417" s="218" t="s">
        <v>11148</v>
      </c>
      <c r="C2417" s="218" t="s">
        <v>3534</v>
      </c>
      <c r="D2417" s="218" t="s">
        <v>11149</v>
      </c>
      <c r="E2417" s="218" t="s">
        <v>1839</v>
      </c>
      <c r="F2417" s="218" t="s">
        <v>1840</v>
      </c>
      <c r="G2417" s="218" t="s">
        <v>1841</v>
      </c>
    </row>
    <row r="2418" spans="1:7" x14ac:dyDescent="0.15">
      <c r="A2418" s="218" t="s">
        <v>6196</v>
      </c>
      <c r="B2418" s="218" t="s">
        <v>6197</v>
      </c>
      <c r="C2418" s="218" t="s">
        <v>3534</v>
      </c>
      <c r="D2418" s="218" t="s">
        <v>6198</v>
      </c>
      <c r="E2418" s="218" t="s">
        <v>1839</v>
      </c>
      <c r="F2418" s="218" t="s">
        <v>1840</v>
      </c>
      <c r="G2418" s="218" t="s">
        <v>1841</v>
      </c>
    </row>
    <row r="2419" spans="1:7" x14ac:dyDescent="0.15">
      <c r="A2419" s="218" t="s">
        <v>11150</v>
      </c>
      <c r="B2419" s="218" t="s">
        <v>11151</v>
      </c>
      <c r="C2419" s="218" t="s">
        <v>3534</v>
      </c>
      <c r="D2419" s="218" t="s">
        <v>11152</v>
      </c>
      <c r="E2419" s="218" t="s">
        <v>1839</v>
      </c>
      <c r="F2419" s="218" t="s">
        <v>1840</v>
      </c>
      <c r="G2419" s="218" t="s">
        <v>1841</v>
      </c>
    </row>
    <row r="2420" spans="1:7" x14ac:dyDescent="0.15">
      <c r="A2420" s="218" t="s">
        <v>6199</v>
      </c>
      <c r="B2420" s="218" t="s">
        <v>6200</v>
      </c>
      <c r="C2420" s="218" t="s">
        <v>3534</v>
      </c>
      <c r="D2420" s="218" t="s">
        <v>6201</v>
      </c>
      <c r="E2420" s="218" t="s">
        <v>1839</v>
      </c>
      <c r="F2420" s="218" t="s">
        <v>1840</v>
      </c>
      <c r="G2420" s="218" t="s">
        <v>1841</v>
      </c>
    </row>
    <row r="2421" spans="1:7" x14ac:dyDescent="0.15">
      <c r="A2421" s="218" t="s">
        <v>11153</v>
      </c>
      <c r="B2421" s="218" t="s">
        <v>11154</v>
      </c>
      <c r="C2421" s="218" t="s">
        <v>3534</v>
      </c>
      <c r="D2421" s="218" t="s">
        <v>11155</v>
      </c>
      <c r="E2421" s="218" t="s">
        <v>1839</v>
      </c>
      <c r="F2421" s="218" t="s">
        <v>1840</v>
      </c>
      <c r="G2421" s="218" t="s">
        <v>1841</v>
      </c>
    </row>
    <row r="2422" spans="1:7" x14ac:dyDescent="0.15">
      <c r="A2422" s="218" t="s">
        <v>11156</v>
      </c>
      <c r="B2422" s="218" t="s">
        <v>11157</v>
      </c>
      <c r="C2422" s="218" t="s">
        <v>3534</v>
      </c>
      <c r="D2422" s="218" t="s">
        <v>11158</v>
      </c>
      <c r="E2422" s="218" t="s">
        <v>1935</v>
      </c>
      <c r="F2422" s="218" t="s">
        <v>1840</v>
      </c>
      <c r="G2422" s="218" t="s">
        <v>1841</v>
      </c>
    </row>
    <row r="2423" spans="1:7" x14ac:dyDescent="0.15">
      <c r="A2423" s="218" t="s">
        <v>6205</v>
      </c>
      <c r="B2423" s="218" t="s">
        <v>6206</v>
      </c>
      <c r="C2423" s="218" t="s">
        <v>3534</v>
      </c>
      <c r="D2423" s="218" t="s">
        <v>6207</v>
      </c>
      <c r="E2423" s="218" t="s">
        <v>1839</v>
      </c>
      <c r="F2423" s="218" t="s">
        <v>1840</v>
      </c>
      <c r="G2423" s="218" t="s">
        <v>1841</v>
      </c>
    </row>
    <row r="2424" spans="1:7" x14ac:dyDescent="0.15">
      <c r="A2424" s="218" t="s">
        <v>11159</v>
      </c>
      <c r="B2424" s="218" t="s">
        <v>11160</v>
      </c>
      <c r="C2424" s="218" t="s">
        <v>3534</v>
      </c>
      <c r="D2424" s="218" t="s">
        <v>11161</v>
      </c>
      <c r="E2424" s="218" t="s">
        <v>1839</v>
      </c>
      <c r="F2424" s="218" t="s">
        <v>1840</v>
      </c>
      <c r="G2424" s="218" t="s">
        <v>1841</v>
      </c>
    </row>
    <row r="2425" spans="1:7" x14ac:dyDescent="0.15">
      <c r="A2425" s="218" t="s">
        <v>6208</v>
      </c>
      <c r="B2425" s="218" t="s">
        <v>6209</v>
      </c>
      <c r="C2425" s="218" t="s">
        <v>3534</v>
      </c>
      <c r="D2425" s="218" t="s">
        <v>6210</v>
      </c>
      <c r="E2425" s="218" t="s">
        <v>1839</v>
      </c>
      <c r="F2425" s="218" t="s">
        <v>1840</v>
      </c>
      <c r="G2425" s="218" t="s">
        <v>1841</v>
      </c>
    </row>
    <row r="2426" spans="1:7" x14ac:dyDescent="0.15">
      <c r="A2426" s="218" t="s">
        <v>6211</v>
      </c>
      <c r="B2426" s="218" t="s">
        <v>6212</v>
      </c>
      <c r="C2426" s="218" t="s">
        <v>3534</v>
      </c>
      <c r="D2426" s="218" t="s">
        <v>6213</v>
      </c>
      <c r="E2426" s="218" t="s">
        <v>1839</v>
      </c>
      <c r="F2426" s="218" t="s">
        <v>1840</v>
      </c>
      <c r="G2426" s="218" t="s">
        <v>1841</v>
      </c>
    </row>
    <row r="2427" spans="1:7" x14ac:dyDescent="0.15">
      <c r="A2427" s="218" t="s">
        <v>11162</v>
      </c>
      <c r="B2427" s="218" t="s">
        <v>11163</v>
      </c>
      <c r="C2427" s="218" t="s">
        <v>3534</v>
      </c>
      <c r="D2427" s="218" t="s">
        <v>1329</v>
      </c>
      <c r="E2427" s="218" t="s">
        <v>1839</v>
      </c>
      <c r="F2427" s="218" t="s">
        <v>1840</v>
      </c>
      <c r="G2427" s="218" t="s">
        <v>1841</v>
      </c>
    </row>
    <row r="2428" spans="1:7" x14ac:dyDescent="0.15">
      <c r="A2428" s="218" t="s">
        <v>6214</v>
      </c>
      <c r="B2428" s="218" t="s">
        <v>6215</v>
      </c>
      <c r="C2428" s="218" t="s">
        <v>3534</v>
      </c>
      <c r="D2428" s="218" t="s">
        <v>6216</v>
      </c>
      <c r="E2428" s="218" t="s">
        <v>1839</v>
      </c>
      <c r="F2428" s="218" t="s">
        <v>1840</v>
      </c>
      <c r="G2428" s="218" t="s">
        <v>1841</v>
      </c>
    </row>
    <row r="2429" spans="1:7" x14ac:dyDescent="0.15">
      <c r="A2429" s="218" t="s">
        <v>6217</v>
      </c>
      <c r="B2429" s="218" t="s">
        <v>6218</v>
      </c>
      <c r="C2429" s="218" t="s">
        <v>3534</v>
      </c>
      <c r="D2429" s="218" t="s">
        <v>6219</v>
      </c>
      <c r="E2429" s="218" t="s">
        <v>1839</v>
      </c>
      <c r="F2429" s="218" t="s">
        <v>1840</v>
      </c>
      <c r="G2429" s="218" t="s">
        <v>1841</v>
      </c>
    </row>
    <row r="2430" spans="1:7" x14ac:dyDescent="0.15">
      <c r="A2430" s="218" t="s">
        <v>11164</v>
      </c>
      <c r="B2430" s="218" t="s">
        <v>1406</v>
      </c>
      <c r="C2430" s="218" t="s">
        <v>3534</v>
      </c>
      <c r="D2430" s="218" t="s">
        <v>1407</v>
      </c>
      <c r="E2430" s="218" t="s">
        <v>1839</v>
      </c>
      <c r="F2430" s="218" t="s">
        <v>1840</v>
      </c>
      <c r="G2430" s="218" t="s">
        <v>1841</v>
      </c>
    </row>
    <row r="2431" spans="1:7" x14ac:dyDescent="0.15">
      <c r="A2431" s="218" t="s">
        <v>6220</v>
      </c>
      <c r="B2431" s="218" t="s">
        <v>6221</v>
      </c>
      <c r="C2431" s="218" t="s">
        <v>3534</v>
      </c>
      <c r="D2431" s="218" t="s">
        <v>6222</v>
      </c>
      <c r="E2431" s="218" t="s">
        <v>1839</v>
      </c>
      <c r="F2431" s="218" t="s">
        <v>1840</v>
      </c>
      <c r="G2431" s="218" t="s">
        <v>1841</v>
      </c>
    </row>
    <row r="2432" spans="1:7" x14ac:dyDescent="0.15">
      <c r="A2432" s="218" t="s">
        <v>11165</v>
      </c>
      <c r="B2432" s="218" t="s">
        <v>1754</v>
      </c>
      <c r="C2432" s="218" t="s">
        <v>3534</v>
      </c>
      <c r="D2432" s="218" t="s">
        <v>1755</v>
      </c>
      <c r="E2432" s="218" t="s">
        <v>1839</v>
      </c>
      <c r="F2432" s="218" t="s">
        <v>1840</v>
      </c>
      <c r="G2432" s="218" t="s">
        <v>1841</v>
      </c>
    </row>
    <row r="2433" spans="1:7" x14ac:dyDescent="0.15">
      <c r="A2433" s="218" t="s">
        <v>11166</v>
      </c>
      <c r="B2433" s="218" t="s">
        <v>1478</v>
      </c>
      <c r="C2433" s="218" t="s">
        <v>3534</v>
      </c>
      <c r="D2433" s="218" t="s">
        <v>1479</v>
      </c>
      <c r="E2433" s="218" t="s">
        <v>1839</v>
      </c>
      <c r="F2433" s="218" t="s">
        <v>1840</v>
      </c>
      <c r="G2433" s="218" t="s">
        <v>1841</v>
      </c>
    </row>
    <row r="2434" spans="1:7" x14ac:dyDescent="0.15">
      <c r="A2434" s="218" t="s">
        <v>6223</v>
      </c>
      <c r="B2434" s="218" t="s">
        <v>6224</v>
      </c>
      <c r="C2434" s="218" t="s">
        <v>3534</v>
      </c>
      <c r="D2434" s="218" t="s">
        <v>6225</v>
      </c>
      <c r="E2434" s="218" t="s">
        <v>1839</v>
      </c>
      <c r="F2434" s="218" t="s">
        <v>1840</v>
      </c>
      <c r="G2434" s="218" t="s">
        <v>1841</v>
      </c>
    </row>
    <row r="2435" spans="1:7" x14ac:dyDescent="0.15">
      <c r="A2435" s="218" t="s">
        <v>11167</v>
      </c>
      <c r="B2435" s="218" t="s">
        <v>652</v>
      </c>
      <c r="C2435" s="218" t="s">
        <v>3534</v>
      </c>
      <c r="D2435" s="218" t="s">
        <v>653</v>
      </c>
      <c r="E2435" s="218" t="s">
        <v>1839</v>
      </c>
      <c r="F2435" s="218" t="s">
        <v>1840</v>
      </c>
      <c r="G2435" s="218" t="s">
        <v>1841</v>
      </c>
    </row>
    <row r="2436" spans="1:7" x14ac:dyDescent="0.15">
      <c r="A2436" s="218" t="s">
        <v>6226</v>
      </c>
      <c r="B2436" s="218" t="s">
        <v>6227</v>
      </c>
      <c r="C2436" s="218" t="s">
        <v>3534</v>
      </c>
      <c r="D2436" s="218" t="s">
        <v>6228</v>
      </c>
      <c r="E2436" s="218" t="s">
        <v>1839</v>
      </c>
      <c r="F2436" s="218" t="s">
        <v>1840</v>
      </c>
      <c r="G2436" s="218" t="s">
        <v>1841</v>
      </c>
    </row>
    <row r="2437" spans="1:7" x14ac:dyDescent="0.15">
      <c r="A2437" s="218" t="s">
        <v>6229</v>
      </c>
      <c r="B2437" s="218" t="s">
        <v>6230</v>
      </c>
      <c r="C2437" s="218" t="s">
        <v>3534</v>
      </c>
      <c r="D2437" s="218" t="s">
        <v>6231</v>
      </c>
      <c r="E2437" s="218" t="s">
        <v>1839</v>
      </c>
      <c r="F2437" s="218" t="s">
        <v>1840</v>
      </c>
      <c r="G2437" s="218" t="s">
        <v>1841</v>
      </c>
    </row>
    <row r="2438" spans="1:7" x14ac:dyDescent="0.15">
      <c r="A2438" s="218" t="s">
        <v>11168</v>
      </c>
      <c r="B2438" s="218" t="s">
        <v>686</v>
      </c>
      <c r="C2438" s="218" t="s">
        <v>3534</v>
      </c>
      <c r="D2438" s="218" t="s">
        <v>687</v>
      </c>
      <c r="E2438" s="218" t="s">
        <v>1839</v>
      </c>
      <c r="F2438" s="218" t="s">
        <v>1840</v>
      </c>
      <c r="G2438" s="218" t="s">
        <v>1841</v>
      </c>
    </row>
    <row r="2439" spans="1:7" x14ac:dyDescent="0.15">
      <c r="A2439" s="218" t="s">
        <v>6232</v>
      </c>
      <c r="B2439" s="218" t="s">
        <v>6233</v>
      </c>
      <c r="C2439" s="218" t="s">
        <v>3534</v>
      </c>
      <c r="D2439" s="218" t="s">
        <v>6234</v>
      </c>
      <c r="E2439" s="218" t="s">
        <v>1839</v>
      </c>
      <c r="F2439" s="218" t="s">
        <v>1840</v>
      </c>
      <c r="G2439" s="218" t="s">
        <v>1841</v>
      </c>
    </row>
    <row r="2440" spans="1:7" x14ac:dyDescent="0.15">
      <c r="A2440" s="218" t="s">
        <v>11169</v>
      </c>
      <c r="B2440" s="218" t="s">
        <v>654</v>
      </c>
      <c r="C2440" s="218" t="s">
        <v>3534</v>
      </c>
      <c r="D2440" s="218" t="s">
        <v>655</v>
      </c>
      <c r="E2440" s="218" t="s">
        <v>1839</v>
      </c>
      <c r="F2440" s="218" t="s">
        <v>1840</v>
      </c>
      <c r="G2440" s="218" t="s">
        <v>1841</v>
      </c>
    </row>
    <row r="2441" spans="1:7" x14ac:dyDescent="0.15">
      <c r="A2441" s="218" t="s">
        <v>11170</v>
      </c>
      <c r="B2441" s="218" t="s">
        <v>11171</v>
      </c>
      <c r="C2441" s="218" t="s">
        <v>3534</v>
      </c>
      <c r="D2441" s="218" t="s">
        <v>11172</v>
      </c>
      <c r="E2441" s="218" t="s">
        <v>1839</v>
      </c>
      <c r="F2441" s="218" t="s">
        <v>1840</v>
      </c>
      <c r="G2441" s="218" t="s">
        <v>1841</v>
      </c>
    </row>
    <row r="2442" spans="1:7" x14ac:dyDescent="0.15">
      <c r="A2442" s="218" t="s">
        <v>11173</v>
      </c>
      <c r="B2442" s="218" t="s">
        <v>11174</v>
      </c>
      <c r="C2442" s="218" t="s">
        <v>3534</v>
      </c>
      <c r="D2442" s="218" t="s">
        <v>11175</v>
      </c>
      <c r="E2442" s="218" t="s">
        <v>1839</v>
      </c>
      <c r="F2442" s="218" t="s">
        <v>1840</v>
      </c>
      <c r="G2442" s="218" t="s">
        <v>1841</v>
      </c>
    </row>
    <row r="2443" spans="1:7" x14ac:dyDescent="0.15">
      <c r="A2443" s="218" t="s">
        <v>11176</v>
      </c>
      <c r="B2443" s="218" t="s">
        <v>1624</v>
      </c>
      <c r="C2443" s="218" t="s">
        <v>3534</v>
      </c>
      <c r="D2443" s="218" t="s">
        <v>1625</v>
      </c>
      <c r="E2443" s="218" t="s">
        <v>1839</v>
      </c>
      <c r="F2443" s="218" t="s">
        <v>1840</v>
      </c>
      <c r="G2443" s="218" t="s">
        <v>1841</v>
      </c>
    </row>
    <row r="2444" spans="1:7" x14ac:dyDescent="0.15">
      <c r="A2444" s="218" t="s">
        <v>6235</v>
      </c>
      <c r="B2444" s="218" t="s">
        <v>6236</v>
      </c>
      <c r="C2444" s="218" t="s">
        <v>3534</v>
      </c>
      <c r="D2444" s="218" t="s">
        <v>6237</v>
      </c>
      <c r="E2444" s="218" t="s">
        <v>1839</v>
      </c>
      <c r="F2444" s="218" t="s">
        <v>1840</v>
      </c>
      <c r="G2444" s="218" t="s">
        <v>1841</v>
      </c>
    </row>
    <row r="2445" spans="1:7" x14ac:dyDescent="0.15">
      <c r="A2445" s="218" t="s">
        <v>6238</v>
      </c>
      <c r="B2445" s="218" t="s">
        <v>6239</v>
      </c>
      <c r="C2445" s="218" t="s">
        <v>3534</v>
      </c>
      <c r="D2445" s="218" t="s">
        <v>6240</v>
      </c>
      <c r="E2445" s="218" t="s">
        <v>1839</v>
      </c>
      <c r="F2445" s="218" t="s">
        <v>1840</v>
      </c>
      <c r="G2445" s="218" t="s">
        <v>1841</v>
      </c>
    </row>
    <row r="2446" spans="1:7" x14ac:dyDescent="0.15">
      <c r="A2446" s="218" t="s">
        <v>11177</v>
      </c>
      <c r="B2446" s="218" t="s">
        <v>926</v>
      </c>
      <c r="C2446" s="218" t="s">
        <v>3534</v>
      </c>
      <c r="D2446" s="218" t="s">
        <v>927</v>
      </c>
      <c r="E2446" s="218" t="s">
        <v>1839</v>
      </c>
      <c r="F2446" s="218" t="s">
        <v>1840</v>
      </c>
      <c r="G2446" s="218" t="s">
        <v>1841</v>
      </c>
    </row>
    <row r="2447" spans="1:7" x14ac:dyDescent="0.15">
      <c r="A2447" s="218" t="s">
        <v>11178</v>
      </c>
      <c r="B2447" s="218" t="s">
        <v>11179</v>
      </c>
      <c r="C2447" s="218" t="s">
        <v>3534</v>
      </c>
      <c r="D2447" s="218" t="s">
        <v>11180</v>
      </c>
      <c r="E2447" s="218" t="s">
        <v>1839</v>
      </c>
      <c r="F2447" s="218" t="s">
        <v>1840</v>
      </c>
      <c r="G2447" s="218" t="s">
        <v>1841</v>
      </c>
    </row>
    <row r="2448" spans="1:7" x14ac:dyDescent="0.15">
      <c r="A2448" s="218" t="s">
        <v>6241</v>
      </c>
      <c r="B2448" s="218" t="s">
        <v>6242</v>
      </c>
      <c r="C2448" s="218" t="s">
        <v>3534</v>
      </c>
      <c r="D2448" s="218" t="s">
        <v>6243</v>
      </c>
      <c r="E2448" s="218" t="s">
        <v>1839</v>
      </c>
      <c r="F2448" s="218" t="s">
        <v>1840</v>
      </c>
      <c r="G2448" s="218" t="s">
        <v>1841</v>
      </c>
    </row>
    <row r="2449" spans="1:7" x14ac:dyDescent="0.15">
      <c r="A2449" s="218" t="s">
        <v>6244</v>
      </c>
      <c r="B2449" s="218" t="s">
        <v>6245</v>
      </c>
      <c r="C2449" s="218" t="s">
        <v>3534</v>
      </c>
      <c r="D2449" s="218" t="s">
        <v>6246</v>
      </c>
      <c r="E2449" s="218" t="s">
        <v>1839</v>
      </c>
      <c r="F2449" s="218" t="s">
        <v>1840</v>
      </c>
      <c r="G2449" s="218" t="s">
        <v>1841</v>
      </c>
    </row>
    <row r="2450" spans="1:7" x14ac:dyDescent="0.15">
      <c r="A2450" s="218" t="s">
        <v>11184</v>
      </c>
      <c r="B2450" s="218" t="s">
        <v>11185</v>
      </c>
      <c r="C2450" s="218" t="s">
        <v>3534</v>
      </c>
      <c r="D2450" s="218" t="s">
        <v>11186</v>
      </c>
      <c r="E2450" s="218" t="s">
        <v>1839</v>
      </c>
      <c r="F2450" s="218" t="s">
        <v>1840</v>
      </c>
      <c r="G2450" s="218" t="s">
        <v>1841</v>
      </c>
    </row>
    <row r="2451" spans="1:7" x14ac:dyDescent="0.15">
      <c r="A2451" s="218" t="s">
        <v>6247</v>
      </c>
      <c r="B2451" s="218" t="s">
        <v>6248</v>
      </c>
      <c r="C2451" s="218" t="s">
        <v>3534</v>
      </c>
      <c r="D2451" s="218" t="s">
        <v>6249</v>
      </c>
      <c r="E2451" s="218" t="s">
        <v>1839</v>
      </c>
      <c r="F2451" s="218" t="s">
        <v>1840</v>
      </c>
      <c r="G2451" s="218" t="s">
        <v>1841</v>
      </c>
    </row>
    <row r="2452" spans="1:7" x14ac:dyDescent="0.15">
      <c r="A2452" s="218" t="s">
        <v>11788</v>
      </c>
      <c r="B2452" s="218" t="s">
        <v>11789</v>
      </c>
      <c r="C2452" s="218" t="s">
        <v>3534</v>
      </c>
      <c r="D2452" s="218" t="s">
        <v>11790</v>
      </c>
      <c r="E2452" s="218" t="s">
        <v>1839</v>
      </c>
      <c r="F2452" s="218" t="s">
        <v>1840</v>
      </c>
      <c r="G2452" s="218" t="s">
        <v>1841</v>
      </c>
    </row>
    <row r="2453" spans="1:7" x14ac:dyDescent="0.15">
      <c r="A2453" s="218" t="s">
        <v>11187</v>
      </c>
      <c r="B2453" s="218" t="s">
        <v>1476</v>
      </c>
      <c r="C2453" s="218" t="s">
        <v>3534</v>
      </c>
      <c r="D2453" s="218" t="s">
        <v>1477</v>
      </c>
      <c r="E2453" s="218" t="s">
        <v>1839</v>
      </c>
      <c r="F2453" s="218" t="s">
        <v>1840</v>
      </c>
      <c r="G2453" s="218" t="s">
        <v>1841</v>
      </c>
    </row>
    <row r="2454" spans="1:7" x14ac:dyDescent="0.15">
      <c r="A2454" s="218" t="s">
        <v>6253</v>
      </c>
      <c r="B2454" s="218" t="s">
        <v>6254</v>
      </c>
      <c r="C2454" s="218" t="s">
        <v>3534</v>
      </c>
      <c r="D2454" s="218" t="s">
        <v>6255</v>
      </c>
      <c r="E2454" s="218" t="s">
        <v>1839</v>
      </c>
      <c r="F2454" s="218" t="s">
        <v>1840</v>
      </c>
      <c r="G2454" s="218" t="s">
        <v>1841</v>
      </c>
    </row>
    <row r="2455" spans="1:7" x14ac:dyDescent="0.15">
      <c r="A2455" s="218" t="s">
        <v>11188</v>
      </c>
      <c r="B2455" s="218" t="s">
        <v>11189</v>
      </c>
      <c r="C2455" s="218" t="s">
        <v>3534</v>
      </c>
      <c r="D2455" s="218" t="s">
        <v>11190</v>
      </c>
      <c r="E2455" s="218" t="s">
        <v>1839</v>
      </c>
      <c r="F2455" s="218" t="s">
        <v>1840</v>
      </c>
      <c r="G2455" s="218" t="s">
        <v>1841</v>
      </c>
    </row>
    <row r="2456" spans="1:7" x14ac:dyDescent="0.15">
      <c r="A2456" s="218" t="s">
        <v>6256</v>
      </c>
      <c r="B2456" s="218" t="s">
        <v>6257</v>
      </c>
      <c r="C2456" s="218" t="s">
        <v>3534</v>
      </c>
      <c r="D2456" s="218" t="s">
        <v>6258</v>
      </c>
      <c r="E2456" s="218" t="s">
        <v>1839</v>
      </c>
      <c r="F2456" s="218" t="s">
        <v>1840</v>
      </c>
      <c r="G2456" s="218" t="s">
        <v>1841</v>
      </c>
    </row>
    <row r="2457" spans="1:7" x14ac:dyDescent="0.15">
      <c r="A2457" s="218" t="s">
        <v>6262</v>
      </c>
      <c r="B2457" s="218" t="s">
        <v>6263</v>
      </c>
      <c r="C2457" s="218" t="s">
        <v>3534</v>
      </c>
      <c r="D2457" s="218" t="s">
        <v>6264</v>
      </c>
      <c r="E2457" s="218" t="s">
        <v>1839</v>
      </c>
      <c r="F2457" s="218" t="s">
        <v>1840</v>
      </c>
      <c r="G2457" s="218" t="s">
        <v>1841</v>
      </c>
    </row>
    <row r="2458" spans="1:7" x14ac:dyDescent="0.15">
      <c r="A2458" s="218" t="s">
        <v>6265</v>
      </c>
      <c r="B2458" s="218" t="s">
        <v>6266</v>
      </c>
      <c r="C2458" s="218" t="s">
        <v>3534</v>
      </c>
      <c r="D2458" s="218" t="s">
        <v>6267</v>
      </c>
      <c r="E2458" s="218" t="s">
        <v>1839</v>
      </c>
      <c r="F2458" s="218" t="s">
        <v>1840</v>
      </c>
      <c r="G2458" s="218" t="s">
        <v>1841</v>
      </c>
    </row>
    <row r="2459" spans="1:7" x14ac:dyDescent="0.15">
      <c r="A2459" s="218" t="s">
        <v>6268</v>
      </c>
      <c r="B2459" s="218" t="s">
        <v>6269</v>
      </c>
      <c r="C2459" s="218" t="s">
        <v>3534</v>
      </c>
      <c r="D2459" s="218" t="s">
        <v>6270</v>
      </c>
      <c r="E2459" s="218" t="s">
        <v>1839</v>
      </c>
      <c r="F2459" s="218" t="s">
        <v>1840</v>
      </c>
      <c r="G2459" s="218" t="s">
        <v>1841</v>
      </c>
    </row>
    <row r="2460" spans="1:7" x14ac:dyDescent="0.15">
      <c r="A2460" s="218" t="s">
        <v>11191</v>
      </c>
      <c r="B2460" s="218" t="s">
        <v>1745</v>
      </c>
      <c r="C2460" s="218" t="s">
        <v>3534</v>
      </c>
      <c r="D2460" s="218" t="s">
        <v>1746</v>
      </c>
      <c r="E2460" s="218" t="s">
        <v>1839</v>
      </c>
      <c r="F2460" s="218" t="s">
        <v>1840</v>
      </c>
      <c r="G2460" s="218" t="s">
        <v>1841</v>
      </c>
    </row>
    <row r="2461" spans="1:7" x14ac:dyDescent="0.15">
      <c r="A2461" s="218" t="s">
        <v>11192</v>
      </c>
      <c r="B2461" s="218" t="s">
        <v>1459</v>
      </c>
      <c r="C2461" s="218" t="s">
        <v>3534</v>
      </c>
      <c r="D2461" s="218" t="s">
        <v>1460</v>
      </c>
      <c r="E2461" s="218" t="s">
        <v>1839</v>
      </c>
      <c r="F2461" s="218" t="s">
        <v>1840</v>
      </c>
      <c r="G2461" s="218" t="s">
        <v>1841</v>
      </c>
    </row>
    <row r="2462" spans="1:7" x14ac:dyDescent="0.15">
      <c r="A2462" s="218" t="s">
        <v>6274</v>
      </c>
      <c r="B2462" s="218" t="s">
        <v>6275</v>
      </c>
      <c r="C2462" s="218" t="s">
        <v>3534</v>
      </c>
      <c r="D2462" s="218" t="s">
        <v>6276</v>
      </c>
      <c r="E2462" s="218" t="s">
        <v>1935</v>
      </c>
      <c r="F2462" s="218" t="s">
        <v>1840</v>
      </c>
      <c r="G2462" s="218" t="s">
        <v>1841</v>
      </c>
    </row>
    <row r="2463" spans="1:7" x14ac:dyDescent="0.15">
      <c r="A2463" s="218" t="s">
        <v>6277</v>
      </c>
      <c r="B2463" s="218" t="s">
        <v>6278</v>
      </c>
      <c r="C2463" s="218" t="s">
        <v>3534</v>
      </c>
      <c r="D2463" s="218" t="s">
        <v>6279</v>
      </c>
      <c r="E2463" s="218" t="s">
        <v>1935</v>
      </c>
      <c r="F2463" s="218" t="s">
        <v>1840</v>
      </c>
      <c r="G2463" s="218" t="s">
        <v>1841</v>
      </c>
    </row>
    <row r="2464" spans="1:7" x14ac:dyDescent="0.15">
      <c r="A2464" s="218" t="s">
        <v>11193</v>
      </c>
      <c r="B2464" s="218" t="s">
        <v>777</v>
      </c>
      <c r="C2464" s="218" t="s">
        <v>3534</v>
      </c>
      <c r="D2464" s="218" t="s">
        <v>778</v>
      </c>
      <c r="E2464" s="218" t="s">
        <v>1839</v>
      </c>
      <c r="F2464" s="218" t="s">
        <v>1840</v>
      </c>
      <c r="G2464" s="218" t="s">
        <v>1841</v>
      </c>
    </row>
    <row r="2465" spans="1:7" x14ac:dyDescent="0.15">
      <c r="A2465" s="218" t="s">
        <v>11194</v>
      </c>
      <c r="B2465" s="218" t="s">
        <v>11195</v>
      </c>
      <c r="C2465" s="218" t="s">
        <v>3534</v>
      </c>
      <c r="D2465" s="218" t="s">
        <v>11196</v>
      </c>
      <c r="E2465" s="218" t="s">
        <v>1839</v>
      </c>
      <c r="F2465" s="218" t="s">
        <v>1840</v>
      </c>
      <c r="G2465" s="218" t="s">
        <v>1841</v>
      </c>
    </row>
    <row r="2466" spans="1:7" x14ac:dyDescent="0.15">
      <c r="A2466" s="218" t="s">
        <v>11197</v>
      </c>
      <c r="B2466" s="218" t="s">
        <v>11198</v>
      </c>
      <c r="C2466" s="218" t="s">
        <v>3534</v>
      </c>
      <c r="D2466" s="218" t="s">
        <v>11199</v>
      </c>
      <c r="E2466" s="218" t="s">
        <v>1839</v>
      </c>
      <c r="F2466" s="218" t="s">
        <v>1840</v>
      </c>
      <c r="G2466" s="218" t="s">
        <v>1841</v>
      </c>
    </row>
    <row r="2467" spans="1:7" x14ac:dyDescent="0.15">
      <c r="A2467" s="218" t="s">
        <v>6280</v>
      </c>
      <c r="B2467" s="218" t="s">
        <v>6281</v>
      </c>
      <c r="C2467" s="218" t="s">
        <v>3534</v>
      </c>
      <c r="D2467" s="218" t="s">
        <v>6282</v>
      </c>
      <c r="E2467" s="218" t="s">
        <v>1839</v>
      </c>
      <c r="F2467" s="218" t="s">
        <v>1840</v>
      </c>
      <c r="G2467" s="218" t="s">
        <v>1841</v>
      </c>
    </row>
    <row r="2468" spans="1:7" x14ac:dyDescent="0.15">
      <c r="A2468" s="218" t="s">
        <v>6283</v>
      </c>
      <c r="B2468" s="218" t="s">
        <v>6284</v>
      </c>
      <c r="C2468" s="218" t="s">
        <v>3534</v>
      </c>
      <c r="D2468" s="218" t="s">
        <v>6285</v>
      </c>
      <c r="E2468" s="218" t="s">
        <v>1839</v>
      </c>
      <c r="F2468" s="218" t="s">
        <v>1840</v>
      </c>
      <c r="G2468" s="218" t="s">
        <v>1841</v>
      </c>
    </row>
    <row r="2469" spans="1:7" x14ac:dyDescent="0.15">
      <c r="A2469" s="218" t="s">
        <v>6286</v>
      </c>
      <c r="B2469" s="218" t="s">
        <v>6287</v>
      </c>
      <c r="C2469" s="218" t="s">
        <v>3534</v>
      </c>
      <c r="D2469" s="218" t="s">
        <v>6288</v>
      </c>
      <c r="E2469" s="218" t="s">
        <v>1839</v>
      </c>
      <c r="F2469" s="218" t="s">
        <v>1840</v>
      </c>
      <c r="G2469" s="218" t="s">
        <v>1841</v>
      </c>
    </row>
    <row r="2470" spans="1:7" x14ac:dyDescent="0.15">
      <c r="A2470" s="218" t="s">
        <v>6289</v>
      </c>
      <c r="B2470" s="218" t="s">
        <v>6290</v>
      </c>
      <c r="C2470" s="218" t="s">
        <v>3534</v>
      </c>
      <c r="D2470" s="218" t="s">
        <v>6291</v>
      </c>
      <c r="E2470" s="218" t="s">
        <v>1839</v>
      </c>
      <c r="F2470" s="218" t="s">
        <v>1840</v>
      </c>
      <c r="G2470" s="218" t="s">
        <v>1841</v>
      </c>
    </row>
    <row r="2471" spans="1:7" x14ac:dyDescent="0.15">
      <c r="A2471" s="218" t="s">
        <v>6292</v>
      </c>
      <c r="B2471" s="218" t="s">
        <v>6293</v>
      </c>
      <c r="C2471" s="218" t="s">
        <v>3534</v>
      </c>
      <c r="D2471" s="218" t="s">
        <v>6294</v>
      </c>
      <c r="E2471" s="218" t="s">
        <v>1839</v>
      </c>
      <c r="F2471" s="218" t="s">
        <v>1840</v>
      </c>
      <c r="G2471" s="218" t="s">
        <v>1841</v>
      </c>
    </row>
    <row r="2472" spans="1:7" x14ac:dyDescent="0.15">
      <c r="A2472" s="218" t="s">
        <v>6295</v>
      </c>
      <c r="B2472" s="218" t="s">
        <v>6296</v>
      </c>
      <c r="C2472" s="218" t="s">
        <v>3534</v>
      </c>
      <c r="D2472" s="218" t="s">
        <v>6297</v>
      </c>
      <c r="E2472" s="218" t="s">
        <v>1839</v>
      </c>
      <c r="F2472" s="218" t="s">
        <v>1840</v>
      </c>
      <c r="G2472" s="218" t="s">
        <v>1841</v>
      </c>
    </row>
    <row r="2473" spans="1:7" x14ac:dyDescent="0.15">
      <c r="A2473" s="218" t="s">
        <v>11200</v>
      </c>
      <c r="B2473" s="218" t="s">
        <v>1425</v>
      </c>
      <c r="C2473" s="218" t="s">
        <v>3534</v>
      </c>
      <c r="D2473" s="218" t="s">
        <v>1426</v>
      </c>
      <c r="E2473" s="218" t="s">
        <v>1839</v>
      </c>
      <c r="F2473" s="218" t="s">
        <v>1840</v>
      </c>
      <c r="G2473" s="218" t="s">
        <v>1841</v>
      </c>
    </row>
    <row r="2474" spans="1:7" x14ac:dyDescent="0.15">
      <c r="A2474" s="218" t="s">
        <v>11201</v>
      </c>
      <c r="B2474" s="218" t="s">
        <v>11202</v>
      </c>
      <c r="C2474" s="218" t="s">
        <v>3534</v>
      </c>
      <c r="D2474" s="218" t="s">
        <v>11203</v>
      </c>
      <c r="E2474" s="218" t="s">
        <v>1839</v>
      </c>
      <c r="F2474" s="218" t="s">
        <v>1840</v>
      </c>
      <c r="G2474" s="218" t="s">
        <v>1841</v>
      </c>
    </row>
    <row r="2475" spans="1:7" x14ac:dyDescent="0.15">
      <c r="A2475" s="218" t="s">
        <v>11204</v>
      </c>
      <c r="B2475" s="218" t="s">
        <v>11205</v>
      </c>
      <c r="C2475" s="218" t="s">
        <v>3534</v>
      </c>
      <c r="D2475" s="218" t="s">
        <v>11206</v>
      </c>
      <c r="E2475" s="218" t="s">
        <v>1839</v>
      </c>
      <c r="F2475" s="218" t="s">
        <v>1840</v>
      </c>
      <c r="G2475" s="218" t="s">
        <v>1841</v>
      </c>
    </row>
    <row r="2476" spans="1:7" x14ac:dyDescent="0.15">
      <c r="A2476" s="218" t="s">
        <v>6298</v>
      </c>
      <c r="B2476" s="218" t="s">
        <v>6299</v>
      </c>
      <c r="C2476" s="218" t="s">
        <v>3534</v>
      </c>
      <c r="D2476" s="218" t="s">
        <v>6300</v>
      </c>
      <c r="E2476" s="218" t="s">
        <v>1839</v>
      </c>
      <c r="F2476" s="218" t="s">
        <v>1840</v>
      </c>
      <c r="G2476" s="218" t="s">
        <v>1841</v>
      </c>
    </row>
    <row r="2477" spans="1:7" x14ac:dyDescent="0.15">
      <c r="A2477" s="218" t="s">
        <v>11207</v>
      </c>
      <c r="B2477" s="218" t="s">
        <v>11208</v>
      </c>
      <c r="C2477" s="218" t="s">
        <v>3534</v>
      </c>
      <c r="D2477" s="218" t="s">
        <v>11209</v>
      </c>
      <c r="E2477" s="218" t="s">
        <v>1839</v>
      </c>
      <c r="F2477" s="218" t="s">
        <v>1840</v>
      </c>
      <c r="G2477" s="218" t="s">
        <v>1841</v>
      </c>
    </row>
    <row r="2478" spans="1:7" x14ac:dyDescent="0.15">
      <c r="A2478" s="218" t="s">
        <v>6301</v>
      </c>
      <c r="B2478" s="218" t="s">
        <v>6302</v>
      </c>
      <c r="C2478" s="218" t="s">
        <v>3534</v>
      </c>
      <c r="D2478" s="218" t="s">
        <v>6303</v>
      </c>
      <c r="E2478" s="218" t="s">
        <v>1839</v>
      </c>
      <c r="F2478" s="218" t="s">
        <v>1840</v>
      </c>
      <c r="G2478" s="218" t="s">
        <v>1841</v>
      </c>
    </row>
    <row r="2479" spans="1:7" x14ac:dyDescent="0.15">
      <c r="A2479" s="218" t="s">
        <v>11210</v>
      </c>
      <c r="B2479" s="218" t="s">
        <v>11211</v>
      </c>
      <c r="C2479" s="218" t="s">
        <v>3534</v>
      </c>
      <c r="D2479" s="218" t="s">
        <v>11212</v>
      </c>
      <c r="E2479" s="218" t="s">
        <v>1839</v>
      </c>
      <c r="F2479" s="218" t="s">
        <v>1840</v>
      </c>
      <c r="G2479" s="218" t="s">
        <v>1841</v>
      </c>
    </row>
    <row r="2480" spans="1:7" x14ac:dyDescent="0.15">
      <c r="A2480" s="218" t="s">
        <v>6304</v>
      </c>
      <c r="B2480" s="218" t="s">
        <v>6305</v>
      </c>
      <c r="C2480" s="218" t="s">
        <v>3534</v>
      </c>
      <c r="D2480" s="218" t="s">
        <v>940</v>
      </c>
      <c r="E2480" s="218" t="s">
        <v>1839</v>
      </c>
      <c r="F2480" s="218" t="s">
        <v>1840</v>
      </c>
      <c r="G2480" s="218" t="s">
        <v>1841</v>
      </c>
    </row>
    <row r="2481" spans="1:7" x14ac:dyDescent="0.15">
      <c r="A2481" s="218" t="s">
        <v>6306</v>
      </c>
      <c r="B2481" s="218" t="s">
        <v>6307</v>
      </c>
      <c r="C2481" s="218" t="s">
        <v>3534</v>
      </c>
      <c r="D2481" s="218" t="s">
        <v>6308</v>
      </c>
      <c r="E2481" s="218" t="s">
        <v>1839</v>
      </c>
      <c r="F2481" s="218" t="s">
        <v>1840</v>
      </c>
      <c r="G2481" s="218" t="s">
        <v>1841</v>
      </c>
    </row>
    <row r="2482" spans="1:7" x14ac:dyDescent="0.15">
      <c r="A2482" s="218" t="s">
        <v>6309</v>
      </c>
      <c r="B2482" s="218" t="s">
        <v>6310</v>
      </c>
      <c r="C2482" s="218" t="s">
        <v>3534</v>
      </c>
      <c r="D2482" s="218" t="s">
        <v>6311</v>
      </c>
      <c r="E2482" s="218" t="s">
        <v>1839</v>
      </c>
      <c r="F2482" s="218" t="s">
        <v>1840</v>
      </c>
      <c r="G2482" s="218" t="s">
        <v>1841</v>
      </c>
    </row>
    <row r="2483" spans="1:7" x14ac:dyDescent="0.15">
      <c r="A2483" s="218" t="s">
        <v>11213</v>
      </c>
      <c r="B2483" s="218" t="s">
        <v>1724</v>
      </c>
      <c r="C2483" s="218" t="s">
        <v>3534</v>
      </c>
      <c r="D2483" s="218" t="s">
        <v>1304</v>
      </c>
      <c r="E2483" s="218" t="s">
        <v>1839</v>
      </c>
      <c r="F2483" s="218" t="s">
        <v>1840</v>
      </c>
      <c r="G2483" s="218" t="s">
        <v>1841</v>
      </c>
    </row>
    <row r="2484" spans="1:7" x14ac:dyDescent="0.15">
      <c r="A2484" s="218" t="s">
        <v>11214</v>
      </c>
      <c r="B2484" s="218" t="s">
        <v>1288</v>
      </c>
      <c r="C2484" s="218" t="s">
        <v>3534</v>
      </c>
      <c r="D2484" s="218" t="s">
        <v>1289</v>
      </c>
      <c r="E2484" s="218" t="s">
        <v>1839</v>
      </c>
      <c r="F2484" s="218" t="s">
        <v>1840</v>
      </c>
      <c r="G2484" s="218" t="s">
        <v>1841</v>
      </c>
    </row>
    <row r="2485" spans="1:7" x14ac:dyDescent="0.15">
      <c r="A2485" s="218" t="s">
        <v>6315</v>
      </c>
      <c r="B2485" s="218" t="s">
        <v>6316</v>
      </c>
      <c r="C2485" s="218" t="s">
        <v>3534</v>
      </c>
      <c r="D2485" s="218" t="s">
        <v>6317</v>
      </c>
      <c r="E2485" s="218" t="s">
        <v>1839</v>
      </c>
      <c r="F2485" s="218" t="s">
        <v>1840</v>
      </c>
      <c r="G2485" s="218" t="s">
        <v>1841</v>
      </c>
    </row>
    <row r="2486" spans="1:7" x14ac:dyDescent="0.15">
      <c r="A2486" s="218" t="s">
        <v>6318</v>
      </c>
      <c r="B2486" s="218" t="s">
        <v>6319</v>
      </c>
      <c r="C2486" s="218" t="s">
        <v>3534</v>
      </c>
      <c r="D2486" s="218" t="s">
        <v>6320</v>
      </c>
      <c r="E2486" s="218" t="s">
        <v>1839</v>
      </c>
      <c r="F2486" s="218" t="s">
        <v>1840</v>
      </c>
      <c r="G2486" s="218" t="s">
        <v>1841</v>
      </c>
    </row>
    <row r="2487" spans="1:7" x14ac:dyDescent="0.15">
      <c r="A2487" s="218" t="s">
        <v>6321</v>
      </c>
      <c r="B2487" s="218" t="s">
        <v>6322</v>
      </c>
      <c r="C2487" s="218" t="s">
        <v>3534</v>
      </c>
      <c r="D2487" s="218" t="s">
        <v>6323</v>
      </c>
      <c r="E2487" s="218" t="s">
        <v>1839</v>
      </c>
      <c r="F2487" s="218" t="s">
        <v>1840</v>
      </c>
      <c r="G2487" s="218" t="s">
        <v>1841</v>
      </c>
    </row>
    <row r="2488" spans="1:7" x14ac:dyDescent="0.15">
      <c r="A2488" s="218" t="s">
        <v>11791</v>
      </c>
      <c r="B2488" s="218" t="s">
        <v>11792</v>
      </c>
      <c r="C2488" s="218" t="s">
        <v>3534</v>
      </c>
      <c r="D2488" s="218" t="s">
        <v>11793</v>
      </c>
      <c r="E2488" s="218" t="s">
        <v>1839</v>
      </c>
      <c r="F2488" s="218" t="s">
        <v>1840</v>
      </c>
      <c r="G2488" s="218" t="s">
        <v>1841</v>
      </c>
    </row>
    <row r="2489" spans="1:7" x14ac:dyDescent="0.15">
      <c r="A2489" s="218" t="s">
        <v>11215</v>
      </c>
      <c r="B2489" s="218" t="s">
        <v>11216</v>
      </c>
      <c r="C2489" s="218" t="s">
        <v>3534</v>
      </c>
      <c r="D2489" s="218" t="s">
        <v>11217</v>
      </c>
      <c r="E2489" s="218" t="s">
        <v>1839</v>
      </c>
      <c r="F2489" s="218" t="s">
        <v>1840</v>
      </c>
      <c r="G2489" s="218" t="s">
        <v>1841</v>
      </c>
    </row>
    <row r="2490" spans="1:7" x14ac:dyDescent="0.15">
      <c r="A2490" s="218" t="s">
        <v>6324</v>
      </c>
      <c r="B2490" s="218" t="s">
        <v>6325</v>
      </c>
      <c r="C2490" s="218" t="s">
        <v>3534</v>
      </c>
      <c r="D2490" s="218" t="s">
        <v>6326</v>
      </c>
      <c r="E2490" s="218" t="s">
        <v>1839</v>
      </c>
      <c r="F2490" s="218" t="s">
        <v>1840</v>
      </c>
      <c r="G2490" s="218" t="s">
        <v>1841</v>
      </c>
    </row>
    <row r="2491" spans="1:7" x14ac:dyDescent="0.15">
      <c r="A2491" s="218" t="s">
        <v>6327</v>
      </c>
      <c r="B2491" s="218" t="s">
        <v>6328</v>
      </c>
      <c r="C2491" s="218" t="s">
        <v>3534</v>
      </c>
      <c r="D2491" s="218" t="s">
        <v>6329</v>
      </c>
      <c r="E2491" s="218" t="s">
        <v>1839</v>
      </c>
      <c r="F2491" s="218" t="s">
        <v>1840</v>
      </c>
      <c r="G2491" s="218" t="s">
        <v>1841</v>
      </c>
    </row>
    <row r="2492" spans="1:7" x14ac:dyDescent="0.15">
      <c r="A2492" s="218" t="s">
        <v>6330</v>
      </c>
      <c r="B2492" s="218" t="s">
        <v>6331</v>
      </c>
      <c r="C2492" s="218" t="s">
        <v>3534</v>
      </c>
      <c r="D2492" s="218" t="s">
        <v>6332</v>
      </c>
      <c r="E2492" s="218" t="s">
        <v>1839</v>
      </c>
      <c r="F2492" s="218" t="s">
        <v>1840</v>
      </c>
      <c r="G2492" s="218" t="s">
        <v>1841</v>
      </c>
    </row>
    <row r="2493" spans="1:7" x14ac:dyDescent="0.15">
      <c r="A2493" s="218" t="s">
        <v>6333</v>
      </c>
      <c r="B2493" s="218" t="s">
        <v>6334</v>
      </c>
      <c r="C2493" s="218" t="s">
        <v>3534</v>
      </c>
      <c r="D2493" s="218" t="s">
        <v>6335</v>
      </c>
      <c r="E2493" s="218" t="s">
        <v>1839</v>
      </c>
      <c r="F2493" s="218" t="s">
        <v>1840</v>
      </c>
      <c r="G2493" s="218" t="s">
        <v>1841</v>
      </c>
    </row>
    <row r="2494" spans="1:7" x14ac:dyDescent="0.15">
      <c r="A2494" s="218" t="s">
        <v>11221</v>
      </c>
      <c r="B2494" s="218" t="s">
        <v>1484</v>
      </c>
      <c r="C2494" s="218" t="s">
        <v>3534</v>
      </c>
      <c r="D2494" s="218" t="s">
        <v>1485</v>
      </c>
      <c r="E2494" s="218" t="s">
        <v>1839</v>
      </c>
      <c r="F2494" s="218" t="s">
        <v>1840</v>
      </c>
      <c r="G2494" s="218" t="s">
        <v>1841</v>
      </c>
    </row>
    <row r="2495" spans="1:7" x14ac:dyDescent="0.15">
      <c r="A2495" s="218" t="s">
        <v>6336</v>
      </c>
      <c r="B2495" s="218" t="s">
        <v>6337</v>
      </c>
      <c r="C2495" s="218" t="s">
        <v>3534</v>
      </c>
      <c r="D2495" s="218" t="s">
        <v>6338</v>
      </c>
      <c r="E2495" s="218" t="s">
        <v>1839</v>
      </c>
      <c r="F2495" s="218" t="s">
        <v>1840</v>
      </c>
      <c r="G2495" s="218" t="s">
        <v>1841</v>
      </c>
    </row>
    <row r="2496" spans="1:7" x14ac:dyDescent="0.15">
      <c r="A2496" s="218" t="s">
        <v>6339</v>
      </c>
      <c r="B2496" s="218" t="s">
        <v>6340</v>
      </c>
      <c r="C2496" s="218" t="s">
        <v>3534</v>
      </c>
      <c r="D2496" s="218" t="s">
        <v>6341</v>
      </c>
      <c r="E2496" s="218" t="s">
        <v>1839</v>
      </c>
      <c r="F2496" s="218" t="s">
        <v>1840</v>
      </c>
      <c r="G2496" s="218" t="s">
        <v>1841</v>
      </c>
    </row>
    <row r="2497" spans="1:7" x14ac:dyDescent="0.15">
      <c r="A2497" s="218" t="s">
        <v>11222</v>
      </c>
      <c r="B2497" s="218" t="s">
        <v>11223</v>
      </c>
      <c r="C2497" s="218" t="s">
        <v>3534</v>
      </c>
      <c r="D2497" s="218" t="s">
        <v>11224</v>
      </c>
      <c r="E2497" s="218" t="s">
        <v>1839</v>
      </c>
      <c r="F2497" s="218" t="s">
        <v>1840</v>
      </c>
      <c r="G2497" s="218" t="s">
        <v>1841</v>
      </c>
    </row>
    <row r="2498" spans="1:7" x14ac:dyDescent="0.15">
      <c r="A2498" s="218" t="s">
        <v>11225</v>
      </c>
      <c r="B2498" s="218" t="s">
        <v>11226</v>
      </c>
      <c r="C2498" s="218" t="s">
        <v>3534</v>
      </c>
      <c r="D2498" s="218" t="s">
        <v>11227</v>
      </c>
      <c r="E2498" s="218" t="s">
        <v>1839</v>
      </c>
      <c r="F2498" s="218" t="s">
        <v>1840</v>
      </c>
      <c r="G2498" s="218" t="s">
        <v>1841</v>
      </c>
    </row>
    <row r="2499" spans="1:7" x14ac:dyDescent="0.15">
      <c r="A2499" s="218" t="s">
        <v>11228</v>
      </c>
      <c r="B2499" s="218" t="s">
        <v>11229</v>
      </c>
      <c r="C2499" s="218" t="s">
        <v>3534</v>
      </c>
      <c r="D2499" s="218" t="s">
        <v>11230</v>
      </c>
      <c r="E2499" s="218" t="s">
        <v>1839</v>
      </c>
      <c r="F2499" s="218" t="s">
        <v>1840</v>
      </c>
      <c r="G2499" s="218" t="s">
        <v>1841</v>
      </c>
    </row>
    <row r="2500" spans="1:7" x14ac:dyDescent="0.15">
      <c r="A2500" s="218" t="s">
        <v>6342</v>
      </c>
      <c r="B2500" s="218" t="s">
        <v>6343</v>
      </c>
      <c r="C2500" s="218" t="s">
        <v>3534</v>
      </c>
      <c r="D2500" s="218" t="s">
        <v>6344</v>
      </c>
      <c r="E2500" s="218" t="s">
        <v>1839</v>
      </c>
      <c r="F2500" s="218" t="s">
        <v>1840</v>
      </c>
      <c r="G2500" s="218" t="s">
        <v>1841</v>
      </c>
    </row>
    <row r="2501" spans="1:7" x14ac:dyDescent="0.15">
      <c r="A2501" s="218" t="s">
        <v>6345</v>
      </c>
      <c r="B2501" s="218" t="s">
        <v>6346</v>
      </c>
      <c r="C2501" s="218" t="s">
        <v>3534</v>
      </c>
      <c r="D2501" s="218" t="s">
        <v>6347</v>
      </c>
      <c r="E2501" s="218" t="s">
        <v>1839</v>
      </c>
      <c r="F2501" s="218" t="s">
        <v>1840</v>
      </c>
      <c r="G2501" s="218" t="s">
        <v>1841</v>
      </c>
    </row>
    <row r="2502" spans="1:7" x14ac:dyDescent="0.15">
      <c r="A2502" s="218" t="s">
        <v>6348</v>
      </c>
      <c r="B2502" s="218" t="s">
        <v>6349</v>
      </c>
      <c r="C2502" s="218" t="s">
        <v>3534</v>
      </c>
      <c r="D2502" s="218" t="s">
        <v>6350</v>
      </c>
      <c r="E2502" s="218" t="s">
        <v>1839</v>
      </c>
      <c r="F2502" s="218" t="s">
        <v>1840</v>
      </c>
      <c r="G2502" s="218" t="s">
        <v>1841</v>
      </c>
    </row>
    <row r="2503" spans="1:7" x14ac:dyDescent="0.15">
      <c r="A2503" s="218" t="s">
        <v>6351</v>
      </c>
      <c r="B2503" s="218" t="s">
        <v>6352</v>
      </c>
      <c r="C2503" s="218" t="s">
        <v>3534</v>
      </c>
      <c r="D2503" s="218" t="s">
        <v>6353</v>
      </c>
      <c r="E2503" s="218" t="s">
        <v>1839</v>
      </c>
      <c r="F2503" s="218" t="s">
        <v>1840</v>
      </c>
      <c r="G2503" s="218" t="s">
        <v>1841</v>
      </c>
    </row>
    <row r="2504" spans="1:7" x14ac:dyDescent="0.15">
      <c r="A2504" s="218" t="s">
        <v>6354</v>
      </c>
      <c r="B2504" s="218" t="s">
        <v>6355</v>
      </c>
      <c r="C2504" s="218" t="s">
        <v>3534</v>
      </c>
      <c r="D2504" s="218" t="s">
        <v>6356</v>
      </c>
      <c r="E2504" s="218" t="s">
        <v>1839</v>
      </c>
      <c r="F2504" s="218" t="s">
        <v>1840</v>
      </c>
      <c r="G2504" s="218" t="s">
        <v>1841</v>
      </c>
    </row>
    <row r="2505" spans="1:7" x14ac:dyDescent="0.15">
      <c r="A2505" s="218" t="s">
        <v>6357</v>
      </c>
      <c r="B2505" s="218" t="s">
        <v>6358</v>
      </c>
      <c r="C2505" s="218" t="s">
        <v>3534</v>
      </c>
      <c r="D2505" s="218" t="s">
        <v>6359</v>
      </c>
      <c r="E2505" s="218" t="s">
        <v>1839</v>
      </c>
      <c r="F2505" s="218" t="s">
        <v>1840</v>
      </c>
      <c r="G2505" s="218" t="s">
        <v>1841</v>
      </c>
    </row>
    <row r="2506" spans="1:7" x14ac:dyDescent="0.15">
      <c r="A2506" s="218" t="s">
        <v>6363</v>
      </c>
      <c r="B2506" s="218" t="s">
        <v>6364</v>
      </c>
      <c r="C2506" s="218" t="s">
        <v>3534</v>
      </c>
      <c r="D2506" s="218" t="s">
        <v>6365</v>
      </c>
      <c r="E2506" s="218" t="s">
        <v>1839</v>
      </c>
      <c r="F2506" s="218" t="s">
        <v>1840</v>
      </c>
      <c r="G2506" s="218" t="s">
        <v>1841</v>
      </c>
    </row>
    <row r="2507" spans="1:7" x14ac:dyDescent="0.15">
      <c r="A2507" s="218" t="s">
        <v>11234</v>
      </c>
      <c r="B2507" s="218" t="s">
        <v>11235</v>
      </c>
      <c r="C2507" s="218" t="s">
        <v>3534</v>
      </c>
      <c r="D2507" s="218" t="s">
        <v>11236</v>
      </c>
      <c r="E2507" s="218" t="s">
        <v>1839</v>
      </c>
      <c r="F2507" s="218" t="s">
        <v>1840</v>
      </c>
      <c r="G2507" s="218" t="s">
        <v>1841</v>
      </c>
    </row>
    <row r="2508" spans="1:7" x14ac:dyDescent="0.15">
      <c r="A2508" s="218" t="s">
        <v>6366</v>
      </c>
      <c r="B2508" s="218" t="s">
        <v>6367</v>
      </c>
      <c r="C2508" s="218" t="s">
        <v>3534</v>
      </c>
      <c r="D2508" s="218" t="s">
        <v>6368</v>
      </c>
      <c r="E2508" s="218" t="s">
        <v>1839</v>
      </c>
      <c r="F2508" s="218" t="s">
        <v>1840</v>
      </c>
      <c r="G2508" s="218" t="s">
        <v>1841</v>
      </c>
    </row>
    <row r="2509" spans="1:7" x14ac:dyDescent="0.15">
      <c r="A2509" s="218" t="s">
        <v>6369</v>
      </c>
      <c r="B2509" s="218" t="s">
        <v>6370</v>
      </c>
      <c r="C2509" s="218" t="s">
        <v>3534</v>
      </c>
      <c r="D2509" s="218" t="s">
        <v>6371</v>
      </c>
      <c r="E2509" s="218" t="s">
        <v>1839</v>
      </c>
      <c r="F2509" s="218" t="s">
        <v>1840</v>
      </c>
      <c r="G2509" s="218" t="s">
        <v>1841</v>
      </c>
    </row>
    <row r="2510" spans="1:7" x14ac:dyDescent="0.15">
      <c r="A2510" s="218" t="s">
        <v>11237</v>
      </c>
      <c r="B2510" s="218" t="s">
        <v>11238</v>
      </c>
      <c r="C2510" s="218" t="s">
        <v>3534</v>
      </c>
      <c r="D2510" s="218" t="s">
        <v>11239</v>
      </c>
      <c r="E2510" s="218" t="s">
        <v>1839</v>
      </c>
      <c r="F2510" s="218" t="s">
        <v>1840</v>
      </c>
      <c r="G2510" s="218" t="s">
        <v>1841</v>
      </c>
    </row>
    <row r="2511" spans="1:7" x14ac:dyDescent="0.15">
      <c r="A2511" s="218" t="s">
        <v>6372</v>
      </c>
      <c r="B2511" s="218" t="s">
        <v>6373</v>
      </c>
      <c r="C2511" s="218" t="s">
        <v>3534</v>
      </c>
      <c r="D2511" s="218" t="s">
        <v>6374</v>
      </c>
      <c r="E2511" s="218" t="s">
        <v>1935</v>
      </c>
      <c r="F2511" s="218" t="s">
        <v>1840</v>
      </c>
      <c r="G2511" s="218" t="s">
        <v>1841</v>
      </c>
    </row>
    <row r="2512" spans="1:7" x14ac:dyDescent="0.15">
      <c r="A2512" s="218" t="s">
        <v>6375</v>
      </c>
      <c r="B2512" s="218" t="s">
        <v>6376</v>
      </c>
      <c r="C2512" s="218" t="s">
        <v>3534</v>
      </c>
      <c r="D2512" s="218" t="s">
        <v>6377</v>
      </c>
      <c r="E2512" s="218" t="s">
        <v>1839</v>
      </c>
      <c r="F2512" s="218" t="s">
        <v>1840</v>
      </c>
      <c r="G2512" s="218" t="s">
        <v>1841</v>
      </c>
    </row>
    <row r="2513" spans="1:7" x14ac:dyDescent="0.15">
      <c r="A2513" s="218" t="s">
        <v>11240</v>
      </c>
      <c r="B2513" s="218" t="s">
        <v>753</v>
      </c>
      <c r="C2513" s="218" t="s">
        <v>3534</v>
      </c>
      <c r="D2513" s="218" t="s">
        <v>754</v>
      </c>
      <c r="E2513" s="218" t="s">
        <v>1839</v>
      </c>
      <c r="F2513" s="218" t="s">
        <v>1840</v>
      </c>
      <c r="G2513" s="218" t="s">
        <v>1841</v>
      </c>
    </row>
    <row r="2514" spans="1:7" x14ac:dyDescent="0.15">
      <c r="A2514" s="218" t="s">
        <v>11241</v>
      </c>
      <c r="B2514" s="218" t="s">
        <v>6378</v>
      </c>
      <c r="C2514" s="218" t="s">
        <v>3534</v>
      </c>
      <c r="D2514" s="218" t="s">
        <v>6379</v>
      </c>
      <c r="E2514" s="218" t="s">
        <v>1839</v>
      </c>
      <c r="F2514" s="218" t="s">
        <v>1840</v>
      </c>
      <c r="G2514" s="218" t="s">
        <v>1841</v>
      </c>
    </row>
    <row r="2515" spans="1:7" x14ac:dyDescent="0.15">
      <c r="A2515" s="218" t="s">
        <v>11242</v>
      </c>
      <c r="B2515" s="218" t="s">
        <v>11243</v>
      </c>
      <c r="C2515" s="218" t="s">
        <v>3534</v>
      </c>
      <c r="D2515" s="218" t="s">
        <v>11244</v>
      </c>
      <c r="E2515" s="218" t="s">
        <v>1839</v>
      </c>
      <c r="F2515" s="218" t="s">
        <v>1840</v>
      </c>
      <c r="G2515" s="218" t="s">
        <v>1841</v>
      </c>
    </row>
    <row r="2516" spans="1:7" x14ac:dyDescent="0.15">
      <c r="A2516" s="218" t="s">
        <v>6380</v>
      </c>
      <c r="B2516" s="218" t="s">
        <v>6381</v>
      </c>
      <c r="C2516" s="218" t="s">
        <v>3534</v>
      </c>
      <c r="D2516" s="218" t="s">
        <v>6382</v>
      </c>
      <c r="E2516" s="218" t="s">
        <v>1839</v>
      </c>
      <c r="F2516" s="218" t="s">
        <v>1840</v>
      </c>
      <c r="G2516" s="218" t="s">
        <v>1841</v>
      </c>
    </row>
    <row r="2517" spans="1:7" x14ac:dyDescent="0.15">
      <c r="A2517" s="218" t="s">
        <v>11245</v>
      </c>
      <c r="B2517" s="218" t="s">
        <v>1496</v>
      </c>
      <c r="C2517" s="218" t="s">
        <v>3534</v>
      </c>
      <c r="D2517" s="218" t="s">
        <v>1497</v>
      </c>
      <c r="E2517" s="218" t="s">
        <v>1839</v>
      </c>
      <c r="F2517" s="218" t="s">
        <v>1840</v>
      </c>
      <c r="G2517" s="218" t="s">
        <v>1841</v>
      </c>
    </row>
    <row r="2518" spans="1:7" x14ac:dyDescent="0.15">
      <c r="A2518" s="218" t="s">
        <v>11794</v>
      </c>
      <c r="B2518" s="218" t="s">
        <v>11795</v>
      </c>
      <c r="C2518" s="218" t="s">
        <v>3534</v>
      </c>
      <c r="D2518" s="218" t="s">
        <v>11796</v>
      </c>
      <c r="E2518" s="218" t="s">
        <v>1839</v>
      </c>
      <c r="F2518" s="218" t="s">
        <v>1840</v>
      </c>
      <c r="G2518" s="218" t="s">
        <v>1841</v>
      </c>
    </row>
    <row r="2519" spans="1:7" x14ac:dyDescent="0.15">
      <c r="A2519" s="218" t="s">
        <v>6383</v>
      </c>
      <c r="B2519" s="218" t="s">
        <v>6384</v>
      </c>
      <c r="C2519" s="218" t="s">
        <v>3534</v>
      </c>
      <c r="D2519" s="218" t="s">
        <v>6385</v>
      </c>
      <c r="E2519" s="218" t="s">
        <v>1839</v>
      </c>
      <c r="F2519" s="218" t="s">
        <v>1840</v>
      </c>
      <c r="G2519" s="218" t="s">
        <v>1841</v>
      </c>
    </row>
    <row r="2520" spans="1:7" x14ac:dyDescent="0.15">
      <c r="A2520" s="218" t="s">
        <v>11246</v>
      </c>
      <c r="B2520" s="218" t="s">
        <v>11247</v>
      </c>
      <c r="C2520" s="218" t="s">
        <v>3534</v>
      </c>
      <c r="D2520" s="218" t="s">
        <v>11248</v>
      </c>
      <c r="E2520" s="218" t="s">
        <v>1839</v>
      </c>
      <c r="F2520" s="218" t="s">
        <v>1840</v>
      </c>
      <c r="G2520" s="218" t="s">
        <v>1841</v>
      </c>
    </row>
    <row r="2521" spans="1:7" x14ac:dyDescent="0.15">
      <c r="A2521" s="218" t="s">
        <v>6386</v>
      </c>
      <c r="B2521" s="218" t="s">
        <v>6387</v>
      </c>
      <c r="C2521" s="218" t="s">
        <v>3534</v>
      </c>
      <c r="D2521" s="218" t="s">
        <v>6388</v>
      </c>
      <c r="E2521" s="218" t="s">
        <v>1839</v>
      </c>
      <c r="F2521" s="218" t="s">
        <v>1840</v>
      </c>
      <c r="G2521" s="218" t="s">
        <v>1841</v>
      </c>
    </row>
    <row r="2522" spans="1:7" x14ac:dyDescent="0.15">
      <c r="A2522" s="218" t="s">
        <v>11249</v>
      </c>
      <c r="B2522" s="218" t="s">
        <v>11250</v>
      </c>
      <c r="C2522" s="218" t="s">
        <v>3534</v>
      </c>
      <c r="D2522" s="218" t="s">
        <v>11251</v>
      </c>
      <c r="E2522" s="218" t="s">
        <v>1839</v>
      </c>
      <c r="F2522" s="218" t="s">
        <v>1840</v>
      </c>
      <c r="G2522" s="218" t="s">
        <v>1841</v>
      </c>
    </row>
    <row r="2523" spans="1:7" x14ac:dyDescent="0.15">
      <c r="A2523" s="218" t="s">
        <v>11252</v>
      </c>
      <c r="B2523" s="218" t="s">
        <v>11253</v>
      </c>
      <c r="C2523" s="218" t="s">
        <v>3534</v>
      </c>
      <c r="D2523" s="218" t="s">
        <v>11254</v>
      </c>
      <c r="E2523" s="218" t="s">
        <v>1839</v>
      </c>
      <c r="F2523" s="218" t="s">
        <v>1840</v>
      </c>
      <c r="G2523" s="218" t="s">
        <v>1841</v>
      </c>
    </row>
    <row r="2524" spans="1:7" x14ac:dyDescent="0.15">
      <c r="A2524" s="218" t="s">
        <v>6389</v>
      </c>
      <c r="B2524" s="218" t="s">
        <v>6390</v>
      </c>
      <c r="C2524" s="218" t="s">
        <v>3534</v>
      </c>
      <c r="D2524" s="218" t="s">
        <v>6391</v>
      </c>
      <c r="E2524" s="218" t="s">
        <v>1935</v>
      </c>
      <c r="F2524" s="218" t="s">
        <v>1840</v>
      </c>
      <c r="G2524" s="218" t="s">
        <v>1841</v>
      </c>
    </row>
    <row r="2525" spans="1:7" x14ac:dyDescent="0.15">
      <c r="A2525" s="218" t="s">
        <v>11255</v>
      </c>
      <c r="B2525" s="218" t="s">
        <v>11256</v>
      </c>
      <c r="C2525" s="218" t="s">
        <v>3534</v>
      </c>
      <c r="D2525" s="218" t="s">
        <v>11257</v>
      </c>
      <c r="E2525" s="218" t="s">
        <v>1839</v>
      </c>
      <c r="F2525" s="218" t="s">
        <v>1840</v>
      </c>
      <c r="G2525" s="218" t="s">
        <v>1841</v>
      </c>
    </row>
    <row r="2526" spans="1:7" x14ac:dyDescent="0.15">
      <c r="A2526" s="218" t="s">
        <v>6392</v>
      </c>
      <c r="B2526" s="218" t="s">
        <v>6393</v>
      </c>
      <c r="C2526" s="218" t="s">
        <v>3534</v>
      </c>
      <c r="D2526" s="218" t="s">
        <v>6394</v>
      </c>
      <c r="E2526" s="218" t="s">
        <v>1839</v>
      </c>
      <c r="F2526" s="218" t="s">
        <v>1840</v>
      </c>
      <c r="G2526" s="218" t="s">
        <v>1841</v>
      </c>
    </row>
    <row r="2527" spans="1:7" x14ac:dyDescent="0.15">
      <c r="A2527" s="218" t="s">
        <v>11258</v>
      </c>
      <c r="B2527" s="218" t="s">
        <v>1553</v>
      </c>
      <c r="C2527" s="218" t="s">
        <v>3534</v>
      </c>
      <c r="D2527" s="218" t="s">
        <v>1554</v>
      </c>
      <c r="E2527" s="218" t="s">
        <v>1839</v>
      </c>
      <c r="F2527" s="218" t="s">
        <v>1840</v>
      </c>
      <c r="G2527" s="218" t="s">
        <v>1841</v>
      </c>
    </row>
    <row r="2528" spans="1:7" x14ac:dyDescent="0.15">
      <c r="A2528" s="218" t="s">
        <v>11259</v>
      </c>
      <c r="B2528" s="218" t="s">
        <v>11260</v>
      </c>
      <c r="C2528" s="218" t="s">
        <v>3534</v>
      </c>
      <c r="D2528" s="218" t="s">
        <v>11261</v>
      </c>
      <c r="E2528" s="218" t="s">
        <v>1839</v>
      </c>
      <c r="F2528" s="218" t="s">
        <v>1840</v>
      </c>
      <c r="G2528" s="218" t="s">
        <v>1841</v>
      </c>
    </row>
    <row r="2529" spans="1:7" x14ac:dyDescent="0.15">
      <c r="A2529" s="218" t="s">
        <v>11262</v>
      </c>
      <c r="B2529" s="218" t="s">
        <v>11263</v>
      </c>
      <c r="C2529" s="218" t="s">
        <v>3534</v>
      </c>
      <c r="D2529" s="218" t="s">
        <v>11264</v>
      </c>
      <c r="E2529" s="218" t="s">
        <v>1839</v>
      </c>
      <c r="F2529" s="218" t="s">
        <v>1840</v>
      </c>
      <c r="G2529" s="218" t="s">
        <v>1841</v>
      </c>
    </row>
    <row r="2530" spans="1:7" x14ac:dyDescent="0.15">
      <c r="A2530" s="218" t="s">
        <v>11797</v>
      </c>
      <c r="B2530" s="218" t="s">
        <v>11798</v>
      </c>
      <c r="C2530" s="218" t="s">
        <v>3534</v>
      </c>
      <c r="D2530" s="218" t="s">
        <v>11799</v>
      </c>
      <c r="E2530" s="218" t="s">
        <v>1839</v>
      </c>
      <c r="F2530" s="218" t="s">
        <v>1840</v>
      </c>
      <c r="G2530" s="218" t="s">
        <v>1841</v>
      </c>
    </row>
    <row r="2531" spans="1:7" x14ac:dyDescent="0.15">
      <c r="A2531" s="218" t="s">
        <v>11800</v>
      </c>
      <c r="B2531" s="218" t="s">
        <v>11801</v>
      </c>
      <c r="C2531" s="218" t="s">
        <v>3534</v>
      </c>
      <c r="D2531" s="218" t="s">
        <v>11802</v>
      </c>
      <c r="E2531" s="218" t="s">
        <v>1839</v>
      </c>
      <c r="F2531" s="218" t="s">
        <v>1840</v>
      </c>
      <c r="G2531" s="218" t="s">
        <v>1841</v>
      </c>
    </row>
    <row r="2532" spans="1:7" x14ac:dyDescent="0.15">
      <c r="A2532" s="218" t="s">
        <v>11265</v>
      </c>
      <c r="B2532" s="218" t="s">
        <v>11266</v>
      </c>
      <c r="C2532" s="218" t="s">
        <v>3534</v>
      </c>
      <c r="D2532" s="218" t="s">
        <v>1608</v>
      </c>
      <c r="E2532" s="218" t="s">
        <v>1839</v>
      </c>
      <c r="F2532" s="218" t="s">
        <v>1840</v>
      </c>
      <c r="G2532" s="218" t="s">
        <v>1841</v>
      </c>
    </row>
    <row r="2533" spans="1:7" x14ac:dyDescent="0.15">
      <c r="A2533" s="218" t="s">
        <v>11267</v>
      </c>
      <c r="B2533" s="218" t="s">
        <v>1494</v>
      </c>
      <c r="C2533" s="218" t="s">
        <v>3534</v>
      </c>
      <c r="D2533" s="218" t="s">
        <v>1495</v>
      </c>
      <c r="E2533" s="218" t="s">
        <v>1839</v>
      </c>
      <c r="F2533" s="218" t="s">
        <v>1840</v>
      </c>
      <c r="G2533" s="218" t="s">
        <v>1841</v>
      </c>
    </row>
    <row r="2534" spans="1:7" x14ac:dyDescent="0.15">
      <c r="A2534" s="218" t="s">
        <v>6395</v>
      </c>
      <c r="B2534" s="218" t="s">
        <v>6396</v>
      </c>
      <c r="C2534" s="218" t="s">
        <v>3534</v>
      </c>
      <c r="D2534" s="218" t="s">
        <v>6397</v>
      </c>
      <c r="E2534" s="218" t="s">
        <v>1839</v>
      </c>
      <c r="F2534" s="218" t="s">
        <v>1840</v>
      </c>
      <c r="G2534" s="218" t="s">
        <v>1841</v>
      </c>
    </row>
    <row r="2535" spans="1:7" x14ac:dyDescent="0.15">
      <c r="A2535" s="218" t="s">
        <v>11268</v>
      </c>
      <c r="B2535" s="218" t="s">
        <v>11269</v>
      </c>
      <c r="C2535" s="218" t="s">
        <v>3534</v>
      </c>
      <c r="D2535" s="218" t="s">
        <v>11270</v>
      </c>
      <c r="E2535" s="218" t="s">
        <v>1839</v>
      </c>
      <c r="F2535" s="218" t="s">
        <v>1840</v>
      </c>
      <c r="G2535" s="218" t="s">
        <v>1841</v>
      </c>
    </row>
    <row r="2536" spans="1:7" x14ac:dyDescent="0.15">
      <c r="A2536" s="218" t="s">
        <v>11271</v>
      </c>
      <c r="B2536" s="218" t="s">
        <v>779</v>
      </c>
      <c r="C2536" s="218" t="s">
        <v>3534</v>
      </c>
      <c r="D2536" s="218" t="s">
        <v>780</v>
      </c>
      <c r="E2536" s="218" t="s">
        <v>1839</v>
      </c>
      <c r="F2536" s="218" t="s">
        <v>1840</v>
      </c>
      <c r="G2536" s="218" t="s">
        <v>1841</v>
      </c>
    </row>
    <row r="2537" spans="1:7" x14ac:dyDescent="0.15">
      <c r="A2537" s="218" t="s">
        <v>11272</v>
      </c>
      <c r="B2537" s="218" t="s">
        <v>11273</v>
      </c>
      <c r="C2537" s="218" t="s">
        <v>3534</v>
      </c>
      <c r="D2537" s="218" t="s">
        <v>11274</v>
      </c>
      <c r="E2537" s="218" t="s">
        <v>1839</v>
      </c>
      <c r="F2537" s="218" t="s">
        <v>1840</v>
      </c>
      <c r="G2537" s="218" t="s">
        <v>1841</v>
      </c>
    </row>
    <row r="2538" spans="1:7" x14ac:dyDescent="0.15">
      <c r="A2538" s="218" t="s">
        <v>6398</v>
      </c>
      <c r="B2538" s="218" t="s">
        <v>6399</v>
      </c>
      <c r="C2538" s="218" t="s">
        <v>3534</v>
      </c>
      <c r="D2538" s="218" t="s">
        <v>6400</v>
      </c>
      <c r="E2538" s="218" t="s">
        <v>1839</v>
      </c>
      <c r="F2538" s="218" t="s">
        <v>1840</v>
      </c>
      <c r="G2538" s="218" t="s">
        <v>1841</v>
      </c>
    </row>
    <row r="2539" spans="1:7" x14ac:dyDescent="0.15">
      <c r="A2539" s="218" t="s">
        <v>11275</v>
      </c>
      <c r="B2539" s="218" t="s">
        <v>11276</v>
      </c>
      <c r="C2539" s="218" t="s">
        <v>3534</v>
      </c>
      <c r="D2539" s="218" t="s">
        <v>11277</v>
      </c>
      <c r="E2539" s="218" t="s">
        <v>1839</v>
      </c>
      <c r="F2539" s="218" t="s">
        <v>1840</v>
      </c>
      <c r="G2539" s="218" t="s">
        <v>1841</v>
      </c>
    </row>
    <row r="2540" spans="1:7" x14ac:dyDescent="0.15">
      <c r="A2540" s="218" t="s">
        <v>6401</v>
      </c>
      <c r="B2540" s="218" t="s">
        <v>6402</v>
      </c>
      <c r="C2540" s="218" t="s">
        <v>3534</v>
      </c>
      <c r="D2540" s="218" t="s">
        <v>6403</v>
      </c>
      <c r="E2540" s="218" t="s">
        <v>1839</v>
      </c>
      <c r="F2540" s="218" t="s">
        <v>1840</v>
      </c>
      <c r="G2540" s="218" t="s">
        <v>1841</v>
      </c>
    </row>
    <row r="2541" spans="1:7" x14ac:dyDescent="0.15">
      <c r="A2541" s="218" t="s">
        <v>6404</v>
      </c>
      <c r="B2541" s="218" t="s">
        <v>6405</v>
      </c>
      <c r="C2541" s="218" t="s">
        <v>3534</v>
      </c>
      <c r="D2541" s="218" t="s">
        <v>6406</v>
      </c>
      <c r="E2541" s="218" t="s">
        <v>1839</v>
      </c>
      <c r="F2541" s="218" t="s">
        <v>1840</v>
      </c>
      <c r="G2541" s="218" t="s">
        <v>1841</v>
      </c>
    </row>
    <row r="2542" spans="1:7" x14ac:dyDescent="0.15">
      <c r="A2542" s="218" t="s">
        <v>11278</v>
      </c>
      <c r="B2542" s="218" t="s">
        <v>1308</v>
      </c>
      <c r="C2542" s="218" t="s">
        <v>3534</v>
      </c>
      <c r="D2542" s="218" t="s">
        <v>1309</v>
      </c>
      <c r="E2542" s="218" t="s">
        <v>1839</v>
      </c>
      <c r="F2542" s="218" t="s">
        <v>1840</v>
      </c>
      <c r="G2542" s="218" t="s">
        <v>1841</v>
      </c>
    </row>
    <row r="2543" spans="1:7" x14ac:dyDescent="0.15">
      <c r="A2543" s="218" t="s">
        <v>11279</v>
      </c>
      <c r="B2543" s="218" t="s">
        <v>934</v>
      </c>
      <c r="C2543" s="218" t="s">
        <v>3534</v>
      </c>
      <c r="D2543" s="218" t="s">
        <v>935</v>
      </c>
      <c r="E2543" s="218" t="s">
        <v>1839</v>
      </c>
      <c r="F2543" s="218" t="s">
        <v>1840</v>
      </c>
      <c r="G2543" s="218" t="s">
        <v>1841</v>
      </c>
    </row>
    <row r="2544" spans="1:7" x14ac:dyDescent="0.15">
      <c r="A2544" s="218" t="s">
        <v>11280</v>
      </c>
      <c r="B2544" s="218" t="s">
        <v>1150</v>
      </c>
      <c r="C2544" s="218" t="s">
        <v>3534</v>
      </c>
      <c r="D2544" s="218" t="s">
        <v>1151</v>
      </c>
      <c r="E2544" s="218" t="s">
        <v>1935</v>
      </c>
      <c r="F2544" s="218" t="s">
        <v>1840</v>
      </c>
      <c r="G2544" s="218" t="s">
        <v>1841</v>
      </c>
    </row>
    <row r="2545" spans="1:7" x14ac:dyDescent="0.15">
      <c r="A2545" s="218" t="s">
        <v>6407</v>
      </c>
      <c r="B2545" s="218" t="s">
        <v>6408</v>
      </c>
      <c r="C2545" s="218" t="s">
        <v>3534</v>
      </c>
      <c r="D2545" s="218" t="s">
        <v>6409</v>
      </c>
      <c r="E2545" s="218" t="s">
        <v>1839</v>
      </c>
      <c r="F2545" s="218" t="s">
        <v>1840</v>
      </c>
      <c r="G2545" s="218" t="s">
        <v>1841</v>
      </c>
    </row>
    <row r="2546" spans="1:7" x14ac:dyDescent="0.15">
      <c r="A2546" s="218" t="s">
        <v>11281</v>
      </c>
      <c r="B2546" s="218" t="s">
        <v>1599</v>
      </c>
      <c r="C2546" s="218" t="s">
        <v>3534</v>
      </c>
      <c r="D2546" s="218" t="s">
        <v>1600</v>
      </c>
      <c r="E2546" s="218" t="s">
        <v>1839</v>
      </c>
      <c r="F2546" s="218" t="s">
        <v>1840</v>
      </c>
      <c r="G2546" s="218" t="s">
        <v>1841</v>
      </c>
    </row>
    <row r="2547" spans="1:7" x14ac:dyDescent="0.15">
      <c r="A2547" s="218" t="s">
        <v>11282</v>
      </c>
      <c r="B2547" s="218" t="s">
        <v>11283</v>
      </c>
      <c r="C2547" s="218" t="s">
        <v>3534</v>
      </c>
      <c r="D2547" s="218" t="s">
        <v>11284</v>
      </c>
      <c r="E2547" s="218" t="s">
        <v>1839</v>
      </c>
      <c r="F2547" s="218" t="s">
        <v>1840</v>
      </c>
      <c r="G2547" s="218" t="s">
        <v>1841</v>
      </c>
    </row>
    <row r="2548" spans="1:7" x14ac:dyDescent="0.15">
      <c r="A2548" s="218" t="s">
        <v>11285</v>
      </c>
      <c r="B2548" s="218" t="s">
        <v>11286</v>
      </c>
      <c r="C2548" s="218" t="s">
        <v>3534</v>
      </c>
      <c r="D2548" s="218" t="s">
        <v>11287</v>
      </c>
      <c r="E2548" s="218" t="s">
        <v>1839</v>
      </c>
      <c r="F2548" s="218" t="s">
        <v>1840</v>
      </c>
      <c r="G2548" s="218" t="s">
        <v>1841</v>
      </c>
    </row>
    <row r="2549" spans="1:7" x14ac:dyDescent="0.15">
      <c r="A2549" s="218" t="s">
        <v>6410</v>
      </c>
      <c r="B2549" s="218" t="s">
        <v>6411</v>
      </c>
      <c r="C2549" s="218" t="s">
        <v>3534</v>
      </c>
      <c r="D2549" s="218" t="s">
        <v>6412</v>
      </c>
      <c r="E2549" s="218" t="s">
        <v>1839</v>
      </c>
      <c r="F2549" s="218" t="s">
        <v>1840</v>
      </c>
      <c r="G2549" s="218" t="s">
        <v>1841</v>
      </c>
    </row>
    <row r="2550" spans="1:7" x14ac:dyDescent="0.15">
      <c r="A2550" s="218" t="s">
        <v>6413</v>
      </c>
      <c r="B2550" s="218" t="s">
        <v>6414</v>
      </c>
      <c r="C2550" s="218" t="s">
        <v>3534</v>
      </c>
      <c r="D2550" s="218" t="s">
        <v>6415</v>
      </c>
      <c r="E2550" s="218" t="s">
        <v>1839</v>
      </c>
      <c r="F2550" s="218" t="s">
        <v>1840</v>
      </c>
      <c r="G2550" s="218" t="s">
        <v>1841</v>
      </c>
    </row>
    <row r="2551" spans="1:7" x14ac:dyDescent="0.15">
      <c r="A2551" s="218" t="s">
        <v>11288</v>
      </c>
      <c r="B2551" s="218" t="s">
        <v>11289</v>
      </c>
      <c r="C2551" s="218" t="s">
        <v>3534</v>
      </c>
      <c r="D2551" s="218" t="s">
        <v>11290</v>
      </c>
      <c r="E2551" s="218" t="s">
        <v>1839</v>
      </c>
      <c r="F2551" s="218" t="s">
        <v>1840</v>
      </c>
      <c r="G2551" s="218" t="s">
        <v>1841</v>
      </c>
    </row>
    <row r="2552" spans="1:7" x14ac:dyDescent="0.15">
      <c r="A2552" s="218" t="s">
        <v>11291</v>
      </c>
      <c r="B2552" s="218" t="s">
        <v>891</v>
      </c>
      <c r="C2552" s="218" t="s">
        <v>3534</v>
      </c>
      <c r="D2552" s="218" t="s">
        <v>892</v>
      </c>
      <c r="E2552" s="218" t="s">
        <v>1839</v>
      </c>
      <c r="F2552" s="218" t="s">
        <v>1840</v>
      </c>
      <c r="G2552" s="218" t="s">
        <v>1841</v>
      </c>
    </row>
    <row r="2553" spans="1:7" x14ac:dyDescent="0.15">
      <c r="A2553" s="218" t="s">
        <v>11803</v>
      </c>
      <c r="B2553" s="218" t="s">
        <v>11804</v>
      </c>
      <c r="C2553" s="218" t="s">
        <v>3534</v>
      </c>
      <c r="D2553" s="218" t="s">
        <v>11805</v>
      </c>
      <c r="E2553" s="218" t="s">
        <v>1839</v>
      </c>
      <c r="F2553" s="218" t="s">
        <v>1840</v>
      </c>
      <c r="G2553" s="218" t="s">
        <v>1841</v>
      </c>
    </row>
    <row r="2554" spans="1:7" x14ac:dyDescent="0.15">
      <c r="A2554" s="218" t="s">
        <v>6416</v>
      </c>
      <c r="B2554" s="218" t="s">
        <v>6417</v>
      </c>
      <c r="C2554" s="218" t="s">
        <v>3534</v>
      </c>
      <c r="D2554" s="218" t="s">
        <v>6418</v>
      </c>
      <c r="E2554" s="218" t="s">
        <v>1935</v>
      </c>
      <c r="F2554" s="218" t="s">
        <v>1840</v>
      </c>
      <c r="G2554" s="218" t="s">
        <v>1841</v>
      </c>
    </row>
    <row r="2555" spans="1:7" x14ac:dyDescent="0.15">
      <c r="A2555" s="218" t="s">
        <v>6419</v>
      </c>
      <c r="B2555" s="218" t="s">
        <v>6420</v>
      </c>
      <c r="C2555" s="218" t="s">
        <v>3534</v>
      </c>
      <c r="D2555" s="218" t="s">
        <v>6421</v>
      </c>
      <c r="E2555" s="218" t="s">
        <v>1839</v>
      </c>
      <c r="F2555" s="218" t="s">
        <v>1840</v>
      </c>
      <c r="G2555" s="218" t="s">
        <v>1841</v>
      </c>
    </row>
    <row r="2556" spans="1:7" x14ac:dyDescent="0.15">
      <c r="A2556" s="218" t="s">
        <v>6422</v>
      </c>
      <c r="B2556" s="218" t="s">
        <v>6423</v>
      </c>
      <c r="C2556" s="218" t="s">
        <v>3534</v>
      </c>
      <c r="D2556" s="218" t="s">
        <v>6424</v>
      </c>
      <c r="E2556" s="218" t="s">
        <v>1935</v>
      </c>
      <c r="F2556" s="218" t="s">
        <v>1840</v>
      </c>
      <c r="G2556" s="218" t="s">
        <v>1841</v>
      </c>
    </row>
    <row r="2557" spans="1:7" x14ac:dyDescent="0.15">
      <c r="A2557" s="218" t="s">
        <v>6425</v>
      </c>
      <c r="B2557" s="218" t="s">
        <v>6426</v>
      </c>
      <c r="C2557" s="218" t="s">
        <v>3534</v>
      </c>
      <c r="D2557" s="218" t="s">
        <v>6427</v>
      </c>
      <c r="E2557" s="218" t="s">
        <v>1839</v>
      </c>
      <c r="F2557" s="218" t="s">
        <v>1840</v>
      </c>
      <c r="G2557" s="218" t="s">
        <v>1841</v>
      </c>
    </row>
    <row r="2558" spans="1:7" x14ac:dyDescent="0.15">
      <c r="A2558" s="218" t="s">
        <v>11292</v>
      </c>
      <c r="B2558" s="218" t="s">
        <v>1284</v>
      </c>
      <c r="C2558" s="218" t="s">
        <v>3534</v>
      </c>
      <c r="D2558" s="218" t="s">
        <v>1285</v>
      </c>
      <c r="E2558" s="218" t="s">
        <v>1839</v>
      </c>
      <c r="F2558" s="218" t="s">
        <v>1840</v>
      </c>
      <c r="G2558" s="218" t="s">
        <v>1841</v>
      </c>
    </row>
    <row r="2559" spans="1:7" x14ac:dyDescent="0.15">
      <c r="A2559" s="218" t="s">
        <v>11293</v>
      </c>
      <c r="B2559" s="218" t="s">
        <v>11294</v>
      </c>
      <c r="C2559" s="218" t="s">
        <v>3534</v>
      </c>
      <c r="D2559" s="218" t="s">
        <v>11295</v>
      </c>
      <c r="E2559" s="218" t="s">
        <v>1839</v>
      </c>
      <c r="F2559" s="218" t="s">
        <v>1840</v>
      </c>
      <c r="G2559" s="218" t="s">
        <v>1841</v>
      </c>
    </row>
    <row r="2560" spans="1:7" x14ac:dyDescent="0.15">
      <c r="A2560" s="218" t="s">
        <v>11296</v>
      </c>
      <c r="B2560" s="218" t="s">
        <v>11297</v>
      </c>
      <c r="C2560" s="218" t="s">
        <v>3534</v>
      </c>
      <c r="D2560" s="218" t="s">
        <v>11298</v>
      </c>
      <c r="E2560" s="218" t="s">
        <v>1839</v>
      </c>
      <c r="F2560" s="218" t="s">
        <v>1840</v>
      </c>
      <c r="G2560" s="218" t="s">
        <v>1841</v>
      </c>
    </row>
    <row r="2561" spans="1:7" x14ac:dyDescent="0.15">
      <c r="A2561" s="218" t="s">
        <v>6428</v>
      </c>
      <c r="B2561" s="218" t="s">
        <v>6429</v>
      </c>
      <c r="C2561" s="218" t="s">
        <v>3534</v>
      </c>
      <c r="D2561" s="218" t="s">
        <v>6430</v>
      </c>
      <c r="E2561" s="218" t="s">
        <v>1839</v>
      </c>
      <c r="F2561" s="218" t="s">
        <v>1840</v>
      </c>
      <c r="G2561" s="218" t="s">
        <v>1841</v>
      </c>
    </row>
    <row r="2562" spans="1:7" x14ac:dyDescent="0.15">
      <c r="A2562" s="218" t="s">
        <v>6431</v>
      </c>
      <c r="B2562" s="218" t="s">
        <v>6432</v>
      </c>
      <c r="C2562" s="218" t="s">
        <v>3534</v>
      </c>
      <c r="D2562" s="218" t="s">
        <v>6433</v>
      </c>
      <c r="E2562" s="218" t="s">
        <v>1839</v>
      </c>
      <c r="F2562" s="218" t="s">
        <v>1840</v>
      </c>
      <c r="G2562" s="218" t="s">
        <v>1841</v>
      </c>
    </row>
    <row r="2563" spans="1:7" x14ac:dyDescent="0.15">
      <c r="A2563" s="218" t="s">
        <v>6434</v>
      </c>
      <c r="B2563" s="218" t="s">
        <v>6435</v>
      </c>
      <c r="C2563" s="218" t="s">
        <v>3534</v>
      </c>
      <c r="D2563" s="218" t="s">
        <v>6436</v>
      </c>
      <c r="E2563" s="218" t="s">
        <v>1839</v>
      </c>
      <c r="F2563" s="218" t="s">
        <v>1840</v>
      </c>
      <c r="G2563" s="218" t="s">
        <v>1841</v>
      </c>
    </row>
    <row r="2564" spans="1:7" x14ac:dyDescent="0.15">
      <c r="A2564" s="218" t="s">
        <v>11299</v>
      </c>
      <c r="B2564" s="218" t="s">
        <v>853</v>
      </c>
      <c r="C2564" s="218" t="s">
        <v>3534</v>
      </c>
      <c r="D2564" s="218" t="s">
        <v>854</v>
      </c>
      <c r="E2564" s="218" t="s">
        <v>1839</v>
      </c>
      <c r="F2564" s="218" t="s">
        <v>1840</v>
      </c>
      <c r="G2564" s="218" t="s">
        <v>1841</v>
      </c>
    </row>
    <row r="2565" spans="1:7" x14ac:dyDescent="0.15">
      <c r="A2565" s="218" t="s">
        <v>11806</v>
      </c>
      <c r="B2565" s="218" t="s">
        <v>11807</v>
      </c>
      <c r="C2565" s="218" t="s">
        <v>3534</v>
      </c>
      <c r="D2565" s="218" t="s">
        <v>11808</v>
      </c>
      <c r="E2565" s="218" t="s">
        <v>1839</v>
      </c>
      <c r="F2565" s="218" t="s">
        <v>1840</v>
      </c>
      <c r="G2565" s="218" t="s">
        <v>1841</v>
      </c>
    </row>
    <row r="2566" spans="1:7" x14ac:dyDescent="0.15">
      <c r="A2566" s="218" t="s">
        <v>6437</v>
      </c>
      <c r="B2566" s="218" t="s">
        <v>6438</v>
      </c>
      <c r="C2566" s="218" t="s">
        <v>3534</v>
      </c>
      <c r="D2566" s="218" t="s">
        <v>6439</v>
      </c>
      <c r="E2566" s="218" t="s">
        <v>1839</v>
      </c>
      <c r="F2566" s="218" t="s">
        <v>1840</v>
      </c>
      <c r="G2566" s="218" t="s">
        <v>1841</v>
      </c>
    </row>
    <row r="2567" spans="1:7" x14ac:dyDescent="0.15">
      <c r="A2567" s="218" t="s">
        <v>6440</v>
      </c>
      <c r="B2567" s="218" t="s">
        <v>6441</v>
      </c>
      <c r="C2567" s="218" t="s">
        <v>3534</v>
      </c>
      <c r="D2567" s="218" t="s">
        <v>6442</v>
      </c>
      <c r="E2567" s="218" t="s">
        <v>1839</v>
      </c>
      <c r="F2567" s="218" t="s">
        <v>1840</v>
      </c>
      <c r="G2567" s="218" t="s">
        <v>1841</v>
      </c>
    </row>
    <row r="2568" spans="1:7" x14ac:dyDescent="0.15">
      <c r="A2568" s="218" t="s">
        <v>6443</v>
      </c>
      <c r="B2568" s="218" t="s">
        <v>6444</v>
      </c>
      <c r="C2568" s="218" t="s">
        <v>3534</v>
      </c>
      <c r="D2568" s="218" t="s">
        <v>6445</v>
      </c>
      <c r="E2568" s="218" t="s">
        <v>1839</v>
      </c>
      <c r="F2568" s="218" t="s">
        <v>1840</v>
      </c>
      <c r="G2568" s="218" t="s">
        <v>1841</v>
      </c>
    </row>
    <row r="2569" spans="1:7" x14ac:dyDescent="0.15">
      <c r="A2569" s="218" t="s">
        <v>11300</v>
      </c>
      <c r="B2569" s="218" t="s">
        <v>11301</v>
      </c>
      <c r="C2569" s="218" t="s">
        <v>3534</v>
      </c>
      <c r="D2569" s="218" t="s">
        <v>11302</v>
      </c>
      <c r="E2569" s="218" t="s">
        <v>1839</v>
      </c>
      <c r="F2569" s="218" t="s">
        <v>1840</v>
      </c>
      <c r="G2569" s="218" t="s">
        <v>1841</v>
      </c>
    </row>
    <row r="2570" spans="1:7" x14ac:dyDescent="0.15">
      <c r="A2570" s="218" t="s">
        <v>6446</v>
      </c>
      <c r="B2570" s="218" t="s">
        <v>6447</v>
      </c>
      <c r="C2570" s="218" t="s">
        <v>3534</v>
      </c>
      <c r="D2570" s="218" t="s">
        <v>6448</v>
      </c>
      <c r="E2570" s="218" t="s">
        <v>1839</v>
      </c>
      <c r="F2570" s="218" t="s">
        <v>1840</v>
      </c>
      <c r="G2570" s="218" t="s">
        <v>1841</v>
      </c>
    </row>
    <row r="2571" spans="1:7" x14ac:dyDescent="0.15">
      <c r="A2571" s="218" t="s">
        <v>11303</v>
      </c>
      <c r="B2571" s="218" t="s">
        <v>11304</v>
      </c>
      <c r="C2571" s="218" t="s">
        <v>3534</v>
      </c>
      <c r="D2571" s="218" t="s">
        <v>11305</v>
      </c>
      <c r="E2571" s="218" t="s">
        <v>1839</v>
      </c>
      <c r="F2571" s="218" t="s">
        <v>1840</v>
      </c>
      <c r="G2571" s="218" t="s">
        <v>1841</v>
      </c>
    </row>
    <row r="2572" spans="1:7" x14ac:dyDescent="0.15">
      <c r="A2572" s="218" t="s">
        <v>6449</v>
      </c>
      <c r="B2572" s="218" t="s">
        <v>6450</v>
      </c>
      <c r="C2572" s="218" t="s">
        <v>3534</v>
      </c>
      <c r="D2572" s="218" t="s">
        <v>6451</v>
      </c>
      <c r="E2572" s="218" t="s">
        <v>1839</v>
      </c>
      <c r="F2572" s="218" t="s">
        <v>1840</v>
      </c>
      <c r="G2572" s="218" t="s">
        <v>1841</v>
      </c>
    </row>
    <row r="2573" spans="1:7" x14ac:dyDescent="0.15">
      <c r="A2573" s="218" t="s">
        <v>6452</v>
      </c>
      <c r="B2573" s="218" t="s">
        <v>6453</v>
      </c>
      <c r="C2573" s="218" t="s">
        <v>3534</v>
      </c>
      <c r="D2573" s="218" t="s">
        <v>6454</v>
      </c>
      <c r="E2573" s="218" t="s">
        <v>1839</v>
      </c>
      <c r="F2573" s="218" t="s">
        <v>1840</v>
      </c>
      <c r="G2573" s="218" t="s">
        <v>1841</v>
      </c>
    </row>
    <row r="2574" spans="1:7" x14ac:dyDescent="0.15">
      <c r="A2574" s="218" t="s">
        <v>11306</v>
      </c>
      <c r="B2574" s="218" t="s">
        <v>1067</v>
      </c>
      <c r="C2574" s="218" t="s">
        <v>3534</v>
      </c>
      <c r="D2574" s="218" t="s">
        <v>1068</v>
      </c>
      <c r="E2574" s="218" t="s">
        <v>1839</v>
      </c>
      <c r="F2574" s="218" t="s">
        <v>1840</v>
      </c>
      <c r="G2574" s="218" t="s">
        <v>1841</v>
      </c>
    </row>
    <row r="2575" spans="1:7" x14ac:dyDescent="0.15">
      <c r="A2575" s="218" t="s">
        <v>11307</v>
      </c>
      <c r="B2575" s="218" t="s">
        <v>11308</v>
      </c>
      <c r="C2575" s="218" t="s">
        <v>3534</v>
      </c>
      <c r="D2575" s="218" t="s">
        <v>11309</v>
      </c>
      <c r="E2575" s="218" t="s">
        <v>1839</v>
      </c>
      <c r="F2575" s="218" t="s">
        <v>1840</v>
      </c>
      <c r="G2575" s="218" t="s">
        <v>1841</v>
      </c>
    </row>
    <row r="2576" spans="1:7" x14ac:dyDescent="0.15">
      <c r="A2576" s="218" t="s">
        <v>11310</v>
      </c>
      <c r="B2576" s="218" t="s">
        <v>11311</v>
      </c>
      <c r="C2576" s="218" t="s">
        <v>3534</v>
      </c>
      <c r="D2576" s="218" t="s">
        <v>11312</v>
      </c>
      <c r="E2576" s="218" t="s">
        <v>1839</v>
      </c>
      <c r="F2576" s="218" t="s">
        <v>1840</v>
      </c>
      <c r="G2576" s="218" t="s">
        <v>1841</v>
      </c>
    </row>
    <row r="2577" spans="1:7" x14ac:dyDescent="0.15">
      <c r="A2577" s="218" t="s">
        <v>6455</v>
      </c>
      <c r="B2577" s="218" t="s">
        <v>6456</v>
      </c>
      <c r="C2577" s="218" t="s">
        <v>3534</v>
      </c>
      <c r="D2577" s="218" t="s">
        <v>6457</v>
      </c>
      <c r="E2577" s="218" t="s">
        <v>1839</v>
      </c>
      <c r="F2577" s="218" t="s">
        <v>1840</v>
      </c>
      <c r="G2577" s="218" t="s">
        <v>1841</v>
      </c>
    </row>
    <row r="2578" spans="1:7" x14ac:dyDescent="0.15">
      <c r="A2578" s="218" t="s">
        <v>11809</v>
      </c>
      <c r="B2578" s="218" t="s">
        <v>11810</v>
      </c>
      <c r="C2578" s="218" t="s">
        <v>3534</v>
      </c>
      <c r="D2578" s="218" t="s">
        <v>11811</v>
      </c>
      <c r="E2578" s="218" t="s">
        <v>1839</v>
      </c>
      <c r="F2578" s="218" t="s">
        <v>1840</v>
      </c>
      <c r="G2578" s="218" t="s">
        <v>1841</v>
      </c>
    </row>
    <row r="2579" spans="1:7" x14ac:dyDescent="0.15">
      <c r="A2579" s="218" t="s">
        <v>11313</v>
      </c>
      <c r="B2579" s="218" t="s">
        <v>11314</v>
      </c>
      <c r="C2579" s="218" t="s">
        <v>3534</v>
      </c>
      <c r="D2579" s="218" t="s">
        <v>11315</v>
      </c>
      <c r="E2579" s="218" t="s">
        <v>1839</v>
      </c>
      <c r="F2579" s="218" t="s">
        <v>1840</v>
      </c>
      <c r="G2579" s="218" t="s">
        <v>1841</v>
      </c>
    </row>
    <row r="2580" spans="1:7" x14ac:dyDescent="0.15">
      <c r="A2580" s="218" t="s">
        <v>6458</v>
      </c>
      <c r="B2580" s="218" t="s">
        <v>6459</v>
      </c>
      <c r="C2580" s="218" t="s">
        <v>3534</v>
      </c>
      <c r="D2580" s="218" t="s">
        <v>6460</v>
      </c>
      <c r="E2580" s="218" t="s">
        <v>1839</v>
      </c>
      <c r="F2580" s="218" t="s">
        <v>1840</v>
      </c>
      <c r="G2580" s="218" t="s">
        <v>1841</v>
      </c>
    </row>
    <row r="2581" spans="1:7" x14ac:dyDescent="0.15">
      <c r="A2581" s="218" t="s">
        <v>6461</v>
      </c>
      <c r="B2581" s="218" t="s">
        <v>6462</v>
      </c>
      <c r="C2581" s="218" t="s">
        <v>3534</v>
      </c>
      <c r="D2581" s="218" t="s">
        <v>6463</v>
      </c>
      <c r="E2581" s="218" t="s">
        <v>1839</v>
      </c>
      <c r="F2581" s="218" t="s">
        <v>1840</v>
      </c>
      <c r="G2581" s="218" t="s">
        <v>1841</v>
      </c>
    </row>
    <row r="2582" spans="1:7" x14ac:dyDescent="0.15">
      <c r="A2582" s="218" t="s">
        <v>6464</v>
      </c>
      <c r="B2582" s="218" t="s">
        <v>6465</v>
      </c>
      <c r="C2582" s="218" t="s">
        <v>3534</v>
      </c>
      <c r="D2582" s="218" t="s">
        <v>6466</v>
      </c>
      <c r="E2582" s="218" t="s">
        <v>1839</v>
      </c>
      <c r="F2582" s="218" t="s">
        <v>1840</v>
      </c>
      <c r="G2582" s="218" t="s">
        <v>1841</v>
      </c>
    </row>
    <row r="2583" spans="1:7" x14ac:dyDescent="0.15">
      <c r="A2583" s="218" t="s">
        <v>6467</v>
      </c>
      <c r="B2583" s="218" t="s">
        <v>6468</v>
      </c>
      <c r="C2583" s="218" t="s">
        <v>3534</v>
      </c>
      <c r="D2583" s="218" t="s">
        <v>6469</v>
      </c>
      <c r="E2583" s="218" t="s">
        <v>1935</v>
      </c>
      <c r="F2583" s="218" t="s">
        <v>1840</v>
      </c>
      <c r="G2583" s="218" t="s">
        <v>1841</v>
      </c>
    </row>
    <row r="2584" spans="1:7" x14ac:dyDescent="0.15">
      <c r="A2584" s="218" t="s">
        <v>6470</v>
      </c>
      <c r="B2584" s="218" t="s">
        <v>6471</v>
      </c>
      <c r="C2584" s="218" t="s">
        <v>3534</v>
      </c>
      <c r="D2584" s="218" t="s">
        <v>6472</v>
      </c>
      <c r="E2584" s="218" t="s">
        <v>1839</v>
      </c>
      <c r="F2584" s="218" t="s">
        <v>1840</v>
      </c>
      <c r="G2584" s="218" t="s">
        <v>1841</v>
      </c>
    </row>
    <row r="2585" spans="1:7" x14ac:dyDescent="0.15">
      <c r="A2585" s="218" t="s">
        <v>6473</v>
      </c>
      <c r="B2585" s="218" t="s">
        <v>6474</v>
      </c>
      <c r="C2585" s="218" t="s">
        <v>3534</v>
      </c>
      <c r="D2585" s="218" t="s">
        <v>6475</v>
      </c>
      <c r="E2585" s="218" t="s">
        <v>1839</v>
      </c>
      <c r="F2585" s="218" t="s">
        <v>1840</v>
      </c>
      <c r="G2585" s="218" t="s">
        <v>1841</v>
      </c>
    </row>
    <row r="2586" spans="1:7" x14ac:dyDescent="0.15">
      <c r="A2586" s="218" t="s">
        <v>11316</v>
      </c>
      <c r="B2586" s="218" t="s">
        <v>11317</v>
      </c>
      <c r="C2586" s="218" t="s">
        <v>3534</v>
      </c>
      <c r="D2586" s="218" t="s">
        <v>11318</v>
      </c>
      <c r="E2586" s="218" t="s">
        <v>1839</v>
      </c>
      <c r="F2586" s="218" t="s">
        <v>1840</v>
      </c>
      <c r="G2586" s="218" t="s">
        <v>1841</v>
      </c>
    </row>
    <row r="2587" spans="1:7" x14ac:dyDescent="0.15">
      <c r="A2587" s="218" t="s">
        <v>6476</v>
      </c>
      <c r="B2587" s="218" t="s">
        <v>6477</v>
      </c>
      <c r="C2587" s="218" t="s">
        <v>3534</v>
      </c>
      <c r="D2587" s="218" t="s">
        <v>6478</v>
      </c>
      <c r="E2587" s="218" t="s">
        <v>1839</v>
      </c>
      <c r="F2587" s="218" t="s">
        <v>1840</v>
      </c>
      <c r="G2587" s="218" t="s">
        <v>1841</v>
      </c>
    </row>
    <row r="2588" spans="1:7" x14ac:dyDescent="0.15">
      <c r="A2588" s="218" t="s">
        <v>11319</v>
      </c>
      <c r="B2588" s="218" t="s">
        <v>11320</v>
      </c>
      <c r="C2588" s="218" t="s">
        <v>3534</v>
      </c>
      <c r="D2588" s="218" t="s">
        <v>11321</v>
      </c>
      <c r="E2588" s="218" t="s">
        <v>1839</v>
      </c>
      <c r="F2588" s="218" t="s">
        <v>1840</v>
      </c>
      <c r="G2588" s="218" t="s">
        <v>1841</v>
      </c>
    </row>
    <row r="2589" spans="1:7" x14ac:dyDescent="0.15">
      <c r="A2589" s="218" t="s">
        <v>6479</v>
      </c>
      <c r="B2589" s="218" t="s">
        <v>6480</v>
      </c>
      <c r="C2589" s="218" t="s">
        <v>3534</v>
      </c>
      <c r="D2589" s="218" t="s">
        <v>6481</v>
      </c>
      <c r="E2589" s="218" t="s">
        <v>1935</v>
      </c>
      <c r="F2589" s="218" t="s">
        <v>1840</v>
      </c>
      <c r="G2589" s="218" t="s">
        <v>1841</v>
      </c>
    </row>
    <row r="2590" spans="1:7" x14ac:dyDescent="0.15">
      <c r="A2590" s="218" t="s">
        <v>6485</v>
      </c>
      <c r="B2590" s="218" t="s">
        <v>6486</v>
      </c>
      <c r="C2590" s="218" t="s">
        <v>3534</v>
      </c>
      <c r="D2590" s="218" t="s">
        <v>6487</v>
      </c>
      <c r="E2590" s="218" t="s">
        <v>1839</v>
      </c>
      <c r="F2590" s="218" t="s">
        <v>1840</v>
      </c>
      <c r="G2590" s="218" t="s">
        <v>1841</v>
      </c>
    </row>
    <row r="2591" spans="1:7" x14ac:dyDescent="0.15">
      <c r="A2591" s="218" t="s">
        <v>6488</v>
      </c>
      <c r="B2591" s="218" t="s">
        <v>6489</v>
      </c>
      <c r="C2591" s="218" t="s">
        <v>3534</v>
      </c>
      <c r="D2591" s="218" t="s">
        <v>6490</v>
      </c>
      <c r="E2591" s="218" t="s">
        <v>1839</v>
      </c>
      <c r="F2591" s="218" t="s">
        <v>1840</v>
      </c>
      <c r="G2591" s="218" t="s">
        <v>1841</v>
      </c>
    </row>
    <row r="2592" spans="1:7" x14ac:dyDescent="0.15">
      <c r="A2592" s="218" t="s">
        <v>11322</v>
      </c>
      <c r="B2592" s="218" t="s">
        <v>11323</v>
      </c>
      <c r="C2592" s="218" t="s">
        <v>3534</v>
      </c>
      <c r="D2592" s="218" t="s">
        <v>1713</v>
      </c>
      <c r="E2592" s="218" t="s">
        <v>1935</v>
      </c>
      <c r="F2592" s="218" t="s">
        <v>1840</v>
      </c>
      <c r="G2592" s="218" t="s">
        <v>1841</v>
      </c>
    </row>
    <row r="2593" spans="1:7" x14ac:dyDescent="0.15">
      <c r="A2593" s="218" t="s">
        <v>6491</v>
      </c>
      <c r="B2593" s="218" t="s">
        <v>6492</v>
      </c>
      <c r="C2593" s="218" t="s">
        <v>3534</v>
      </c>
      <c r="D2593" s="218" t="s">
        <v>6493</v>
      </c>
      <c r="E2593" s="218" t="s">
        <v>1839</v>
      </c>
      <c r="F2593" s="218" t="s">
        <v>1840</v>
      </c>
      <c r="G2593" s="218" t="s">
        <v>1841</v>
      </c>
    </row>
    <row r="2594" spans="1:7" x14ac:dyDescent="0.15">
      <c r="A2594" s="218" t="s">
        <v>6494</v>
      </c>
      <c r="B2594" s="218" t="s">
        <v>6495</v>
      </c>
      <c r="C2594" s="218" t="s">
        <v>3534</v>
      </c>
      <c r="D2594" s="218" t="s">
        <v>6496</v>
      </c>
      <c r="E2594" s="218" t="s">
        <v>1839</v>
      </c>
      <c r="F2594" s="218" t="s">
        <v>1840</v>
      </c>
      <c r="G2594" s="218" t="s">
        <v>1841</v>
      </c>
    </row>
    <row r="2595" spans="1:7" x14ac:dyDescent="0.15">
      <c r="A2595" s="218" t="s">
        <v>6497</v>
      </c>
      <c r="B2595" s="218" t="s">
        <v>6498</v>
      </c>
      <c r="C2595" s="218" t="s">
        <v>3534</v>
      </c>
      <c r="D2595" s="218" t="s">
        <v>6499</v>
      </c>
      <c r="E2595" s="218" t="s">
        <v>1839</v>
      </c>
      <c r="F2595" s="218" t="s">
        <v>1840</v>
      </c>
      <c r="G2595" s="218" t="s">
        <v>1841</v>
      </c>
    </row>
    <row r="2596" spans="1:7" x14ac:dyDescent="0.15">
      <c r="A2596" s="218" t="s">
        <v>11324</v>
      </c>
      <c r="B2596" s="218" t="s">
        <v>11325</v>
      </c>
      <c r="C2596" s="218" t="s">
        <v>3534</v>
      </c>
      <c r="D2596" s="218" t="s">
        <v>11326</v>
      </c>
      <c r="E2596" s="218" t="s">
        <v>1839</v>
      </c>
      <c r="F2596" s="218" t="s">
        <v>1840</v>
      </c>
      <c r="G2596" s="218" t="s">
        <v>1841</v>
      </c>
    </row>
    <row r="2597" spans="1:7" x14ac:dyDescent="0.15">
      <c r="A2597" s="218" t="s">
        <v>11327</v>
      </c>
      <c r="B2597" s="218" t="s">
        <v>11328</v>
      </c>
      <c r="C2597" s="218" t="s">
        <v>3534</v>
      </c>
      <c r="D2597" s="218" t="s">
        <v>11329</v>
      </c>
      <c r="E2597" s="218" t="s">
        <v>1839</v>
      </c>
      <c r="F2597" s="218" t="s">
        <v>1840</v>
      </c>
      <c r="G2597" s="218" t="s">
        <v>1841</v>
      </c>
    </row>
    <row r="2598" spans="1:7" x14ac:dyDescent="0.15">
      <c r="A2598" s="218" t="s">
        <v>6500</v>
      </c>
      <c r="B2598" s="218" t="s">
        <v>6501</v>
      </c>
      <c r="C2598" s="218" t="s">
        <v>3534</v>
      </c>
      <c r="D2598" s="218" t="s">
        <v>6502</v>
      </c>
      <c r="E2598" s="218" t="s">
        <v>1839</v>
      </c>
      <c r="F2598" s="218" t="s">
        <v>1840</v>
      </c>
      <c r="G2598" s="218" t="s">
        <v>1841</v>
      </c>
    </row>
    <row r="2599" spans="1:7" x14ac:dyDescent="0.15">
      <c r="A2599" s="218" t="s">
        <v>11330</v>
      </c>
      <c r="B2599" s="218" t="s">
        <v>11331</v>
      </c>
      <c r="C2599" s="218" t="s">
        <v>3534</v>
      </c>
      <c r="D2599" s="218" t="s">
        <v>11332</v>
      </c>
      <c r="E2599" s="218" t="s">
        <v>1839</v>
      </c>
      <c r="F2599" s="218" t="s">
        <v>1840</v>
      </c>
      <c r="G2599" s="218" t="s">
        <v>1841</v>
      </c>
    </row>
    <row r="2600" spans="1:7" x14ac:dyDescent="0.15">
      <c r="A2600" s="218" t="s">
        <v>6503</v>
      </c>
      <c r="B2600" s="218" t="s">
        <v>6504</v>
      </c>
      <c r="C2600" s="218" t="s">
        <v>3534</v>
      </c>
      <c r="D2600" s="218" t="s">
        <v>6505</v>
      </c>
      <c r="E2600" s="218" t="s">
        <v>1839</v>
      </c>
      <c r="F2600" s="218" t="s">
        <v>1840</v>
      </c>
      <c r="G2600" s="218" t="s">
        <v>1841</v>
      </c>
    </row>
    <row r="2601" spans="1:7" x14ac:dyDescent="0.15">
      <c r="A2601" s="218" t="s">
        <v>6506</v>
      </c>
      <c r="B2601" s="218" t="s">
        <v>6507</v>
      </c>
      <c r="C2601" s="218" t="s">
        <v>3534</v>
      </c>
      <c r="D2601" s="218" t="s">
        <v>6508</v>
      </c>
      <c r="E2601" s="218" t="s">
        <v>1839</v>
      </c>
      <c r="F2601" s="218" t="s">
        <v>1840</v>
      </c>
      <c r="G2601" s="218" t="s">
        <v>1841</v>
      </c>
    </row>
    <row r="2602" spans="1:7" x14ac:dyDescent="0.15">
      <c r="A2602" s="218" t="s">
        <v>11333</v>
      </c>
      <c r="B2602" s="218" t="s">
        <v>11334</v>
      </c>
      <c r="C2602" s="218" t="s">
        <v>3534</v>
      </c>
      <c r="D2602" s="218" t="s">
        <v>11335</v>
      </c>
      <c r="E2602" s="218" t="s">
        <v>1839</v>
      </c>
      <c r="F2602" s="218" t="s">
        <v>1840</v>
      </c>
      <c r="G2602" s="218" t="s">
        <v>1841</v>
      </c>
    </row>
    <row r="2603" spans="1:7" x14ac:dyDescent="0.15">
      <c r="A2603" s="218" t="s">
        <v>11336</v>
      </c>
      <c r="B2603" s="218" t="s">
        <v>877</v>
      </c>
      <c r="C2603" s="218" t="s">
        <v>3534</v>
      </c>
      <c r="D2603" s="218" t="s">
        <v>878</v>
      </c>
      <c r="E2603" s="218" t="s">
        <v>1839</v>
      </c>
      <c r="F2603" s="218" t="s">
        <v>1840</v>
      </c>
      <c r="G2603" s="218" t="s">
        <v>1841</v>
      </c>
    </row>
    <row r="2604" spans="1:7" x14ac:dyDescent="0.15">
      <c r="A2604" s="218" t="s">
        <v>11337</v>
      </c>
      <c r="B2604" s="218" t="s">
        <v>11338</v>
      </c>
      <c r="C2604" s="218" t="s">
        <v>3534</v>
      </c>
      <c r="D2604" s="218" t="s">
        <v>11339</v>
      </c>
      <c r="E2604" s="218" t="s">
        <v>1839</v>
      </c>
      <c r="F2604" s="218" t="s">
        <v>1840</v>
      </c>
      <c r="G2604" s="218" t="s">
        <v>1841</v>
      </c>
    </row>
    <row r="2605" spans="1:7" x14ac:dyDescent="0.15">
      <c r="A2605" s="218" t="s">
        <v>11340</v>
      </c>
      <c r="B2605" s="218" t="s">
        <v>11341</v>
      </c>
      <c r="C2605" s="218" t="s">
        <v>3534</v>
      </c>
      <c r="D2605" s="218" t="s">
        <v>11342</v>
      </c>
      <c r="E2605" s="218" t="s">
        <v>1839</v>
      </c>
      <c r="F2605" s="218" t="s">
        <v>1840</v>
      </c>
      <c r="G2605" s="218" t="s">
        <v>1841</v>
      </c>
    </row>
    <row r="2606" spans="1:7" x14ac:dyDescent="0.15">
      <c r="A2606" s="218" t="s">
        <v>11812</v>
      </c>
      <c r="B2606" s="218" t="s">
        <v>11813</v>
      </c>
      <c r="C2606" s="218" t="s">
        <v>3534</v>
      </c>
      <c r="D2606" s="218" t="s">
        <v>11814</v>
      </c>
      <c r="E2606" s="218" t="s">
        <v>1839</v>
      </c>
      <c r="F2606" s="218" t="s">
        <v>1840</v>
      </c>
      <c r="G2606" s="218" t="s">
        <v>1841</v>
      </c>
    </row>
    <row r="2607" spans="1:7" x14ac:dyDescent="0.15">
      <c r="A2607" s="218" t="s">
        <v>11343</v>
      </c>
      <c r="B2607" s="218" t="s">
        <v>11344</v>
      </c>
      <c r="C2607" s="218" t="s">
        <v>3534</v>
      </c>
      <c r="D2607" s="218" t="s">
        <v>11345</v>
      </c>
      <c r="E2607" s="218" t="s">
        <v>1839</v>
      </c>
      <c r="F2607" s="218" t="s">
        <v>1840</v>
      </c>
      <c r="G2607" s="218" t="s">
        <v>1841</v>
      </c>
    </row>
    <row r="2608" spans="1:7" x14ac:dyDescent="0.15">
      <c r="A2608" s="218" t="s">
        <v>6512</v>
      </c>
      <c r="B2608" s="218" t="s">
        <v>6513</v>
      </c>
      <c r="C2608" s="218" t="s">
        <v>3534</v>
      </c>
      <c r="D2608" s="218" t="s">
        <v>6514</v>
      </c>
      <c r="E2608" s="218" t="s">
        <v>1839</v>
      </c>
      <c r="F2608" s="218" t="s">
        <v>1840</v>
      </c>
      <c r="G2608" s="218" t="s">
        <v>1841</v>
      </c>
    </row>
    <row r="2609" spans="1:7" x14ac:dyDescent="0.15">
      <c r="A2609" s="218" t="s">
        <v>6515</v>
      </c>
      <c r="B2609" s="218" t="s">
        <v>6516</v>
      </c>
      <c r="C2609" s="218" t="s">
        <v>3534</v>
      </c>
      <c r="D2609" s="218" t="s">
        <v>6517</v>
      </c>
      <c r="E2609" s="218" t="s">
        <v>1839</v>
      </c>
      <c r="F2609" s="218" t="s">
        <v>1840</v>
      </c>
      <c r="G2609" s="218" t="s">
        <v>1841</v>
      </c>
    </row>
    <row r="2610" spans="1:7" x14ac:dyDescent="0.15">
      <c r="A2610" s="218" t="s">
        <v>6518</v>
      </c>
      <c r="B2610" s="218" t="s">
        <v>6519</v>
      </c>
      <c r="C2610" s="218" t="s">
        <v>3534</v>
      </c>
      <c r="D2610" s="218" t="s">
        <v>6520</v>
      </c>
      <c r="E2610" s="218" t="s">
        <v>1839</v>
      </c>
      <c r="F2610" s="218" t="s">
        <v>1840</v>
      </c>
      <c r="G2610" s="218" t="s">
        <v>1841</v>
      </c>
    </row>
    <row r="2611" spans="1:7" x14ac:dyDescent="0.15">
      <c r="A2611" s="218" t="s">
        <v>11346</v>
      </c>
      <c r="B2611" s="218" t="s">
        <v>1429</v>
      </c>
      <c r="C2611" s="218" t="s">
        <v>3534</v>
      </c>
      <c r="D2611" s="218" t="s">
        <v>1430</v>
      </c>
      <c r="E2611" s="218" t="s">
        <v>1839</v>
      </c>
      <c r="F2611" s="218" t="s">
        <v>1840</v>
      </c>
      <c r="G2611" s="218" t="s">
        <v>1841</v>
      </c>
    </row>
    <row r="2612" spans="1:7" x14ac:dyDescent="0.15">
      <c r="A2612" s="218" t="s">
        <v>6521</v>
      </c>
      <c r="B2612" s="218" t="s">
        <v>6522</v>
      </c>
      <c r="C2612" s="218" t="s">
        <v>3534</v>
      </c>
      <c r="D2612" s="218" t="s">
        <v>6523</v>
      </c>
      <c r="E2612" s="218" t="s">
        <v>1839</v>
      </c>
      <c r="F2612" s="218" t="s">
        <v>1840</v>
      </c>
      <c r="G2612" s="218" t="s">
        <v>1841</v>
      </c>
    </row>
    <row r="2613" spans="1:7" x14ac:dyDescent="0.15">
      <c r="A2613" s="218" t="s">
        <v>6524</v>
      </c>
      <c r="B2613" s="218" t="s">
        <v>6525</v>
      </c>
      <c r="C2613" s="218" t="s">
        <v>3534</v>
      </c>
      <c r="D2613" s="218" t="s">
        <v>6526</v>
      </c>
      <c r="E2613" s="218" t="s">
        <v>1839</v>
      </c>
      <c r="F2613" s="218" t="s">
        <v>1840</v>
      </c>
      <c r="G2613" s="218" t="s">
        <v>1841</v>
      </c>
    </row>
    <row r="2614" spans="1:7" x14ac:dyDescent="0.15">
      <c r="A2614" s="218" t="s">
        <v>11347</v>
      </c>
      <c r="B2614" s="218" t="s">
        <v>11348</v>
      </c>
      <c r="C2614" s="218" t="s">
        <v>3534</v>
      </c>
      <c r="D2614" s="218" t="s">
        <v>11349</v>
      </c>
      <c r="E2614" s="218" t="s">
        <v>1839</v>
      </c>
      <c r="F2614" s="218" t="s">
        <v>1840</v>
      </c>
      <c r="G2614" s="218" t="s">
        <v>1841</v>
      </c>
    </row>
    <row r="2615" spans="1:7" x14ac:dyDescent="0.15">
      <c r="A2615" s="218" t="s">
        <v>6527</v>
      </c>
      <c r="B2615" s="218" t="s">
        <v>6528</v>
      </c>
      <c r="C2615" s="218" t="s">
        <v>3534</v>
      </c>
      <c r="D2615" s="218" t="s">
        <v>6529</v>
      </c>
      <c r="E2615" s="218" t="s">
        <v>1839</v>
      </c>
      <c r="F2615" s="218" t="s">
        <v>1840</v>
      </c>
      <c r="G2615" s="218" t="s">
        <v>1841</v>
      </c>
    </row>
    <row r="2616" spans="1:7" x14ac:dyDescent="0.15">
      <c r="A2616" s="218" t="s">
        <v>11350</v>
      </c>
      <c r="B2616" s="218" t="s">
        <v>11351</v>
      </c>
      <c r="C2616" s="218" t="s">
        <v>3534</v>
      </c>
      <c r="D2616" s="218" t="s">
        <v>11352</v>
      </c>
      <c r="E2616" s="218" t="s">
        <v>1839</v>
      </c>
      <c r="F2616" s="218" t="s">
        <v>1840</v>
      </c>
      <c r="G2616" s="218" t="s">
        <v>1841</v>
      </c>
    </row>
    <row r="2617" spans="1:7" x14ac:dyDescent="0.15">
      <c r="A2617" s="218" t="s">
        <v>6530</v>
      </c>
      <c r="B2617" s="218" t="s">
        <v>6531</v>
      </c>
      <c r="C2617" s="218" t="s">
        <v>3534</v>
      </c>
      <c r="D2617" s="218" t="s">
        <v>6532</v>
      </c>
      <c r="E2617" s="218" t="s">
        <v>1839</v>
      </c>
      <c r="F2617" s="218" t="s">
        <v>1840</v>
      </c>
      <c r="G2617" s="218" t="s">
        <v>1841</v>
      </c>
    </row>
    <row r="2618" spans="1:7" x14ac:dyDescent="0.15">
      <c r="A2618" s="218" t="s">
        <v>11353</v>
      </c>
      <c r="B2618" s="218" t="s">
        <v>1734</v>
      </c>
      <c r="C2618" s="218" t="s">
        <v>3534</v>
      </c>
      <c r="D2618" s="218" t="s">
        <v>1735</v>
      </c>
      <c r="E2618" s="218" t="s">
        <v>1839</v>
      </c>
      <c r="F2618" s="218" t="s">
        <v>1840</v>
      </c>
      <c r="G2618" s="218" t="s">
        <v>1841</v>
      </c>
    </row>
    <row r="2619" spans="1:7" x14ac:dyDescent="0.15">
      <c r="A2619" s="218" t="s">
        <v>6536</v>
      </c>
      <c r="B2619" s="218" t="s">
        <v>6537</v>
      </c>
      <c r="C2619" s="218" t="s">
        <v>3534</v>
      </c>
      <c r="D2619" s="218" t="s">
        <v>6538</v>
      </c>
      <c r="E2619" s="218" t="s">
        <v>1839</v>
      </c>
      <c r="F2619" s="218" t="s">
        <v>1840</v>
      </c>
      <c r="G2619" s="218" t="s">
        <v>1841</v>
      </c>
    </row>
    <row r="2620" spans="1:7" x14ac:dyDescent="0.15">
      <c r="A2620" s="218" t="s">
        <v>6539</v>
      </c>
      <c r="B2620" s="218" t="s">
        <v>6540</v>
      </c>
      <c r="C2620" s="218" t="s">
        <v>3534</v>
      </c>
      <c r="D2620" s="218" t="s">
        <v>6541</v>
      </c>
      <c r="E2620" s="218" t="s">
        <v>1839</v>
      </c>
      <c r="F2620" s="218" t="s">
        <v>1840</v>
      </c>
      <c r="G2620" s="218" t="s">
        <v>1841</v>
      </c>
    </row>
    <row r="2621" spans="1:7" x14ac:dyDescent="0.15">
      <c r="A2621" s="218" t="s">
        <v>11354</v>
      </c>
      <c r="B2621" s="218" t="s">
        <v>1587</v>
      </c>
      <c r="C2621" s="218" t="s">
        <v>3534</v>
      </c>
      <c r="D2621" s="218" t="s">
        <v>1588</v>
      </c>
      <c r="E2621" s="218" t="s">
        <v>1839</v>
      </c>
      <c r="F2621" s="218" t="s">
        <v>1840</v>
      </c>
      <c r="G2621" s="218" t="s">
        <v>1841</v>
      </c>
    </row>
    <row r="2622" spans="1:7" x14ac:dyDescent="0.15">
      <c r="A2622" s="218" t="s">
        <v>11355</v>
      </c>
      <c r="B2622" s="218" t="s">
        <v>11356</v>
      </c>
      <c r="C2622" s="218" t="s">
        <v>3534</v>
      </c>
      <c r="D2622" s="218" t="s">
        <v>11357</v>
      </c>
      <c r="E2622" s="218" t="s">
        <v>1839</v>
      </c>
      <c r="F2622" s="218" t="s">
        <v>1840</v>
      </c>
      <c r="G2622" s="218" t="s">
        <v>1841</v>
      </c>
    </row>
    <row r="2623" spans="1:7" x14ac:dyDescent="0.15">
      <c r="A2623" s="218" t="s">
        <v>11358</v>
      </c>
      <c r="B2623" s="218" t="s">
        <v>11359</v>
      </c>
      <c r="C2623" s="218" t="s">
        <v>3534</v>
      </c>
      <c r="D2623" s="218" t="s">
        <v>11360</v>
      </c>
      <c r="E2623" s="218" t="s">
        <v>1839</v>
      </c>
      <c r="F2623" s="218" t="s">
        <v>1840</v>
      </c>
      <c r="G2623" s="218" t="s">
        <v>1841</v>
      </c>
    </row>
    <row r="2624" spans="1:7" x14ac:dyDescent="0.15">
      <c r="A2624" s="218" t="s">
        <v>11361</v>
      </c>
      <c r="B2624" s="218" t="s">
        <v>11362</v>
      </c>
      <c r="C2624" s="218" t="s">
        <v>3534</v>
      </c>
      <c r="D2624" s="218" t="s">
        <v>11363</v>
      </c>
      <c r="E2624" s="218" t="s">
        <v>1839</v>
      </c>
      <c r="F2624" s="218" t="s">
        <v>1840</v>
      </c>
      <c r="G2624" s="218" t="s">
        <v>1841</v>
      </c>
    </row>
    <row r="2625" spans="1:7" x14ac:dyDescent="0.15">
      <c r="A2625" s="218" t="s">
        <v>6542</v>
      </c>
      <c r="B2625" s="218" t="s">
        <v>6543</v>
      </c>
      <c r="C2625" s="218" t="s">
        <v>3534</v>
      </c>
      <c r="D2625" s="218" t="s">
        <v>6544</v>
      </c>
      <c r="E2625" s="218" t="s">
        <v>1839</v>
      </c>
      <c r="F2625" s="218" t="s">
        <v>1840</v>
      </c>
      <c r="G2625" s="218" t="s">
        <v>1841</v>
      </c>
    </row>
    <row r="2626" spans="1:7" x14ac:dyDescent="0.15">
      <c r="A2626" s="218" t="s">
        <v>6545</v>
      </c>
      <c r="B2626" s="218" t="s">
        <v>6546</v>
      </c>
      <c r="C2626" s="218" t="s">
        <v>3534</v>
      </c>
      <c r="D2626" s="218" t="s">
        <v>6547</v>
      </c>
      <c r="E2626" s="218" t="s">
        <v>1839</v>
      </c>
      <c r="F2626" s="218" t="s">
        <v>1840</v>
      </c>
      <c r="G2626" s="218" t="s">
        <v>1841</v>
      </c>
    </row>
    <row r="2627" spans="1:7" x14ac:dyDescent="0.15">
      <c r="A2627" s="218" t="s">
        <v>6548</v>
      </c>
      <c r="B2627" s="218" t="s">
        <v>6549</v>
      </c>
      <c r="C2627" s="218" t="s">
        <v>3534</v>
      </c>
      <c r="D2627" s="218" t="s">
        <v>6550</v>
      </c>
      <c r="E2627" s="218" t="s">
        <v>1839</v>
      </c>
      <c r="F2627" s="218" t="s">
        <v>1840</v>
      </c>
      <c r="G2627" s="218" t="s">
        <v>1841</v>
      </c>
    </row>
    <row r="2628" spans="1:7" x14ac:dyDescent="0.15">
      <c r="A2628" s="218" t="s">
        <v>6551</v>
      </c>
      <c r="B2628" s="218" t="s">
        <v>6552</v>
      </c>
      <c r="C2628" s="218" t="s">
        <v>3534</v>
      </c>
      <c r="D2628" s="218" t="s">
        <v>6553</v>
      </c>
      <c r="E2628" s="218" t="s">
        <v>1839</v>
      </c>
      <c r="F2628" s="218" t="s">
        <v>1840</v>
      </c>
      <c r="G2628" s="218" t="s">
        <v>1841</v>
      </c>
    </row>
    <row r="2629" spans="1:7" x14ac:dyDescent="0.15">
      <c r="A2629" s="218" t="s">
        <v>6554</v>
      </c>
      <c r="B2629" s="218" t="s">
        <v>6555</v>
      </c>
      <c r="C2629" s="218" t="s">
        <v>3534</v>
      </c>
      <c r="D2629" s="218" t="s">
        <v>6556</v>
      </c>
      <c r="E2629" s="218" t="s">
        <v>1839</v>
      </c>
      <c r="F2629" s="218" t="s">
        <v>1840</v>
      </c>
      <c r="G2629" s="218" t="s">
        <v>1841</v>
      </c>
    </row>
    <row r="2630" spans="1:7" x14ac:dyDescent="0.15">
      <c r="A2630" s="218" t="s">
        <v>6557</v>
      </c>
      <c r="B2630" s="218" t="s">
        <v>6558</v>
      </c>
      <c r="C2630" s="218" t="s">
        <v>3534</v>
      </c>
      <c r="D2630" s="218" t="s">
        <v>6559</v>
      </c>
      <c r="E2630" s="218" t="s">
        <v>1839</v>
      </c>
      <c r="F2630" s="218" t="s">
        <v>1840</v>
      </c>
      <c r="G2630" s="218" t="s">
        <v>1841</v>
      </c>
    </row>
    <row r="2631" spans="1:7" x14ac:dyDescent="0.15">
      <c r="A2631" s="218" t="s">
        <v>11364</v>
      </c>
      <c r="B2631" s="218" t="s">
        <v>955</v>
      </c>
      <c r="C2631" s="218" t="s">
        <v>3534</v>
      </c>
      <c r="D2631" s="218" t="s">
        <v>956</v>
      </c>
      <c r="E2631" s="218" t="s">
        <v>1839</v>
      </c>
      <c r="F2631" s="218" t="s">
        <v>1840</v>
      </c>
      <c r="G2631" s="218" t="s">
        <v>1841</v>
      </c>
    </row>
    <row r="2632" spans="1:7" x14ac:dyDescent="0.15">
      <c r="A2632" s="218" t="s">
        <v>11365</v>
      </c>
      <c r="B2632" s="218" t="s">
        <v>11366</v>
      </c>
      <c r="C2632" s="218" t="s">
        <v>3534</v>
      </c>
      <c r="D2632" s="218" t="s">
        <v>11367</v>
      </c>
      <c r="E2632" s="218" t="s">
        <v>1839</v>
      </c>
      <c r="F2632" s="218" t="s">
        <v>1840</v>
      </c>
      <c r="G2632" s="218" t="s">
        <v>1841</v>
      </c>
    </row>
    <row r="2633" spans="1:7" x14ac:dyDescent="0.15">
      <c r="A2633" s="218" t="s">
        <v>11368</v>
      </c>
      <c r="B2633" s="218" t="s">
        <v>961</v>
      </c>
      <c r="C2633" s="218" t="s">
        <v>3534</v>
      </c>
      <c r="D2633" s="218" t="s">
        <v>962</v>
      </c>
      <c r="E2633" s="218" t="s">
        <v>1839</v>
      </c>
      <c r="F2633" s="218" t="s">
        <v>1840</v>
      </c>
      <c r="G2633" s="218" t="s">
        <v>1841</v>
      </c>
    </row>
    <row r="2634" spans="1:7" x14ac:dyDescent="0.15">
      <c r="A2634" s="218" t="s">
        <v>6560</v>
      </c>
      <c r="B2634" s="218" t="s">
        <v>6561</v>
      </c>
      <c r="C2634" s="218" t="s">
        <v>3534</v>
      </c>
      <c r="D2634" s="218" t="s">
        <v>6562</v>
      </c>
      <c r="E2634" s="218" t="s">
        <v>1839</v>
      </c>
      <c r="F2634" s="218" t="s">
        <v>1840</v>
      </c>
      <c r="G2634" s="218" t="s">
        <v>1841</v>
      </c>
    </row>
    <row r="2635" spans="1:7" x14ac:dyDescent="0.15">
      <c r="A2635" s="218" t="s">
        <v>11369</v>
      </c>
      <c r="B2635" s="218" t="s">
        <v>11370</v>
      </c>
      <c r="C2635" s="218" t="s">
        <v>3534</v>
      </c>
      <c r="D2635" s="218" t="s">
        <v>11371</v>
      </c>
      <c r="E2635" s="218" t="s">
        <v>1839</v>
      </c>
      <c r="F2635" s="218" t="s">
        <v>1840</v>
      </c>
      <c r="G2635" s="218" t="s">
        <v>1841</v>
      </c>
    </row>
    <row r="2636" spans="1:7" x14ac:dyDescent="0.15">
      <c r="A2636" s="218" t="s">
        <v>11372</v>
      </c>
      <c r="B2636" s="218" t="s">
        <v>11373</v>
      </c>
      <c r="C2636" s="218" t="s">
        <v>3534</v>
      </c>
      <c r="D2636" s="218" t="s">
        <v>11374</v>
      </c>
      <c r="E2636" s="218" t="s">
        <v>1839</v>
      </c>
      <c r="F2636" s="218" t="s">
        <v>1840</v>
      </c>
      <c r="G2636" s="218" t="s">
        <v>1841</v>
      </c>
    </row>
    <row r="2637" spans="1:7" x14ac:dyDescent="0.15">
      <c r="A2637" s="218" t="s">
        <v>6563</v>
      </c>
      <c r="B2637" s="218" t="s">
        <v>6564</v>
      </c>
      <c r="C2637" s="218" t="s">
        <v>3534</v>
      </c>
      <c r="D2637" s="218" t="s">
        <v>6565</v>
      </c>
      <c r="E2637" s="218" t="s">
        <v>1839</v>
      </c>
      <c r="F2637" s="218" t="s">
        <v>1840</v>
      </c>
      <c r="G2637" s="218" t="s">
        <v>1841</v>
      </c>
    </row>
    <row r="2638" spans="1:7" x14ac:dyDescent="0.15">
      <c r="A2638" s="218" t="s">
        <v>11375</v>
      </c>
      <c r="B2638" s="218" t="s">
        <v>11376</v>
      </c>
      <c r="C2638" s="218" t="s">
        <v>3534</v>
      </c>
      <c r="D2638" s="218" t="s">
        <v>11377</v>
      </c>
      <c r="E2638" s="218" t="s">
        <v>1839</v>
      </c>
      <c r="F2638" s="218" t="s">
        <v>1840</v>
      </c>
      <c r="G2638" s="218" t="s">
        <v>1841</v>
      </c>
    </row>
    <row r="2639" spans="1:7" x14ac:dyDescent="0.15">
      <c r="A2639" s="218" t="s">
        <v>11378</v>
      </c>
      <c r="B2639" s="218" t="s">
        <v>11379</v>
      </c>
      <c r="C2639" s="218" t="s">
        <v>3534</v>
      </c>
      <c r="D2639" s="218" t="s">
        <v>11380</v>
      </c>
      <c r="E2639" s="218" t="s">
        <v>1839</v>
      </c>
      <c r="F2639" s="218" t="s">
        <v>1840</v>
      </c>
      <c r="G2639" s="218" t="s">
        <v>1841</v>
      </c>
    </row>
    <row r="2640" spans="1:7" x14ac:dyDescent="0.15">
      <c r="A2640" s="218" t="s">
        <v>6566</v>
      </c>
      <c r="B2640" s="218" t="s">
        <v>6567</v>
      </c>
      <c r="C2640" s="218" t="s">
        <v>3534</v>
      </c>
      <c r="D2640" s="218" t="s">
        <v>6568</v>
      </c>
      <c r="E2640" s="218" t="s">
        <v>1839</v>
      </c>
      <c r="F2640" s="218" t="s">
        <v>1840</v>
      </c>
      <c r="G2640" s="218" t="s">
        <v>1841</v>
      </c>
    </row>
    <row r="2641" spans="1:7" x14ac:dyDescent="0.15">
      <c r="A2641" s="218" t="s">
        <v>6569</v>
      </c>
      <c r="B2641" s="218" t="s">
        <v>6570</v>
      </c>
      <c r="C2641" s="218" t="s">
        <v>3534</v>
      </c>
      <c r="D2641" s="218" t="s">
        <v>6571</v>
      </c>
      <c r="E2641" s="218" t="s">
        <v>1839</v>
      </c>
      <c r="F2641" s="218" t="s">
        <v>1840</v>
      </c>
      <c r="G2641" s="218" t="s">
        <v>1841</v>
      </c>
    </row>
    <row r="2642" spans="1:7" x14ac:dyDescent="0.15">
      <c r="A2642" s="218" t="s">
        <v>11381</v>
      </c>
      <c r="B2642" s="218" t="s">
        <v>11382</v>
      </c>
      <c r="C2642" s="218" t="s">
        <v>3534</v>
      </c>
      <c r="D2642" s="218" t="s">
        <v>11383</v>
      </c>
      <c r="E2642" s="218" t="s">
        <v>1839</v>
      </c>
      <c r="F2642" s="218" t="s">
        <v>1840</v>
      </c>
      <c r="G2642" s="218" t="s">
        <v>1841</v>
      </c>
    </row>
    <row r="2643" spans="1:7" x14ac:dyDescent="0.15">
      <c r="A2643" s="218" t="s">
        <v>6572</v>
      </c>
      <c r="B2643" s="218" t="s">
        <v>6573</v>
      </c>
      <c r="C2643" s="218" t="s">
        <v>3534</v>
      </c>
      <c r="D2643" s="218" t="s">
        <v>6574</v>
      </c>
      <c r="E2643" s="218" t="s">
        <v>1839</v>
      </c>
      <c r="F2643" s="218" t="s">
        <v>1840</v>
      </c>
      <c r="G2643" s="218" t="s">
        <v>1841</v>
      </c>
    </row>
    <row r="2644" spans="1:7" x14ac:dyDescent="0.15">
      <c r="A2644" s="218" t="s">
        <v>6575</v>
      </c>
      <c r="B2644" s="218" t="s">
        <v>6576</v>
      </c>
      <c r="C2644" s="218" t="s">
        <v>3534</v>
      </c>
      <c r="D2644" s="218" t="s">
        <v>6577</v>
      </c>
      <c r="E2644" s="218" t="s">
        <v>1839</v>
      </c>
      <c r="F2644" s="218" t="s">
        <v>1840</v>
      </c>
      <c r="G2644" s="218" t="s">
        <v>1841</v>
      </c>
    </row>
    <row r="2645" spans="1:7" x14ac:dyDescent="0.15">
      <c r="A2645" s="218" t="s">
        <v>6578</v>
      </c>
      <c r="B2645" s="218" t="s">
        <v>6579</v>
      </c>
      <c r="C2645" s="218" t="s">
        <v>3534</v>
      </c>
      <c r="D2645" s="218" t="s">
        <v>6580</v>
      </c>
      <c r="E2645" s="218" t="s">
        <v>1839</v>
      </c>
      <c r="F2645" s="218" t="s">
        <v>1840</v>
      </c>
      <c r="G2645" s="218" t="s">
        <v>1841</v>
      </c>
    </row>
    <row r="2646" spans="1:7" x14ac:dyDescent="0.15">
      <c r="A2646" s="218" t="s">
        <v>11384</v>
      </c>
      <c r="B2646" s="218" t="s">
        <v>11385</v>
      </c>
      <c r="C2646" s="218" t="s">
        <v>3534</v>
      </c>
      <c r="D2646" s="218" t="s">
        <v>6581</v>
      </c>
      <c r="E2646" s="218" t="s">
        <v>1839</v>
      </c>
      <c r="F2646" s="218" t="s">
        <v>1840</v>
      </c>
      <c r="G2646" s="218" t="s">
        <v>1841</v>
      </c>
    </row>
    <row r="2647" spans="1:7" x14ac:dyDescent="0.15">
      <c r="A2647" s="218" t="s">
        <v>6582</v>
      </c>
      <c r="B2647" s="218" t="s">
        <v>6583</v>
      </c>
      <c r="C2647" s="218" t="s">
        <v>3534</v>
      </c>
      <c r="D2647" s="218" t="s">
        <v>6584</v>
      </c>
      <c r="E2647" s="218" t="s">
        <v>1839</v>
      </c>
      <c r="F2647" s="218" t="s">
        <v>1840</v>
      </c>
      <c r="G2647" s="218" t="s">
        <v>1841</v>
      </c>
    </row>
    <row r="2648" spans="1:7" x14ac:dyDescent="0.15">
      <c r="A2648" s="218" t="s">
        <v>11386</v>
      </c>
      <c r="B2648" s="218" t="s">
        <v>11387</v>
      </c>
      <c r="C2648" s="218" t="s">
        <v>3534</v>
      </c>
      <c r="D2648" s="218" t="s">
        <v>11388</v>
      </c>
      <c r="E2648" s="218" t="s">
        <v>1839</v>
      </c>
      <c r="F2648" s="218" t="s">
        <v>1840</v>
      </c>
      <c r="G2648" s="218" t="s">
        <v>1841</v>
      </c>
    </row>
    <row r="2649" spans="1:7" x14ac:dyDescent="0.15">
      <c r="A2649" s="218" t="s">
        <v>6585</v>
      </c>
      <c r="B2649" s="218" t="s">
        <v>6586</v>
      </c>
      <c r="C2649" s="218" t="s">
        <v>3534</v>
      </c>
      <c r="D2649" s="218" t="s">
        <v>6587</v>
      </c>
      <c r="E2649" s="218" t="s">
        <v>1839</v>
      </c>
      <c r="F2649" s="218" t="s">
        <v>1840</v>
      </c>
      <c r="G2649" s="218" t="s">
        <v>1841</v>
      </c>
    </row>
    <row r="2650" spans="1:7" x14ac:dyDescent="0.15">
      <c r="A2650" s="218" t="s">
        <v>6591</v>
      </c>
      <c r="B2650" s="218" t="s">
        <v>6592</v>
      </c>
      <c r="C2650" s="218" t="s">
        <v>3534</v>
      </c>
      <c r="D2650" s="218" t="s">
        <v>6593</v>
      </c>
      <c r="E2650" s="218" t="s">
        <v>1839</v>
      </c>
      <c r="F2650" s="218" t="s">
        <v>1840</v>
      </c>
      <c r="G2650" s="218" t="s">
        <v>1841</v>
      </c>
    </row>
    <row r="2651" spans="1:7" x14ac:dyDescent="0.15">
      <c r="A2651" s="218" t="s">
        <v>6594</v>
      </c>
      <c r="B2651" s="218" t="s">
        <v>6595</v>
      </c>
      <c r="C2651" s="218" t="s">
        <v>3534</v>
      </c>
      <c r="D2651" s="218" t="s">
        <v>6596</v>
      </c>
      <c r="E2651" s="218" t="s">
        <v>1839</v>
      </c>
      <c r="F2651" s="218" t="s">
        <v>1840</v>
      </c>
      <c r="G2651" s="218" t="s">
        <v>1841</v>
      </c>
    </row>
    <row r="2652" spans="1:7" x14ac:dyDescent="0.15">
      <c r="A2652" s="218" t="s">
        <v>6597</v>
      </c>
      <c r="B2652" s="218" t="s">
        <v>6598</v>
      </c>
      <c r="C2652" s="218" t="s">
        <v>3534</v>
      </c>
      <c r="D2652" s="218" t="s">
        <v>6599</v>
      </c>
      <c r="E2652" s="218" t="s">
        <v>1839</v>
      </c>
      <c r="F2652" s="218" t="s">
        <v>1840</v>
      </c>
      <c r="G2652" s="218" t="s">
        <v>1841</v>
      </c>
    </row>
    <row r="2653" spans="1:7" x14ac:dyDescent="0.15">
      <c r="A2653" s="218" t="s">
        <v>11389</v>
      </c>
      <c r="B2653" s="218" t="s">
        <v>11390</v>
      </c>
      <c r="C2653" s="218" t="s">
        <v>3534</v>
      </c>
      <c r="D2653" s="218" t="s">
        <v>11391</v>
      </c>
      <c r="E2653" s="218" t="s">
        <v>1839</v>
      </c>
      <c r="F2653" s="218" t="s">
        <v>1840</v>
      </c>
      <c r="G2653" s="218" t="s">
        <v>1841</v>
      </c>
    </row>
    <row r="2654" spans="1:7" x14ac:dyDescent="0.15">
      <c r="A2654" s="218" t="s">
        <v>11392</v>
      </c>
      <c r="B2654" s="218" t="s">
        <v>889</v>
      </c>
      <c r="C2654" s="218" t="s">
        <v>3534</v>
      </c>
      <c r="D2654" s="218" t="s">
        <v>890</v>
      </c>
      <c r="E2654" s="218" t="s">
        <v>1839</v>
      </c>
      <c r="F2654" s="218" t="s">
        <v>1840</v>
      </c>
      <c r="G2654" s="218" t="s">
        <v>1841</v>
      </c>
    </row>
    <row r="2655" spans="1:7" x14ac:dyDescent="0.15">
      <c r="A2655" s="218" t="s">
        <v>11393</v>
      </c>
      <c r="B2655" s="218" t="s">
        <v>11394</v>
      </c>
      <c r="C2655" s="218" t="s">
        <v>3534</v>
      </c>
      <c r="D2655" s="218" t="s">
        <v>11395</v>
      </c>
      <c r="E2655" s="218" t="s">
        <v>1935</v>
      </c>
      <c r="F2655" s="218" t="s">
        <v>1840</v>
      </c>
      <c r="G2655" s="218" t="s">
        <v>1841</v>
      </c>
    </row>
    <row r="2656" spans="1:7" x14ac:dyDescent="0.15">
      <c r="A2656" s="218" t="s">
        <v>6603</v>
      </c>
      <c r="B2656" s="218" t="s">
        <v>6604</v>
      </c>
      <c r="C2656" s="218" t="s">
        <v>3534</v>
      </c>
      <c r="D2656" s="218" t="s">
        <v>6605</v>
      </c>
      <c r="E2656" s="218" t="s">
        <v>1839</v>
      </c>
      <c r="F2656" s="218" t="s">
        <v>1840</v>
      </c>
      <c r="G2656" s="218" t="s">
        <v>1841</v>
      </c>
    </row>
    <row r="2657" spans="1:7" x14ac:dyDescent="0.15">
      <c r="A2657" s="218" t="s">
        <v>11396</v>
      </c>
      <c r="B2657" s="218" t="s">
        <v>11397</v>
      </c>
      <c r="C2657" s="218" t="s">
        <v>3534</v>
      </c>
      <c r="D2657" s="218" t="s">
        <v>11398</v>
      </c>
      <c r="E2657" s="218" t="s">
        <v>1839</v>
      </c>
      <c r="F2657" s="218" t="s">
        <v>1840</v>
      </c>
      <c r="G2657" s="218" t="s">
        <v>1841</v>
      </c>
    </row>
    <row r="2658" spans="1:7" x14ac:dyDescent="0.15">
      <c r="A2658" s="218" t="s">
        <v>11399</v>
      </c>
      <c r="B2658" s="218" t="s">
        <v>1500</v>
      </c>
      <c r="C2658" s="218" t="s">
        <v>3534</v>
      </c>
      <c r="D2658" s="218" t="s">
        <v>1501</v>
      </c>
      <c r="E2658" s="218" t="s">
        <v>1839</v>
      </c>
      <c r="F2658" s="218" t="s">
        <v>1840</v>
      </c>
      <c r="G2658" s="218" t="s">
        <v>1841</v>
      </c>
    </row>
    <row r="2659" spans="1:7" x14ac:dyDescent="0.15">
      <c r="A2659" s="218" t="s">
        <v>6606</v>
      </c>
      <c r="B2659" s="218" t="s">
        <v>6607</v>
      </c>
      <c r="C2659" s="218" t="s">
        <v>3534</v>
      </c>
      <c r="D2659" s="218" t="s">
        <v>6608</v>
      </c>
      <c r="E2659" s="218" t="s">
        <v>1839</v>
      </c>
      <c r="F2659" s="218" t="s">
        <v>1840</v>
      </c>
      <c r="G2659" s="218" t="s">
        <v>1841</v>
      </c>
    </row>
    <row r="2660" spans="1:7" x14ac:dyDescent="0.15">
      <c r="A2660" s="218" t="s">
        <v>6609</v>
      </c>
      <c r="B2660" s="218" t="s">
        <v>6610</v>
      </c>
      <c r="C2660" s="218" t="s">
        <v>3534</v>
      </c>
      <c r="D2660" s="218" t="s">
        <v>6611</v>
      </c>
      <c r="E2660" s="218" t="s">
        <v>1839</v>
      </c>
      <c r="F2660" s="218" t="s">
        <v>1840</v>
      </c>
      <c r="G2660" s="218" t="s">
        <v>1841</v>
      </c>
    </row>
    <row r="2661" spans="1:7" x14ac:dyDescent="0.15">
      <c r="A2661" s="218" t="s">
        <v>11400</v>
      </c>
      <c r="B2661" s="218" t="s">
        <v>11401</v>
      </c>
      <c r="C2661" s="218" t="s">
        <v>3534</v>
      </c>
      <c r="D2661" s="218" t="s">
        <v>11402</v>
      </c>
      <c r="E2661" s="218" t="s">
        <v>1839</v>
      </c>
      <c r="F2661" s="218" t="s">
        <v>1840</v>
      </c>
      <c r="G2661" s="218" t="s">
        <v>1841</v>
      </c>
    </row>
    <row r="2662" spans="1:7" x14ac:dyDescent="0.15">
      <c r="A2662" s="218" t="s">
        <v>6612</v>
      </c>
      <c r="B2662" s="218" t="s">
        <v>6613</v>
      </c>
      <c r="C2662" s="218" t="s">
        <v>3534</v>
      </c>
      <c r="D2662" s="218" t="s">
        <v>6614</v>
      </c>
      <c r="E2662" s="218" t="s">
        <v>1839</v>
      </c>
      <c r="F2662" s="218" t="s">
        <v>1840</v>
      </c>
      <c r="G2662" s="218" t="s">
        <v>1841</v>
      </c>
    </row>
    <row r="2663" spans="1:7" x14ac:dyDescent="0.15">
      <c r="A2663" s="218" t="s">
        <v>6615</v>
      </c>
      <c r="B2663" s="218" t="s">
        <v>6616</v>
      </c>
      <c r="C2663" s="218" t="s">
        <v>3534</v>
      </c>
      <c r="D2663" s="218" t="s">
        <v>6617</v>
      </c>
      <c r="E2663" s="218" t="s">
        <v>1839</v>
      </c>
      <c r="F2663" s="218" t="s">
        <v>1840</v>
      </c>
      <c r="G2663" s="218" t="s">
        <v>1841</v>
      </c>
    </row>
    <row r="2664" spans="1:7" x14ac:dyDescent="0.15">
      <c r="A2664" s="218" t="s">
        <v>11403</v>
      </c>
      <c r="B2664" s="218" t="s">
        <v>11404</v>
      </c>
      <c r="C2664" s="218" t="s">
        <v>3534</v>
      </c>
      <c r="D2664" s="218" t="s">
        <v>11405</v>
      </c>
      <c r="E2664" s="218" t="s">
        <v>1839</v>
      </c>
      <c r="F2664" s="218" t="s">
        <v>1840</v>
      </c>
      <c r="G2664" s="218" t="s">
        <v>1841</v>
      </c>
    </row>
    <row r="2665" spans="1:7" x14ac:dyDescent="0.15">
      <c r="A2665" s="218" t="s">
        <v>6618</v>
      </c>
      <c r="B2665" s="218" t="s">
        <v>6619</v>
      </c>
      <c r="C2665" s="218" t="s">
        <v>3534</v>
      </c>
      <c r="D2665" s="218" t="s">
        <v>6620</v>
      </c>
      <c r="E2665" s="218" t="s">
        <v>1839</v>
      </c>
      <c r="F2665" s="218" t="s">
        <v>1840</v>
      </c>
      <c r="G2665" s="218" t="s">
        <v>1841</v>
      </c>
    </row>
    <row r="2666" spans="1:7" x14ac:dyDescent="0.15">
      <c r="A2666" s="218" t="s">
        <v>11406</v>
      </c>
      <c r="B2666" s="218" t="s">
        <v>11407</v>
      </c>
      <c r="C2666" s="218" t="s">
        <v>3534</v>
      </c>
      <c r="D2666" s="218" t="s">
        <v>11408</v>
      </c>
      <c r="E2666" s="218" t="s">
        <v>1839</v>
      </c>
      <c r="F2666" s="218" t="s">
        <v>1840</v>
      </c>
      <c r="G2666" s="218" t="s">
        <v>1841</v>
      </c>
    </row>
    <row r="2667" spans="1:7" x14ac:dyDescent="0.15">
      <c r="A2667" s="218" t="s">
        <v>11409</v>
      </c>
      <c r="B2667" s="218" t="s">
        <v>11410</v>
      </c>
      <c r="C2667" s="218" t="s">
        <v>3534</v>
      </c>
      <c r="D2667" s="218" t="s">
        <v>11411</v>
      </c>
      <c r="E2667" s="218" t="s">
        <v>1839</v>
      </c>
      <c r="F2667" s="218" t="s">
        <v>1840</v>
      </c>
      <c r="G2667" s="218" t="s">
        <v>1841</v>
      </c>
    </row>
    <row r="2668" spans="1:7" x14ac:dyDescent="0.15">
      <c r="A2668" s="218" t="s">
        <v>11412</v>
      </c>
      <c r="B2668" s="218" t="s">
        <v>11413</v>
      </c>
      <c r="C2668" s="218" t="s">
        <v>3534</v>
      </c>
      <c r="D2668" s="218" t="s">
        <v>11414</v>
      </c>
      <c r="E2668" s="218" t="s">
        <v>1839</v>
      </c>
      <c r="F2668" s="218" t="s">
        <v>1840</v>
      </c>
      <c r="G2668" s="218" t="s">
        <v>1841</v>
      </c>
    </row>
    <row r="2669" spans="1:7" x14ac:dyDescent="0.15">
      <c r="A2669" s="218" t="s">
        <v>6621</v>
      </c>
      <c r="B2669" s="218" t="s">
        <v>6622</v>
      </c>
      <c r="C2669" s="218" t="s">
        <v>3534</v>
      </c>
      <c r="D2669" s="218" t="s">
        <v>6623</v>
      </c>
      <c r="E2669" s="218" t="s">
        <v>1839</v>
      </c>
      <c r="F2669" s="218" t="s">
        <v>1840</v>
      </c>
      <c r="G2669" s="218" t="s">
        <v>1841</v>
      </c>
    </row>
    <row r="2670" spans="1:7" x14ac:dyDescent="0.15">
      <c r="A2670" s="218" t="s">
        <v>11415</v>
      </c>
      <c r="B2670" s="218" t="s">
        <v>842</v>
      </c>
      <c r="C2670" s="218" t="s">
        <v>3534</v>
      </c>
      <c r="D2670" s="218" t="s">
        <v>843</v>
      </c>
      <c r="E2670" s="218" t="s">
        <v>1935</v>
      </c>
      <c r="F2670" s="218" t="s">
        <v>1840</v>
      </c>
      <c r="G2670" s="218" t="s">
        <v>1841</v>
      </c>
    </row>
    <row r="2671" spans="1:7" x14ac:dyDescent="0.15">
      <c r="A2671" s="218" t="s">
        <v>6624</v>
      </c>
      <c r="B2671" s="218" t="s">
        <v>6625</v>
      </c>
      <c r="C2671" s="218" t="s">
        <v>3534</v>
      </c>
      <c r="D2671" s="218" t="s">
        <v>6626</v>
      </c>
      <c r="E2671" s="218" t="s">
        <v>1839</v>
      </c>
      <c r="F2671" s="218" t="s">
        <v>1840</v>
      </c>
      <c r="G2671" s="218" t="s">
        <v>1841</v>
      </c>
    </row>
    <row r="2672" spans="1:7" x14ac:dyDescent="0.15">
      <c r="A2672" s="218" t="s">
        <v>6627</v>
      </c>
      <c r="B2672" s="218" t="s">
        <v>6628</v>
      </c>
      <c r="C2672" s="218" t="s">
        <v>3534</v>
      </c>
      <c r="D2672" s="218" t="s">
        <v>6629</v>
      </c>
      <c r="E2672" s="218" t="s">
        <v>1839</v>
      </c>
      <c r="F2672" s="218" t="s">
        <v>1840</v>
      </c>
      <c r="G2672" s="218" t="s">
        <v>1841</v>
      </c>
    </row>
    <row r="2673" spans="1:7" x14ac:dyDescent="0.15">
      <c r="A2673" s="218" t="s">
        <v>6630</v>
      </c>
      <c r="B2673" s="218" t="s">
        <v>6631</v>
      </c>
      <c r="C2673" s="218" t="s">
        <v>3534</v>
      </c>
      <c r="D2673" s="218" t="s">
        <v>6632</v>
      </c>
      <c r="E2673" s="218" t="s">
        <v>1935</v>
      </c>
      <c r="F2673" s="218" t="s">
        <v>1840</v>
      </c>
      <c r="G2673" s="218" t="s">
        <v>1841</v>
      </c>
    </row>
    <row r="2674" spans="1:7" x14ac:dyDescent="0.15">
      <c r="A2674" s="218" t="s">
        <v>11416</v>
      </c>
      <c r="B2674" s="218" t="s">
        <v>11417</v>
      </c>
      <c r="C2674" s="218" t="s">
        <v>3534</v>
      </c>
      <c r="D2674" s="218" t="s">
        <v>11418</v>
      </c>
      <c r="E2674" s="218" t="s">
        <v>1839</v>
      </c>
      <c r="F2674" s="218" t="s">
        <v>1840</v>
      </c>
      <c r="G2674" s="218" t="s">
        <v>1841</v>
      </c>
    </row>
    <row r="2675" spans="1:7" x14ac:dyDescent="0.15">
      <c r="A2675" s="218" t="s">
        <v>6636</v>
      </c>
      <c r="B2675" s="218" t="s">
        <v>6637</v>
      </c>
      <c r="C2675" s="218" t="s">
        <v>3534</v>
      </c>
      <c r="D2675" s="218" t="s">
        <v>6638</v>
      </c>
      <c r="E2675" s="218" t="s">
        <v>1839</v>
      </c>
      <c r="F2675" s="218" t="s">
        <v>1840</v>
      </c>
      <c r="G2675" s="218" t="s">
        <v>1841</v>
      </c>
    </row>
    <row r="2676" spans="1:7" x14ac:dyDescent="0.15">
      <c r="A2676" s="218" t="s">
        <v>11419</v>
      </c>
      <c r="B2676" s="218" t="s">
        <v>11420</v>
      </c>
      <c r="C2676" s="218" t="s">
        <v>3534</v>
      </c>
      <c r="D2676" s="218" t="s">
        <v>11421</v>
      </c>
      <c r="E2676" s="218" t="s">
        <v>1839</v>
      </c>
      <c r="F2676" s="218" t="s">
        <v>1840</v>
      </c>
      <c r="G2676" s="218" t="s">
        <v>1841</v>
      </c>
    </row>
    <row r="2677" spans="1:7" x14ac:dyDescent="0.15">
      <c r="A2677" s="218" t="s">
        <v>11422</v>
      </c>
      <c r="B2677" s="218" t="s">
        <v>938</v>
      </c>
      <c r="C2677" s="218" t="s">
        <v>3534</v>
      </c>
      <c r="D2677" s="218" t="s">
        <v>939</v>
      </c>
      <c r="E2677" s="218" t="s">
        <v>1839</v>
      </c>
      <c r="F2677" s="218" t="s">
        <v>1840</v>
      </c>
      <c r="G2677" s="218" t="s">
        <v>1841</v>
      </c>
    </row>
    <row r="2678" spans="1:7" x14ac:dyDescent="0.15">
      <c r="A2678" s="218" t="s">
        <v>11423</v>
      </c>
      <c r="B2678" s="218" t="s">
        <v>11424</v>
      </c>
      <c r="C2678" s="218" t="s">
        <v>3534</v>
      </c>
      <c r="D2678" s="218" t="s">
        <v>11425</v>
      </c>
      <c r="E2678" s="218" t="s">
        <v>1839</v>
      </c>
      <c r="F2678" s="218" t="s">
        <v>1840</v>
      </c>
      <c r="G2678" s="218" t="s">
        <v>1841</v>
      </c>
    </row>
    <row r="2679" spans="1:7" x14ac:dyDescent="0.15">
      <c r="A2679" s="218" t="s">
        <v>11426</v>
      </c>
      <c r="B2679" s="218" t="s">
        <v>983</v>
      </c>
      <c r="C2679" s="218" t="s">
        <v>3534</v>
      </c>
      <c r="D2679" s="218" t="s">
        <v>984</v>
      </c>
      <c r="E2679" s="218" t="s">
        <v>1839</v>
      </c>
      <c r="F2679" s="218" t="s">
        <v>1840</v>
      </c>
      <c r="G2679" s="218" t="s">
        <v>1841</v>
      </c>
    </row>
    <row r="2680" spans="1:7" x14ac:dyDescent="0.15">
      <c r="A2680" s="218" t="s">
        <v>6639</v>
      </c>
      <c r="B2680" s="218" t="s">
        <v>6640</v>
      </c>
      <c r="C2680" s="218" t="s">
        <v>3534</v>
      </c>
      <c r="D2680" s="218" t="s">
        <v>6641</v>
      </c>
      <c r="E2680" s="218" t="s">
        <v>1839</v>
      </c>
      <c r="F2680" s="218" t="s">
        <v>1840</v>
      </c>
      <c r="G2680" s="218" t="s">
        <v>1841</v>
      </c>
    </row>
    <row r="2681" spans="1:7" x14ac:dyDescent="0.15">
      <c r="A2681" s="218" t="s">
        <v>6642</v>
      </c>
      <c r="B2681" s="218" t="s">
        <v>6643</v>
      </c>
      <c r="C2681" s="218" t="s">
        <v>3534</v>
      </c>
      <c r="D2681" s="218" t="s">
        <v>6644</v>
      </c>
      <c r="E2681" s="218" t="s">
        <v>1839</v>
      </c>
      <c r="F2681" s="218" t="s">
        <v>1840</v>
      </c>
      <c r="G2681" s="218" t="s">
        <v>1841</v>
      </c>
    </row>
    <row r="2682" spans="1:7" x14ac:dyDescent="0.15">
      <c r="A2682" s="218" t="s">
        <v>6645</v>
      </c>
      <c r="B2682" s="218" t="s">
        <v>6646</v>
      </c>
      <c r="C2682" s="218" t="s">
        <v>3534</v>
      </c>
      <c r="D2682" s="218" t="s">
        <v>6647</v>
      </c>
      <c r="E2682" s="218" t="s">
        <v>1839</v>
      </c>
      <c r="F2682" s="218" t="s">
        <v>1840</v>
      </c>
      <c r="G2682" s="218" t="s">
        <v>1841</v>
      </c>
    </row>
    <row r="2683" spans="1:7" x14ac:dyDescent="0.15">
      <c r="A2683" s="218" t="s">
        <v>6648</v>
      </c>
      <c r="B2683" s="218" t="s">
        <v>6649</v>
      </c>
      <c r="C2683" s="218" t="s">
        <v>3534</v>
      </c>
      <c r="D2683" s="218" t="s">
        <v>6647</v>
      </c>
      <c r="E2683" s="218" t="s">
        <v>1839</v>
      </c>
      <c r="F2683" s="218" t="s">
        <v>1840</v>
      </c>
      <c r="G2683" s="218" t="s">
        <v>1841</v>
      </c>
    </row>
    <row r="2684" spans="1:7" x14ac:dyDescent="0.15">
      <c r="A2684" s="218" t="s">
        <v>6650</v>
      </c>
      <c r="B2684" s="218" t="s">
        <v>6651</v>
      </c>
      <c r="C2684" s="218" t="s">
        <v>3534</v>
      </c>
      <c r="D2684" s="218" t="s">
        <v>6652</v>
      </c>
      <c r="E2684" s="218" t="s">
        <v>1839</v>
      </c>
      <c r="F2684" s="218" t="s">
        <v>1840</v>
      </c>
      <c r="G2684" s="218" t="s">
        <v>1841</v>
      </c>
    </row>
    <row r="2685" spans="1:7" x14ac:dyDescent="0.15">
      <c r="A2685" s="218" t="s">
        <v>11427</v>
      </c>
      <c r="B2685" s="218" t="s">
        <v>11428</v>
      </c>
      <c r="C2685" s="218" t="s">
        <v>3534</v>
      </c>
      <c r="D2685" s="218" t="s">
        <v>11429</v>
      </c>
      <c r="E2685" s="218" t="s">
        <v>1839</v>
      </c>
      <c r="F2685" s="218" t="s">
        <v>1840</v>
      </c>
      <c r="G2685" s="218" t="s">
        <v>1841</v>
      </c>
    </row>
    <row r="2686" spans="1:7" x14ac:dyDescent="0.15">
      <c r="A2686" s="218" t="s">
        <v>11430</v>
      </c>
      <c r="B2686" s="218" t="s">
        <v>11431</v>
      </c>
      <c r="C2686" s="218" t="s">
        <v>3534</v>
      </c>
      <c r="D2686" s="218" t="s">
        <v>11432</v>
      </c>
      <c r="E2686" s="218" t="s">
        <v>1839</v>
      </c>
      <c r="F2686" s="218" t="s">
        <v>1840</v>
      </c>
      <c r="G2686" s="218" t="s">
        <v>1841</v>
      </c>
    </row>
    <row r="2687" spans="1:7" x14ac:dyDescent="0.15">
      <c r="A2687" s="218" t="s">
        <v>11433</v>
      </c>
      <c r="B2687" s="218" t="s">
        <v>11434</v>
      </c>
      <c r="C2687" s="218" t="s">
        <v>3534</v>
      </c>
      <c r="D2687" s="218" t="s">
        <v>11432</v>
      </c>
      <c r="E2687" s="218" t="s">
        <v>1839</v>
      </c>
      <c r="F2687" s="218" t="s">
        <v>1840</v>
      </c>
      <c r="G2687" s="218" t="s">
        <v>1841</v>
      </c>
    </row>
    <row r="2688" spans="1:7" x14ac:dyDescent="0.15">
      <c r="A2688" s="218" t="s">
        <v>11435</v>
      </c>
      <c r="B2688" s="218" t="s">
        <v>1551</v>
      </c>
      <c r="C2688" s="218" t="s">
        <v>3534</v>
      </c>
      <c r="D2688" s="218" t="s">
        <v>1552</v>
      </c>
      <c r="E2688" s="218" t="s">
        <v>1839</v>
      </c>
      <c r="F2688" s="218" t="s">
        <v>1840</v>
      </c>
      <c r="G2688" s="218" t="s">
        <v>1841</v>
      </c>
    </row>
    <row r="2689" spans="1:7" x14ac:dyDescent="0.15">
      <c r="A2689" s="218" t="s">
        <v>6653</v>
      </c>
      <c r="B2689" s="218" t="s">
        <v>6654</v>
      </c>
      <c r="C2689" s="218" t="s">
        <v>3534</v>
      </c>
      <c r="D2689" s="218" t="s">
        <v>6655</v>
      </c>
      <c r="E2689" s="218" t="s">
        <v>1839</v>
      </c>
      <c r="F2689" s="218" t="s">
        <v>1840</v>
      </c>
      <c r="G2689" s="218" t="s">
        <v>1841</v>
      </c>
    </row>
    <row r="2690" spans="1:7" x14ac:dyDescent="0.15">
      <c r="A2690" s="218" t="s">
        <v>6656</v>
      </c>
      <c r="B2690" s="218" t="s">
        <v>6657</v>
      </c>
      <c r="C2690" s="218" t="s">
        <v>3534</v>
      </c>
      <c r="D2690" s="218" t="s">
        <v>6658</v>
      </c>
      <c r="E2690" s="218" t="s">
        <v>1839</v>
      </c>
      <c r="F2690" s="218" t="s">
        <v>1840</v>
      </c>
      <c r="G2690" s="218" t="s">
        <v>1841</v>
      </c>
    </row>
    <row r="2691" spans="1:7" x14ac:dyDescent="0.15">
      <c r="A2691" s="218" t="s">
        <v>11436</v>
      </c>
      <c r="B2691" s="218" t="s">
        <v>862</v>
      </c>
      <c r="C2691" s="218" t="s">
        <v>3534</v>
      </c>
      <c r="D2691" s="218" t="s">
        <v>863</v>
      </c>
      <c r="E2691" s="218" t="s">
        <v>1839</v>
      </c>
      <c r="F2691" s="218" t="s">
        <v>1840</v>
      </c>
      <c r="G2691" s="218" t="s">
        <v>1841</v>
      </c>
    </row>
    <row r="2692" spans="1:7" x14ac:dyDescent="0.15">
      <c r="A2692" s="218" t="s">
        <v>6659</v>
      </c>
      <c r="B2692" s="218" t="s">
        <v>6660</v>
      </c>
      <c r="C2692" s="218" t="s">
        <v>3534</v>
      </c>
      <c r="D2692" s="218" t="s">
        <v>6661</v>
      </c>
      <c r="E2692" s="218" t="s">
        <v>1839</v>
      </c>
      <c r="F2692" s="218" t="s">
        <v>1840</v>
      </c>
      <c r="G2692" s="218" t="s">
        <v>1841</v>
      </c>
    </row>
    <row r="2693" spans="1:7" x14ac:dyDescent="0.15">
      <c r="A2693" s="218" t="s">
        <v>6662</v>
      </c>
      <c r="B2693" s="218" t="s">
        <v>6663</v>
      </c>
      <c r="C2693" s="218" t="s">
        <v>3534</v>
      </c>
      <c r="D2693" s="218" t="s">
        <v>6664</v>
      </c>
      <c r="E2693" s="218" t="s">
        <v>1839</v>
      </c>
      <c r="F2693" s="218" t="s">
        <v>1840</v>
      </c>
      <c r="G2693" s="218" t="s">
        <v>1841</v>
      </c>
    </row>
    <row r="2694" spans="1:7" x14ac:dyDescent="0.15">
      <c r="A2694" s="218" t="s">
        <v>6665</v>
      </c>
      <c r="B2694" s="218" t="s">
        <v>6666</v>
      </c>
      <c r="C2694" s="218" t="s">
        <v>3534</v>
      </c>
      <c r="D2694" s="218" t="s">
        <v>6667</v>
      </c>
      <c r="E2694" s="218" t="s">
        <v>1839</v>
      </c>
      <c r="F2694" s="218" t="s">
        <v>1840</v>
      </c>
      <c r="G2694" s="218" t="s">
        <v>1841</v>
      </c>
    </row>
    <row r="2695" spans="1:7" x14ac:dyDescent="0.15">
      <c r="A2695" s="218" t="s">
        <v>11815</v>
      </c>
      <c r="B2695" s="218" t="s">
        <v>11816</v>
      </c>
      <c r="C2695" s="218" t="s">
        <v>3534</v>
      </c>
      <c r="D2695" s="218" t="s">
        <v>11817</v>
      </c>
      <c r="E2695" s="218" t="s">
        <v>1935</v>
      </c>
      <c r="F2695" s="218" t="s">
        <v>1840</v>
      </c>
      <c r="G2695" s="218" t="s">
        <v>1841</v>
      </c>
    </row>
    <row r="2696" spans="1:7" x14ac:dyDescent="0.15">
      <c r="A2696" s="218" t="s">
        <v>11437</v>
      </c>
      <c r="B2696" s="218" t="s">
        <v>11438</v>
      </c>
      <c r="C2696" s="218" t="s">
        <v>3534</v>
      </c>
      <c r="D2696" s="218" t="s">
        <v>11439</v>
      </c>
      <c r="E2696" s="218" t="s">
        <v>1839</v>
      </c>
      <c r="F2696" s="218" t="s">
        <v>1840</v>
      </c>
      <c r="G2696" s="218" t="s">
        <v>1841</v>
      </c>
    </row>
    <row r="2697" spans="1:7" x14ac:dyDescent="0.15">
      <c r="A2697" s="218" t="s">
        <v>6668</v>
      </c>
      <c r="B2697" s="218" t="s">
        <v>6669</v>
      </c>
      <c r="C2697" s="218" t="s">
        <v>3534</v>
      </c>
      <c r="D2697" s="218" t="s">
        <v>6670</v>
      </c>
      <c r="E2697" s="218" t="s">
        <v>1839</v>
      </c>
      <c r="F2697" s="218" t="s">
        <v>1840</v>
      </c>
      <c r="G2697" s="218" t="s">
        <v>1841</v>
      </c>
    </row>
    <row r="2698" spans="1:7" x14ac:dyDescent="0.15">
      <c r="A2698" s="218" t="s">
        <v>6671</v>
      </c>
      <c r="B2698" s="218" t="s">
        <v>6672</v>
      </c>
      <c r="C2698" s="218" t="s">
        <v>3534</v>
      </c>
      <c r="D2698" s="218" t="s">
        <v>6673</v>
      </c>
      <c r="E2698" s="218" t="s">
        <v>1839</v>
      </c>
      <c r="F2698" s="218" t="s">
        <v>1840</v>
      </c>
      <c r="G2698" s="218" t="s">
        <v>1841</v>
      </c>
    </row>
    <row r="2699" spans="1:7" x14ac:dyDescent="0.15">
      <c r="A2699" s="218" t="s">
        <v>11442</v>
      </c>
      <c r="B2699" s="218" t="s">
        <v>11443</v>
      </c>
      <c r="C2699" s="218" t="s">
        <v>3534</v>
      </c>
      <c r="D2699" s="218" t="s">
        <v>11444</v>
      </c>
      <c r="E2699" s="218" t="s">
        <v>1839</v>
      </c>
      <c r="F2699" s="218" t="s">
        <v>1840</v>
      </c>
      <c r="G2699" s="218" t="s">
        <v>1841</v>
      </c>
    </row>
    <row r="2700" spans="1:7" x14ac:dyDescent="0.15">
      <c r="A2700" s="218" t="s">
        <v>11445</v>
      </c>
      <c r="B2700" s="218" t="s">
        <v>1791</v>
      </c>
      <c r="C2700" s="218" t="s">
        <v>3534</v>
      </c>
      <c r="D2700" s="218" t="s">
        <v>1792</v>
      </c>
      <c r="E2700" s="218" t="s">
        <v>1839</v>
      </c>
      <c r="F2700" s="218" t="s">
        <v>1840</v>
      </c>
      <c r="G2700" s="218" t="s">
        <v>1841</v>
      </c>
    </row>
    <row r="2701" spans="1:7" x14ac:dyDescent="0.15">
      <c r="A2701" s="218" t="s">
        <v>6674</v>
      </c>
      <c r="B2701" s="218" t="s">
        <v>6675</v>
      </c>
      <c r="C2701" s="218" t="s">
        <v>3534</v>
      </c>
      <c r="D2701" s="218" t="s">
        <v>6676</v>
      </c>
      <c r="E2701" s="218" t="s">
        <v>1839</v>
      </c>
      <c r="F2701" s="218" t="s">
        <v>1840</v>
      </c>
      <c r="G2701" s="218" t="s">
        <v>1841</v>
      </c>
    </row>
    <row r="2702" spans="1:7" x14ac:dyDescent="0.15">
      <c r="A2702" s="218" t="s">
        <v>6677</v>
      </c>
      <c r="B2702" s="218" t="s">
        <v>6678</v>
      </c>
      <c r="C2702" s="218" t="s">
        <v>3534</v>
      </c>
      <c r="D2702" s="218" t="s">
        <v>6679</v>
      </c>
      <c r="E2702" s="218" t="s">
        <v>1839</v>
      </c>
      <c r="F2702" s="218" t="s">
        <v>1840</v>
      </c>
      <c r="G2702" s="218" t="s">
        <v>1841</v>
      </c>
    </row>
    <row r="2703" spans="1:7" x14ac:dyDescent="0.15">
      <c r="A2703" s="218" t="s">
        <v>6680</v>
      </c>
      <c r="B2703" s="218" t="s">
        <v>6681</v>
      </c>
      <c r="C2703" s="218" t="s">
        <v>3534</v>
      </c>
      <c r="D2703" s="218" t="s">
        <v>6682</v>
      </c>
      <c r="E2703" s="218" t="s">
        <v>1839</v>
      </c>
      <c r="F2703" s="218" t="s">
        <v>1840</v>
      </c>
      <c r="G2703" s="218" t="s">
        <v>1841</v>
      </c>
    </row>
    <row r="2704" spans="1:7" x14ac:dyDescent="0.15">
      <c r="A2704" s="218" t="s">
        <v>11446</v>
      </c>
      <c r="B2704" s="218" t="s">
        <v>11447</v>
      </c>
      <c r="C2704" s="218" t="s">
        <v>3534</v>
      </c>
      <c r="D2704" s="218" t="s">
        <v>11448</v>
      </c>
      <c r="E2704" s="218" t="s">
        <v>1839</v>
      </c>
      <c r="F2704" s="218" t="s">
        <v>1840</v>
      </c>
      <c r="G2704" s="218" t="s">
        <v>1841</v>
      </c>
    </row>
    <row r="2705" spans="1:7" x14ac:dyDescent="0.15">
      <c r="A2705" s="218" t="s">
        <v>6683</v>
      </c>
      <c r="B2705" s="218" t="s">
        <v>6684</v>
      </c>
      <c r="C2705" s="218" t="s">
        <v>3534</v>
      </c>
      <c r="D2705" s="218" t="s">
        <v>6685</v>
      </c>
      <c r="E2705" s="218" t="s">
        <v>1839</v>
      </c>
      <c r="F2705" s="218" t="s">
        <v>1840</v>
      </c>
      <c r="G2705" s="218" t="s">
        <v>1841</v>
      </c>
    </row>
    <row r="2706" spans="1:7" x14ac:dyDescent="0.15">
      <c r="A2706" s="218" t="s">
        <v>11449</v>
      </c>
      <c r="B2706" s="218" t="s">
        <v>11450</v>
      </c>
      <c r="C2706" s="218" t="s">
        <v>3534</v>
      </c>
      <c r="D2706" s="218" t="s">
        <v>11451</v>
      </c>
      <c r="E2706" s="218" t="s">
        <v>1935</v>
      </c>
      <c r="F2706" s="218" t="s">
        <v>1840</v>
      </c>
      <c r="G2706" s="218" t="s">
        <v>1841</v>
      </c>
    </row>
    <row r="2707" spans="1:7" x14ac:dyDescent="0.15">
      <c r="A2707" s="218" t="s">
        <v>11452</v>
      </c>
      <c r="B2707" s="218" t="s">
        <v>11453</v>
      </c>
      <c r="C2707" s="218" t="s">
        <v>3534</v>
      </c>
      <c r="D2707" s="218" t="s">
        <v>11454</v>
      </c>
      <c r="E2707" s="218" t="s">
        <v>1839</v>
      </c>
      <c r="F2707" s="218" t="s">
        <v>1840</v>
      </c>
      <c r="G2707" s="218" t="s">
        <v>1841</v>
      </c>
    </row>
    <row r="2708" spans="1:7" x14ac:dyDescent="0.15">
      <c r="A2708" s="218" t="s">
        <v>6686</v>
      </c>
      <c r="B2708" s="218" t="s">
        <v>6687</v>
      </c>
      <c r="C2708" s="218" t="s">
        <v>3534</v>
      </c>
      <c r="D2708" s="218" t="s">
        <v>6688</v>
      </c>
      <c r="E2708" s="218" t="s">
        <v>1839</v>
      </c>
      <c r="F2708" s="218" t="s">
        <v>1840</v>
      </c>
      <c r="G2708" s="218" t="s">
        <v>1841</v>
      </c>
    </row>
    <row r="2709" spans="1:7" x14ac:dyDescent="0.15">
      <c r="A2709" s="218" t="s">
        <v>11455</v>
      </c>
      <c r="B2709" s="218" t="s">
        <v>1005</v>
      </c>
      <c r="C2709" s="218" t="s">
        <v>3534</v>
      </c>
      <c r="D2709" s="218" t="s">
        <v>1006</v>
      </c>
      <c r="E2709" s="218" t="s">
        <v>1839</v>
      </c>
      <c r="F2709" s="218" t="s">
        <v>1840</v>
      </c>
      <c r="G2709" s="218" t="s">
        <v>1841</v>
      </c>
    </row>
    <row r="2710" spans="1:7" x14ac:dyDescent="0.15">
      <c r="A2710" s="218" t="s">
        <v>11456</v>
      </c>
      <c r="B2710" s="218" t="s">
        <v>11457</v>
      </c>
      <c r="C2710" s="218" t="s">
        <v>3534</v>
      </c>
      <c r="D2710" s="218" t="s">
        <v>11458</v>
      </c>
      <c r="E2710" s="218" t="s">
        <v>1839</v>
      </c>
      <c r="F2710" s="218" t="s">
        <v>1840</v>
      </c>
      <c r="G2710" s="218" t="s">
        <v>1841</v>
      </c>
    </row>
    <row r="2711" spans="1:7" x14ac:dyDescent="0.15">
      <c r="A2711" s="218" t="s">
        <v>11459</v>
      </c>
      <c r="B2711" s="218" t="s">
        <v>11460</v>
      </c>
      <c r="C2711" s="218" t="s">
        <v>3534</v>
      </c>
      <c r="D2711" s="218" t="s">
        <v>11461</v>
      </c>
      <c r="E2711" s="218" t="s">
        <v>1839</v>
      </c>
      <c r="F2711" s="218" t="s">
        <v>1840</v>
      </c>
      <c r="G2711" s="218" t="s">
        <v>1841</v>
      </c>
    </row>
    <row r="2712" spans="1:7" x14ac:dyDescent="0.15">
      <c r="A2712" s="218" t="s">
        <v>6689</v>
      </c>
      <c r="B2712" s="218" t="s">
        <v>6690</v>
      </c>
      <c r="C2712" s="218" t="s">
        <v>3534</v>
      </c>
      <c r="D2712" s="218" t="s">
        <v>6691</v>
      </c>
      <c r="E2712" s="218" t="s">
        <v>1839</v>
      </c>
      <c r="F2712" s="218" t="s">
        <v>1840</v>
      </c>
      <c r="G2712" s="218" t="s">
        <v>1841</v>
      </c>
    </row>
    <row r="2713" spans="1:7" x14ac:dyDescent="0.15">
      <c r="A2713" s="218" t="s">
        <v>6692</v>
      </c>
      <c r="B2713" s="218" t="s">
        <v>6693</v>
      </c>
      <c r="C2713" s="218" t="s">
        <v>3534</v>
      </c>
      <c r="D2713" s="218" t="s">
        <v>6694</v>
      </c>
      <c r="E2713" s="218" t="s">
        <v>1839</v>
      </c>
      <c r="F2713" s="218" t="s">
        <v>1840</v>
      </c>
      <c r="G2713" s="218" t="s">
        <v>1841</v>
      </c>
    </row>
    <row r="2714" spans="1:7" x14ac:dyDescent="0.15">
      <c r="A2714" s="218" t="s">
        <v>11462</v>
      </c>
      <c r="B2714" s="218" t="s">
        <v>1511</v>
      </c>
      <c r="C2714" s="218" t="s">
        <v>3534</v>
      </c>
      <c r="D2714" s="218" t="s">
        <v>1512</v>
      </c>
      <c r="E2714" s="218" t="s">
        <v>1839</v>
      </c>
      <c r="F2714" s="218" t="s">
        <v>1840</v>
      </c>
      <c r="G2714" s="218" t="s">
        <v>1841</v>
      </c>
    </row>
    <row r="2715" spans="1:7" x14ac:dyDescent="0.15">
      <c r="A2715" s="218" t="s">
        <v>6695</v>
      </c>
      <c r="B2715" s="218" t="s">
        <v>6696</v>
      </c>
      <c r="C2715" s="218" t="s">
        <v>3534</v>
      </c>
      <c r="D2715" s="218" t="s">
        <v>6697</v>
      </c>
      <c r="E2715" s="218" t="s">
        <v>1839</v>
      </c>
      <c r="F2715" s="218" t="s">
        <v>1840</v>
      </c>
      <c r="G2715" s="218" t="s">
        <v>1841</v>
      </c>
    </row>
    <row r="2716" spans="1:7" x14ac:dyDescent="0.15">
      <c r="A2716" s="218" t="s">
        <v>11463</v>
      </c>
      <c r="B2716" s="218" t="s">
        <v>11464</v>
      </c>
      <c r="C2716" s="218" t="s">
        <v>3534</v>
      </c>
      <c r="D2716" s="218" t="s">
        <v>1472</v>
      </c>
      <c r="E2716" s="218" t="s">
        <v>1839</v>
      </c>
      <c r="F2716" s="218" t="s">
        <v>1840</v>
      </c>
      <c r="G2716" s="218" t="s">
        <v>1841</v>
      </c>
    </row>
    <row r="2717" spans="1:7" x14ac:dyDescent="0.15">
      <c r="A2717" s="218" t="s">
        <v>6698</v>
      </c>
      <c r="B2717" s="218" t="s">
        <v>6699</v>
      </c>
      <c r="C2717" s="218" t="s">
        <v>3534</v>
      </c>
      <c r="D2717" s="218" t="s">
        <v>6700</v>
      </c>
      <c r="E2717" s="218" t="s">
        <v>1839</v>
      </c>
      <c r="F2717" s="218" t="s">
        <v>1840</v>
      </c>
      <c r="G2717" s="218" t="s">
        <v>1841</v>
      </c>
    </row>
    <row r="2718" spans="1:7" x14ac:dyDescent="0.15">
      <c r="A2718" s="218" t="s">
        <v>6701</v>
      </c>
      <c r="B2718" s="218" t="s">
        <v>6702</v>
      </c>
      <c r="C2718" s="218" t="s">
        <v>3534</v>
      </c>
      <c r="D2718" s="218" t="s">
        <v>6703</v>
      </c>
      <c r="E2718" s="218" t="s">
        <v>1839</v>
      </c>
      <c r="F2718" s="218" t="s">
        <v>1840</v>
      </c>
      <c r="G2718" s="218" t="s">
        <v>1841</v>
      </c>
    </row>
    <row r="2719" spans="1:7" x14ac:dyDescent="0.15">
      <c r="A2719" s="218" t="s">
        <v>11465</v>
      </c>
      <c r="B2719" s="218" t="s">
        <v>1601</v>
      </c>
      <c r="C2719" s="218" t="s">
        <v>3534</v>
      </c>
      <c r="D2719" s="218" t="s">
        <v>1602</v>
      </c>
      <c r="E2719" s="218" t="s">
        <v>1839</v>
      </c>
      <c r="F2719" s="218" t="s">
        <v>1840</v>
      </c>
      <c r="G2719" s="218" t="s">
        <v>1841</v>
      </c>
    </row>
    <row r="2720" spans="1:7" x14ac:dyDescent="0.15">
      <c r="A2720" s="218" t="s">
        <v>11466</v>
      </c>
      <c r="B2720" s="218" t="s">
        <v>11467</v>
      </c>
      <c r="C2720" s="218" t="s">
        <v>3534</v>
      </c>
      <c r="D2720" s="218" t="s">
        <v>11468</v>
      </c>
      <c r="E2720" s="218" t="s">
        <v>1839</v>
      </c>
      <c r="F2720" s="218" t="s">
        <v>1840</v>
      </c>
      <c r="G2720" s="218" t="s">
        <v>1841</v>
      </c>
    </row>
    <row r="2721" spans="1:7" x14ac:dyDescent="0.15">
      <c r="A2721" s="218" t="s">
        <v>6704</v>
      </c>
      <c r="B2721" s="218" t="s">
        <v>6705</v>
      </c>
      <c r="C2721" s="218" t="s">
        <v>3534</v>
      </c>
      <c r="D2721" s="218" t="s">
        <v>6706</v>
      </c>
      <c r="E2721" s="218" t="s">
        <v>1839</v>
      </c>
      <c r="F2721" s="218" t="s">
        <v>1840</v>
      </c>
      <c r="G2721" s="218" t="s">
        <v>1841</v>
      </c>
    </row>
    <row r="2722" spans="1:7" x14ac:dyDescent="0.15">
      <c r="A2722" s="218" t="s">
        <v>6707</v>
      </c>
      <c r="B2722" s="218" t="s">
        <v>6708</v>
      </c>
      <c r="C2722" s="218" t="s">
        <v>3534</v>
      </c>
      <c r="D2722" s="218" t="s">
        <v>6709</v>
      </c>
      <c r="E2722" s="218" t="s">
        <v>1839</v>
      </c>
      <c r="F2722" s="218" t="s">
        <v>1840</v>
      </c>
      <c r="G2722" s="218" t="s">
        <v>1841</v>
      </c>
    </row>
    <row r="2723" spans="1:7" x14ac:dyDescent="0.15">
      <c r="A2723" s="218" t="s">
        <v>11469</v>
      </c>
      <c r="B2723" s="218" t="s">
        <v>11470</v>
      </c>
      <c r="C2723" s="218" t="s">
        <v>3534</v>
      </c>
      <c r="D2723" s="218" t="s">
        <v>11471</v>
      </c>
      <c r="E2723" s="218" t="s">
        <v>1839</v>
      </c>
      <c r="F2723" s="218" t="s">
        <v>1840</v>
      </c>
      <c r="G2723" s="218" t="s">
        <v>1841</v>
      </c>
    </row>
    <row r="2724" spans="1:7" x14ac:dyDescent="0.15">
      <c r="A2724" s="218" t="s">
        <v>6710</v>
      </c>
      <c r="B2724" s="218" t="s">
        <v>6711</v>
      </c>
      <c r="C2724" s="218" t="s">
        <v>3534</v>
      </c>
      <c r="D2724" s="218" t="s">
        <v>6712</v>
      </c>
      <c r="E2724" s="218" t="s">
        <v>1839</v>
      </c>
      <c r="F2724" s="218" t="s">
        <v>1840</v>
      </c>
      <c r="G2724" s="218" t="s">
        <v>1841</v>
      </c>
    </row>
    <row r="2725" spans="1:7" x14ac:dyDescent="0.15">
      <c r="A2725" s="218" t="s">
        <v>6713</v>
      </c>
      <c r="B2725" s="218" t="s">
        <v>6714</v>
      </c>
      <c r="C2725" s="218" t="s">
        <v>3534</v>
      </c>
      <c r="D2725" s="218" t="s">
        <v>6715</v>
      </c>
      <c r="E2725" s="218" t="s">
        <v>1935</v>
      </c>
      <c r="F2725" s="218" t="s">
        <v>1840</v>
      </c>
      <c r="G2725" s="218" t="s">
        <v>1841</v>
      </c>
    </row>
    <row r="2726" spans="1:7" x14ac:dyDescent="0.15">
      <c r="A2726" s="218" t="s">
        <v>11472</v>
      </c>
      <c r="B2726" s="218" t="s">
        <v>11473</v>
      </c>
      <c r="C2726" s="218" t="s">
        <v>3534</v>
      </c>
      <c r="D2726" s="218" t="s">
        <v>11474</v>
      </c>
      <c r="E2726" s="218" t="s">
        <v>1839</v>
      </c>
      <c r="F2726" s="218" t="s">
        <v>1840</v>
      </c>
      <c r="G2726" s="218" t="s">
        <v>1841</v>
      </c>
    </row>
    <row r="2727" spans="1:7" x14ac:dyDescent="0.15">
      <c r="A2727" s="218" t="s">
        <v>11818</v>
      </c>
      <c r="B2727" s="218" t="s">
        <v>11819</v>
      </c>
      <c r="C2727" s="218" t="s">
        <v>3534</v>
      </c>
      <c r="D2727" s="218" t="s">
        <v>11820</v>
      </c>
      <c r="E2727" s="218" t="s">
        <v>1839</v>
      </c>
      <c r="F2727" s="218" t="s">
        <v>1840</v>
      </c>
      <c r="G2727" s="218" t="s">
        <v>1841</v>
      </c>
    </row>
    <row r="2728" spans="1:7" x14ac:dyDescent="0.15">
      <c r="A2728" s="218" t="s">
        <v>11475</v>
      </c>
      <c r="B2728" s="218" t="s">
        <v>11476</v>
      </c>
      <c r="C2728" s="218" t="s">
        <v>3534</v>
      </c>
      <c r="D2728" s="218" t="s">
        <v>11477</v>
      </c>
      <c r="E2728" s="218" t="s">
        <v>1839</v>
      </c>
      <c r="F2728" s="218" t="s">
        <v>1840</v>
      </c>
      <c r="G2728" s="218" t="s">
        <v>1841</v>
      </c>
    </row>
    <row r="2729" spans="1:7" x14ac:dyDescent="0.15">
      <c r="A2729" s="218" t="s">
        <v>6716</v>
      </c>
      <c r="B2729" s="218" t="s">
        <v>6717</v>
      </c>
      <c r="C2729" s="218" t="s">
        <v>3534</v>
      </c>
      <c r="D2729" s="218" t="s">
        <v>6718</v>
      </c>
      <c r="E2729" s="218" t="s">
        <v>1839</v>
      </c>
      <c r="F2729" s="218" t="s">
        <v>1840</v>
      </c>
      <c r="G2729" s="218" t="s">
        <v>1841</v>
      </c>
    </row>
    <row r="2730" spans="1:7" x14ac:dyDescent="0.15">
      <c r="A2730" s="218" t="s">
        <v>11478</v>
      </c>
      <c r="B2730" s="218" t="s">
        <v>11479</v>
      </c>
      <c r="C2730" s="218" t="s">
        <v>3534</v>
      </c>
      <c r="D2730" s="218" t="s">
        <v>11480</v>
      </c>
      <c r="E2730" s="218" t="s">
        <v>1839</v>
      </c>
      <c r="F2730" s="218" t="s">
        <v>1840</v>
      </c>
      <c r="G2730" s="218" t="s">
        <v>1841</v>
      </c>
    </row>
    <row r="2731" spans="1:7" x14ac:dyDescent="0.15">
      <c r="A2731" s="218" t="s">
        <v>11821</v>
      </c>
      <c r="B2731" s="218" t="s">
        <v>11822</v>
      </c>
      <c r="C2731" s="218" t="s">
        <v>3534</v>
      </c>
      <c r="D2731" s="218" t="s">
        <v>11823</v>
      </c>
      <c r="E2731" s="218" t="s">
        <v>1839</v>
      </c>
      <c r="F2731" s="218" t="s">
        <v>1840</v>
      </c>
      <c r="G2731" s="218" t="s">
        <v>1841</v>
      </c>
    </row>
    <row r="2732" spans="1:7" x14ac:dyDescent="0.15">
      <c r="A2732" s="218" t="s">
        <v>11481</v>
      </c>
      <c r="B2732" s="218" t="s">
        <v>11482</v>
      </c>
      <c r="C2732" s="218" t="s">
        <v>3534</v>
      </c>
      <c r="D2732" s="218" t="s">
        <v>11483</v>
      </c>
      <c r="E2732" s="218" t="s">
        <v>1839</v>
      </c>
      <c r="F2732" s="218" t="s">
        <v>1840</v>
      </c>
      <c r="G2732" s="218" t="s">
        <v>1841</v>
      </c>
    </row>
    <row r="2733" spans="1:7" x14ac:dyDescent="0.15">
      <c r="A2733" s="218" t="s">
        <v>6719</v>
      </c>
      <c r="B2733" s="218" t="s">
        <v>6720</v>
      </c>
      <c r="C2733" s="218" t="s">
        <v>3534</v>
      </c>
      <c r="D2733" s="218" t="s">
        <v>6721</v>
      </c>
      <c r="E2733" s="218" t="s">
        <v>1839</v>
      </c>
      <c r="F2733" s="218" t="s">
        <v>1840</v>
      </c>
      <c r="G2733" s="218" t="s">
        <v>1841</v>
      </c>
    </row>
    <row r="2734" spans="1:7" x14ac:dyDescent="0.15">
      <c r="A2734" s="218" t="s">
        <v>11484</v>
      </c>
      <c r="B2734" s="218" t="s">
        <v>11485</v>
      </c>
      <c r="C2734" s="218" t="s">
        <v>3534</v>
      </c>
      <c r="D2734" s="218" t="s">
        <v>11486</v>
      </c>
      <c r="E2734" s="218" t="s">
        <v>1839</v>
      </c>
      <c r="F2734" s="218" t="s">
        <v>1840</v>
      </c>
      <c r="G2734" s="218" t="s">
        <v>1841</v>
      </c>
    </row>
    <row r="2735" spans="1:7" x14ac:dyDescent="0.15">
      <c r="A2735" s="218" t="s">
        <v>11487</v>
      </c>
      <c r="B2735" s="218" t="s">
        <v>774</v>
      </c>
      <c r="C2735" s="218" t="s">
        <v>3534</v>
      </c>
      <c r="D2735" s="218" t="s">
        <v>775</v>
      </c>
      <c r="E2735" s="218" t="s">
        <v>1839</v>
      </c>
      <c r="F2735" s="218" t="s">
        <v>1840</v>
      </c>
      <c r="G2735" s="218" t="s">
        <v>1841</v>
      </c>
    </row>
    <row r="2736" spans="1:7" x14ac:dyDescent="0.15">
      <c r="A2736" s="218" t="s">
        <v>11488</v>
      </c>
      <c r="B2736" s="218" t="s">
        <v>674</v>
      </c>
      <c r="C2736" s="218" t="s">
        <v>3534</v>
      </c>
      <c r="D2736" s="218" t="s">
        <v>675</v>
      </c>
      <c r="E2736" s="218" t="s">
        <v>1839</v>
      </c>
      <c r="F2736" s="218" t="s">
        <v>1840</v>
      </c>
      <c r="G2736" s="218" t="s">
        <v>1841</v>
      </c>
    </row>
    <row r="2737" spans="1:7" x14ac:dyDescent="0.15">
      <c r="A2737" s="218" t="s">
        <v>11489</v>
      </c>
      <c r="B2737" s="218" t="s">
        <v>11490</v>
      </c>
      <c r="C2737" s="218" t="s">
        <v>3534</v>
      </c>
      <c r="D2737" s="218" t="s">
        <v>11491</v>
      </c>
      <c r="E2737" s="218" t="s">
        <v>1839</v>
      </c>
      <c r="F2737" s="218" t="s">
        <v>1840</v>
      </c>
      <c r="G2737" s="218" t="s">
        <v>1841</v>
      </c>
    </row>
    <row r="2738" spans="1:7" x14ac:dyDescent="0.15">
      <c r="A2738" s="218" t="s">
        <v>6725</v>
      </c>
      <c r="B2738" s="218" t="s">
        <v>6726</v>
      </c>
      <c r="C2738" s="218" t="s">
        <v>3534</v>
      </c>
      <c r="D2738" s="218" t="s">
        <v>6727</v>
      </c>
      <c r="E2738" s="218" t="s">
        <v>1839</v>
      </c>
      <c r="F2738" s="218" t="s">
        <v>1840</v>
      </c>
      <c r="G2738" s="218" t="s">
        <v>1841</v>
      </c>
    </row>
    <row r="2739" spans="1:7" x14ac:dyDescent="0.15">
      <c r="A2739" s="218" t="s">
        <v>6728</v>
      </c>
      <c r="B2739" s="218" t="s">
        <v>6729</v>
      </c>
      <c r="C2739" s="218" t="s">
        <v>3534</v>
      </c>
      <c r="D2739" s="218" t="s">
        <v>6730</v>
      </c>
      <c r="E2739" s="218" t="s">
        <v>1839</v>
      </c>
      <c r="F2739" s="218" t="s">
        <v>1840</v>
      </c>
      <c r="G2739" s="218" t="s">
        <v>1841</v>
      </c>
    </row>
    <row r="2740" spans="1:7" x14ac:dyDescent="0.15">
      <c r="A2740" s="218" t="s">
        <v>6731</v>
      </c>
      <c r="B2740" s="218" t="s">
        <v>6732</v>
      </c>
      <c r="C2740" s="218" t="s">
        <v>3534</v>
      </c>
      <c r="D2740" s="218" t="s">
        <v>6733</v>
      </c>
      <c r="E2740" s="218" t="s">
        <v>1839</v>
      </c>
      <c r="F2740" s="218" t="s">
        <v>1840</v>
      </c>
      <c r="G2740" s="218" t="s">
        <v>1841</v>
      </c>
    </row>
    <row r="2741" spans="1:7" x14ac:dyDescent="0.15">
      <c r="A2741" s="218" t="s">
        <v>11492</v>
      </c>
      <c r="B2741" s="218" t="s">
        <v>11493</v>
      </c>
      <c r="C2741" s="218" t="s">
        <v>3534</v>
      </c>
      <c r="D2741" s="218" t="s">
        <v>6733</v>
      </c>
      <c r="E2741" s="218" t="s">
        <v>1839</v>
      </c>
      <c r="F2741" s="218" t="s">
        <v>1840</v>
      </c>
      <c r="G2741" s="218" t="s">
        <v>1841</v>
      </c>
    </row>
    <row r="2742" spans="1:7" x14ac:dyDescent="0.15">
      <c r="A2742" s="218" t="s">
        <v>6734</v>
      </c>
      <c r="B2742" s="218" t="s">
        <v>6735</v>
      </c>
      <c r="C2742" s="218" t="s">
        <v>3534</v>
      </c>
      <c r="D2742" s="218" t="s">
        <v>6736</v>
      </c>
      <c r="E2742" s="218" t="s">
        <v>1839</v>
      </c>
      <c r="F2742" s="218" t="s">
        <v>1840</v>
      </c>
      <c r="G2742" s="218" t="s">
        <v>1841</v>
      </c>
    </row>
    <row r="2743" spans="1:7" x14ac:dyDescent="0.15">
      <c r="A2743" s="218" t="s">
        <v>6740</v>
      </c>
      <c r="B2743" s="218" t="s">
        <v>6741</v>
      </c>
      <c r="C2743" s="218" t="s">
        <v>3534</v>
      </c>
      <c r="D2743" s="218" t="s">
        <v>6742</v>
      </c>
      <c r="E2743" s="218" t="s">
        <v>1839</v>
      </c>
      <c r="F2743" s="218" t="s">
        <v>1840</v>
      </c>
      <c r="G2743" s="218" t="s">
        <v>1841</v>
      </c>
    </row>
    <row r="2744" spans="1:7" x14ac:dyDescent="0.15">
      <c r="A2744" s="218" t="s">
        <v>11494</v>
      </c>
      <c r="B2744" s="218" t="s">
        <v>11495</v>
      </c>
      <c r="C2744" s="218" t="s">
        <v>3534</v>
      </c>
      <c r="D2744" s="218" t="s">
        <v>11496</v>
      </c>
      <c r="E2744" s="218" t="s">
        <v>1839</v>
      </c>
      <c r="F2744" s="218" t="s">
        <v>1840</v>
      </c>
      <c r="G2744" s="218" t="s">
        <v>1841</v>
      </c>
    </row>
    <row r="2745" spans="1:7" x14ac:dyDescent="0.15">
      <c r="A2745" s="218" t="s">
        <v>6743</v>
      </c>
      <c r="B2745" s="218" t="s">
        <v>6744</v>
      </c>
      <c r="C2745" s="218" t="s">
        <v>3534</v>
      </c>
      <c r="D2745" s="218" t="s">
        <v>6745</v>
      </c>
      <c r="E2745" s="218" t="s">
        <v>1839</v>
      </c>
      <c r="F2745" s="218" t="s">
        <v>1840</v>
      </c>
      <c r="G2745" s="218" t="s">
        <v>1841</v>
      </c>
    </row>
    <row r="2746" spans="1:7" x14ac:dyDescent="0.15">
      <c r="A2746" s="218" t="s">
        <v>11497</v>
      </c>
      <c r="B2746" s="218" t="s">
        <v>11498</v>
      </c>
      <c r="C2746" s="218" t="s">
        <v>3534</v>
      </c>
      <c r="D2746" s="218" t="s">
        <v>6745</v>
      </c>
      <c r="E2746" s="218" t="s">
        <v>1839</v>
      </c>
      <c r="F2746" s="218" t="s">
        <v>1840</v>
      </c>
      <c r="G2746" s="218" t="s">
        <v>1841</v>
      </c>
    </row>
    <row r="2747" spans="1:7" x14ac:dyDescent="0.15">
      <c r="A2747" s="218" t="s">
        <v>11499</v>
      </c>
      <c r="B2747" s="218" t="s">
        <v>751</v>
      </c>
      <c r="C2747" s="218" t="s">
        <v>3534</v>
      </c>
      <c r="D2747" s="218" t="s">
        <v>752</v>
      </c>
      <c r="E2747" s="218" t="s">
        <v>1839</v>
      </c>
      <c r="F2747" s="218" t="s">
        <v>1840</v>
      </c>
      <c r="G2747" s="218" t="s">
        <v>1841</v>
      </c>
    </row>
    <row r="2748" spans="1:7" x14ac:dyDescent="0.15">
      <c r="A2748" s="218" t="s">
        <v>11500</v>
      </c>
      <c r="B2748" s="218" t="s">
        <v>11501</v>
      </c>
      <c r="C2748" s="218" t="s">
        <v>3534</v>
      </c>
      <c r="D2748" s="218" t="s">
        <v>11502</v>
      </c>
      <c r="E2748" s="218" t="s">
        <v>1935</v>
      </c>
      <c r="F2748" s="218" t="s">
        <v>1840</v>
      </c>
      <c r="G2748" s="218" t="s">
        <v>1841</v>
      </c>
    </row>
    <row r="2749" spans="1:7" x14ac:dyDescent="0.15">
      <c r="A2749" s="218" t="s">
        <v>6746</v>
      </c>
      <c r="B2749" s="218" t="s">
        <v>6747</v>
      </c>
      <c r="C2749" s="218" t="s">
        <v>3534</v>
      </c>
      <c r="D2749" s="218" t="s">
        <v>6748</v>
      </c>
      <c r="E2749" s="218" t="s">
        <v>1839</v>
      </c>
      <c r="F2749" s="218" t="s">
        <v>1840</v>
      </c>
      <c r="G2749" s="218" t="s">
        <v>1841</v>
      </c>
    </row>
    <row r="2750" spans="1:7" x14ac:dyDescent="0.15">
      <c r="A2750" s="218" t="s">
        <v>6749</v>
      </c>
      <c r="B2750" s="218" t="s">
        <v>6750</v>
      </c>
      <c r="C2750" s="218" t="s">
        <v>3534</v>
      </c>
      <c r="D2750" s="218" t="s">
        <v>6751</v>
      </c>
      <c r="E2750" s="218" t="s">
        <v>1839</v>
      </c>
      <c r="F2750" s="218" t="s">
        <v>1840</v>
      </c>
      <c r="G2750" s="218" t="s">
        <v>1841</v>
      </c>
    </row>
    <row r="2751" spans="1:7" x14ac:dyDescent="0.15">
      <c r="A2751" s="218" t="s">
        <v>6752</v>
      </c>
      <c r="B2751" s="218" t="s">
        <v>6753</v>
      </c>
      <c r="C2751" s="218" t="s">
        <v>3534</v>
      </c>
      <c r="D2751" s="218" t="s">
        <v>6754</v>
      </c>
      <c r="E2751" s="218" t="s">
        <v>1839</v>
      </c>
      <c r="F2751" s="218" t="s">
        <v>1840</v>
      </c>
      <c r="G2751" s="218" t="s">
        <v>1841</v>
      </c>
    </row>
    <row r="2752" spans="1:7" x14ac:dyDescent="0.15">
      <c r="A2752" s="218" t="s">
        <v>6755</v>
      </c>
      <c r="B2752" s="218" t="s">
        <v>6756</v>
      </c>
      <c r="C2752" s="218" t="s">
        <v>3534</v>
      </c>
      <c r="D2752" s="218" t="s">
        <v>6757</v>
      </c>
      <c r="E2752" s="218" t="s">
        <v>1839</v>
      </c>
      <c r="F2752" s="218" t="s">
        <v>1840</v>
      </c>
      <c r="G2752" s="218" t="s">
        <v>1841</v>
      </c>
    </row>
    <row r="2753" spans="1:7" x14ac:dyDescent="0.15">
      <c r="A2753" s="218" t="s">
        <v>6758</v>
      </c>
      <c r="B2753" s="218" t="s">
        <v>6759</v>
      </c>
      <c r="C2753" s="218" t="s">
        <v>3534</v>
      </c>
      <c r="D2753" s="218" t="s">
        <v>6760</v>
      </c>
      <c r="E2753" s="218" t="s">
        <v>1839</v>
      </c>
      <c r="F2753" s="218" t="s">
        <v>1840</v>
      </c>
      <c r="G2753" s="218" t="s">
        <v>1841</v>
      </c>
    </row>
    <row r="2754" spans="1:7" x14ac:dyDescent="0.15">
      <c r="A2754" s="218" t="s">
        <v>6761</v>
      </c>
      <c r="B2754" s="218" t="s">
        <v>6762</v>
      </c>
      <c r="C2754" s="218" t="s">
        <v>3534</v>
      </c>
      <c r="D2754" s="218" t="s">
        <v>6760</v>
      </c>
      <c r="E2754" s="218" t="s">
        <v>1839</v>
      </c>
      <c r="F2754" s="218" t="s">
        <v>1840</v>
      </c>
      <c r="G2754" s="218" t="s">
        <v>1841</v>
      </c>
    </row>
    <row r="2755" spans="1:7" x14ac:dyDescent="0.15">
      <c r="A2755" s="218" t="s">
        <v>6763</v>
      </c>
      <c r="B2755" s="218" t="s">
        <v>6764</v>
      </c>
      <c r="C2755" s="218" t="s">
        <v>3534</v>
      </c>
      <c r="D2755" s="218" t="s">
        <v>6765</v>
      </c>
      <c r="E2755" s="218" t="s">
        <v>1839</v>
      </c>
      <c r="F2755" s="218" t="s">
        <v>1840</v>
      </c>
      <c r="G2755" s="218" t="s">
        <v>1841</v>
      </c>
    </row>
    <row r="2756" spans="1:7" x14ac:dyDescent="0.15">
      <c r="A2756" s="218" t="s">
        <v>11503</v>
      </c>
      <c r="B2756" s="218" t="s">
        <v>11504</v>
      </c>
      <c r="C2756" s="218" t="s">
        <v>3534</v>
      </c>
      <c r="D2756" s="218" t="s">
        <v>11505</v>
      </c>
      <c r="E2756" s="218" t="s">
        <v>1839</v>
      </c>
      <c r="F2756" s="218" t="s">
        <v>1840</v>
      </c>
      <c r="G2756" s="218" t="s">
        <v>1841</v>
      </c>
    </row>
    <row r="2757" spans="1:7" x14ac:dyDescent="0.15">
      <c r="A2757" s="218" t="s">
        <v>6766</v>
      </c>
      <c r="B2757" s="218" t="s">
        <v>6767</v>
      </c>
      <c r="C2757" s="218" t="s">
        <v>3534</v>
      </c>
      <c r="D2757" s="218" t="s">
        <v>6768</v>
      </c>
      <c r="E2757" s="218" t="s">
        <v>1839</v>
      </c>
      <c r="F2757" s="218" t="s">
        <v>1840</v>
      </c>
      <c r="G2757" s="218" t="s">
        <v>1841</v>
      </c>
    </row>
    <row r="2758" spans="1:7" x14ac:dyDescent="0.15">
      <c r="A2758" s="218" t="s">
        <v>6769</v>
      </c>
      <c r="B2758" s="218" t="s">
        <v>6770</v>
      </c>
      <c r="C2758" s="218" t="s">
        <v>3534</v>
      </c>
      <c r="D2758" s="218" t="s">
        <v>6771</v>
      </c>
      <c r="E2758" s="218" t="s">
        <v>1839</v>
      </c>
      <c r="F2758" s="218" t="s">
        <v>1840</v>
      </c>
      <c r="G2758" s="218" t="s">
        <v>1841</v>
      </c>
    </row>
    <row r="2759" spans="1:7" x14ac:dyDescent="0.15">
      <c r="A2759" s="218" t="s">
        <v>6772</v>
      </c>
      <c r="B2759" s="218" t="s">
        <v>6773</v>
      </c>
      <c r="C2759" s="218" t="s">
        <v>3534</v>
      </c>
      <c r="D2759" s="218" t="s">
        <v>6774</v>
      </c>
      <c r="E2759" s="218" t="s">
        <v>1839</v>
      </c>
      <c r="F2759" s="218" t="s">
        <v>1840</v>
      </c>
      <c r="G2759" s="218" t="s">
        <v>1841</v>
      </c>
    </row>
    <row r="2760" spans="1:7" x14ac:dyDescent="0.15">
      <c r="A2760" s="218" t="s">
        <v>6775</v>
      </c>
      <c r="B2760" s="218" t="s">
        <v>6776</v>
      </c>
      <c r="C2760" s="218" t="s">
        <v>3534</v>
      </c>
      <c r="D2760" s="218" t="s">
        <v>6777</v>
      </c>
      <c r="E2760" s="218" t="s">
        <v>1839</v>
      </c>
      <c r="F2760" s="218" t="s">
        <v>1840</v>
      </c>
      <c r="G2760" s="218" t="s">
        <v>1841</v>
      </c>
    </row>
    <row r="2761" spans="1:7" x14ac:dyDescent="0.15">
      <c r="A2761" s="218" t="s">
        <v>6778</v>
      </c>
      <c r="B2761" s="218" t="s">
        <v>6779</v>
      </c>
      <c r="C2761" s="218" t="s">
        <v>3534</v>
      </c>
      <c r="D2761" s="218" t="s">
        <v>6780</v>
      </c>
      <c r="E2761" s="218" t="s">
        <v>1839</v>
      </c>
      <c r="F2761" s="218" t="s">
        <v>1840</v>
      </c>
      <c r="G2761" s="218" t="s">
        <v>1841</v>
      </c>
    </row>
    <row r="2762" spans="1:7" x14ac:dyDescent="0.15">
      <c r="A2762" s="218" t="s">
        <v>6781</v>
      </c>
      <c r="B2762" s="218" t="s">
        <v>6782</v>
      </c>
      <c r="C2762" s="218" t="s">
        <v>3534</v>
      </c>
      <c r="D2762" s="218" t="s">
        <v>6783</v>
      </c>
      <c r="E2762" s="218" t="s">
        <v>1839</v>
      </c>
      <c r="F2762" s="218" t="s">
        <v>1840</v>
      </c>
      <c r="G2762" s="218" t="s">
        <v>1841</v>
      </c>
    </row>
    <row r="2763" spans="1:7" x14ac:dyDescent="0.15">
      <c r="A2763" s="218" t="s">
        <v>6784</v>
      </c>
      <c r="B2763" s="218" t="s">
        <v>6785</v>
      </c>
      <c r="C2763" s="218" t="s">
        <v>3534</v>
      </c>
      <c r="D2763" s="218" t="s">
        <v>6786</v>
      </c>
      <c r="E2763" s="218" t="s">
        <v>1839</v>
      </c>
      <c r="F2763" s="218" t="s">
        <v>1840</v>
      </c>
      <c r="G2763" s="218" t="s">
        <v>1841</v>
      </c>
    </row>
    <row r="2764" spans="1:7" x14ac:dyDescent="0.15">
      <c r="A2764" s="218" t="s">
        <v>11506</v>
      </c>
      <c r="B2764" s="218" t="s">
        <v>11507</v>
      </c>
      <c r="C2764" s="218" t="s">
        <v>3534</v>
      </c>
      <c r="D2764" s="218" t="s">
        <v>11507</v>
      </c>
      <c r="E2764" s="218" t="s">
        <v>1839</v>
      </c>
      <c r="F2764" s="218" t="s">
        <v>1840</v>
      </c>
      <c r="G2764" s="218" t="s">
        <v>1841</v>
      </c>
    </row>
    <row r="2765" spans="1:7" x14ac:dyDescent="0.15">
      <c r="A2765" s="218" t="s">
        <v>6787</v>
      </c>
      <c r="B2765" s="218" t="s">
        <v>6788</v>
      </c>
      <c r="C2765" s="218" t="s">
        <v>3534</v>
      </c>
      <c r="D2765" s="218" t="s">
        <v>6789</v>
      </c>
      <c r="E2765" s="218" t="s">
        <v>1839</v>
      </c>
      <c r="F2765" s="218" t="s">
        <v>1840</v>
      </c>
      <c r="G2765" s="218" t="s">
        <v>1841</v>
      </c>
    </row>
    <row r="2766" spans="1:7" x14ac:dyDescent="0.15">
      <c r="A2766" s="218" t="s">
        <v>11508</v>
      </c>
      <c r="B2766" s="218" t="s">
        <v>11509</v>
      </c>
      <c r="C2766" s="218" t="s">
        <v>3534</v>
      </c>
      <c r="D2766" s="218" t="s">
        <v>11510</v>
      </c>
      <c r="E2766" s="218" t="s">
        <v>1935</v>
      </c>
      <c r="F2766" s="218" t="s">
        <v>1840</v>
      </c>
      <c r="G2766" s="218" t="s">
        <v>1841</v>
      </c>
    </row>
    <row r="2767" spans="1:7" x14ac:dyDescent="0.15">
      <c r="A2767" s="218" t="s">
        <v>11511</v>
      </c>
      <c r="B2767" s="218" t="s">
        <v>11512</v>
      </c>
      <c r="C2767" s="218" t="s">
        <v>3534</v>
      </c>
      <c r="D2767" s="218" t="s">
        <v>11513</v>
      </c>
      <c r="E2767" s="218" t="s">
        <v>1839</v>
      </c>
      <c r="F2767" s="218" t="s">
        <v>1840</v>
      </c>
      <c r="G2767" s="218" t="s">
        <v>1841</v>
      </c>
    </row>
    <row r="2768" spans="1:7" x14ac:dyDescent="0.15">
      <c r="A2768" s="218" t="s">
        <v>6791</v>
      </c>
      <c r="B2768" s="218" t="s">
        <v>6792</v>
      </c>
      <c r="C2768" s="218" t="s">
        <v>3534</v>
      </c>
      <c r="D2768" s="218" t="s">
        <v>6793</v>
      </c>
      <c r="E2768" s="218" t="s">
        <v>1839</v>
      </c>
      <c r="F2768" s="218" t="s">
        <v>1840</v>
      </c>
      <c r="G2768" s="218" t="s">
        <v>1841</v>
      </c>
    </row>
    <row r="2769" spans="1:7" x14ac:dyDescent="0.15">
      <c r="A2769" s="218" t="s">
        <v>11514</v>
      </c>
      <c r="B2769" s="218" t="s">
        <v>11515</v>
      </c>
      <c r="C2769" s="218" t="s">
        <v>3534</v>
      </c>
      <c r="D2769" s="218" t="s">
        <v>11516</v>
      </c>
      <c r="E2769" s="218" t="s">
        <v>1839</v>
      </c>
      <c r="F2769" s="218" t="s">
        <v>1840</v>
      </c>
      <c r="G2769" s="218" t="s">
        <v>1841</v>
      </c>
    </row>
    <row r="2770" spans="1:7" x14ac:dyDescent="0.15">
      <c r="A2770" s="218" t="s">
        <v>11517</v>
      </c>
      <c r="B2770" s="218" t="s">
        <v>1349</v>
      </c>
      <c r="C2770" s="218" t="s">
        <v>3534</v>
      </c>
      <c r="D2770" s="218" t="s">
        <v>1350</v>
      </c>
      <c r="E2770" s="218" t="s">
        <v>1839</v>
      </c>
      <c r="F2770" s="218" t="s">
        <v>1840</v>
      </c>
      <c r="G2770" s="218" t="s">
        <v>1841</v>
      </c>
    </row>
    <row r="2771" spans="1:7" x14ac:dyDescent="0.15">
      <c r="A2771" s="218" t="s">
        <v>11824</v>
      </c>
      <c r="B2771" s="218" t="s">
        <v>11825</v>
      </c>
      <c r="C2771" s="218" t="s">
        <v>3534</v>
      </c>
      <c r="D2771" s="218" t="s">
        <v>11826</v>
      </c>
      <c r="E2771" s="218" t="s">
        <v>1935</v>
      </c>
      <c r="F2771" s="218" t="s">
        <v>1840</v>
      </c>
      <c r="G2771" s="218" t="s">
        <v>1841</v>
      </c>
    </row>
    <row r="2772" spans="1:7" x14ac:dyDescent="0.15">
      <c r="A2772" s="218" t="s">
        <v>6794</v>
      </c>
      <c r="B2772" s="218" t="s">
        <v>6795</v>
      </c>
      <c r="C2772" s="218" t="s">
        <v>3534</v>
      </c>
      <c r="D2772" s="218" t="s">
        <v>6796</v>
      </c>
      <c r="E2772" s="218" t="s">
        <v>1839</v>
      </c>
      <c r="F2772" s="218" t="s">
        <v>1840</v>
      </c>
      <c r="G2772" s="218" t="s">
        <v>1841</v>
      </c>
    </row>
    <row r="2773" spans="1:7" x14ac:dyDescent="0.15">
      <c r="A2773" s="218" t="s">
        <v>11518</v>
      </c>
      <c r="B2773" s="218" t="s">
        <v>11519</v>
      </c>
      <c r="C2773" s="218" t="s">
        <v>3534</v>
      </c>
      <c r="D2773" s="218" t="s">
        <v>918</v>
      </c>
      <c r="E2773" s="218" t="s">
        <v>1839</v>
      </c>
      <c r="F2773" s="218" t="s">
        <v>1840</v>
      </c>
      <c r="G2773" s="218" t="s">
        <v>1841</v>
      </c>
    </row>
    <row r="2774" spans="1:7" x14ac:dyDescent="0.15">
      <c r="A2774" s="218" t="s">
        <v>11827</v>
      </c>
      <c r="B2774" s="218" t="s">
        <v>11828</v>
      </c>
      <c r="C2774" s="218" t="s">
        <v>3534</v>
      </c>
      <c r="D2774" s="218" t="s">
        <v>11829</v>
      </c>
      <c r="E2774" s="218" t="s">
        <v>1839</v>
      </c>
      <c r="F2774" s="218" t="s">
        <v>1840</v>
      </c>
      <c r="G2774" s="218" t="s">
        <v>1841</v>
      </c>
    </row>
    <row r="2775" spans="1:7" x14ac:dyDescent="0.15">
      <c r="A2775" s="218" t="s">
        <v>6797</v>
      </c>
      <c r="B2775" s="218" t="s">
        <v>6798</v>
      </c>
      <c r="C2775" s="218" t="s">
        <v>3534</v>
      </c>
      <c r="D2775" s="218" t="s">
        <v>6799</v>
      </c>
      <c r="E2775" s="218" t="s">
        <v>1839</v>
      </c>
      <c r="F2775" s="218" t="s">
        <v>1840</v>
      </c>
      <c r="G2775" s="218" t="s">
        <v>1841</v>
      </c>
    </row>
    <row r="2776" spans="1:7" x14ac:dyDescent="0.15">
      <c r="A2776" s="218" t="s">
        <v>6800</v>
      </c>
      <c r="B2776" s="218" t="s">
        <v>1440</v>
      </c>
      <c r="C2776" s="218" t="s">
        <v>3534</v>
      </c>
      <c r="D2776" s="218" t="s">
        <v>1441</v>
      </c>
      <c r="E2776" s="218" t="s">
        <v>1839</v>
      </c>
      <c r="F2776" s="218" t="s">
        <v>1840</v>
      </c>
      <c r="G2776" s="218" t="s">
        <v>1841</v>
      </c>
    </row>
    <row r="2777" spans="1:7" x14ac:dyDescent="0.15">
      <c r="A2777" s="218" t="s">
        <v>6801</v>
      </c>
      <c r="B2777" s="218" t="s">
        <v>6802</v>
      </c>
      <c r="C2777" s="218" t="s">
        <v>3534</v>
      </c>
      <c r="D2777" s="218" t="s">
        <v>6803</v>
      </c>
      <c r="E2777" s="218" t="s">
        <v>1839</v>
      </c>
      <c r="F2777" s="218" t="s">
        <v>1840</v>
      </c>
      <c r="G2777" s="218" t="s">
        <v>1841</v>
      </c>
    </row>
    <row r="2778" spans="1:7" x14ac:dyDescent="0.15">
      <c r="A2778" s="218" t="s">
        <v>6804</v>
      </c>
      <c r="B2778" s="218" t="s">
        <v>6805</v>
      </c>
      <c r="C2778" s="218" t="s">
        <v>3534</v>
      </c>
      <c r="D2778" s="218" t="s">
        <v>6806</v>
      </c>
      <c r="E2778" s="218" t="s">
        <v>1839</v>
      </c>
      <c r="F2778" s="218" t="s">
        <v>1840</v>
      </c>
      <c r="G2778" s="218" t="s">
        <v>1841</v>
      </c>
    </row>
    <row r="2779" spans="1:7" x14ac:dyDescent="0.15">
      <c r="A2779" s="218" t="s">
        <v>11520</v>
      </c>
      <c r="B2779" s="218" t="s">
        <v>985</v>
      </c>
      <c r="C2779" s="218" t="s">
        <v>3534</v>
      </c>
      <c r="D2779" s="218" t="s">
        <v>986</v>
      </c>
      <c r="E2779" s="218" t="s">
        <v>1839</v>
      </c>
      <c r="F2779" s="218" t="s">
        <v>1840</v>
      </c>
      <c r="G2779" s="218" t="s">
        <v>1841</v>
      </c>
    </row>
    <row r="2780" spans="1:7" x14ac:dyDescent="0.15">
      <c r="A2780" s="218" t="s">
        <v>11521</v>
      </c>
      <c r="B2780" s="218" t="s">
        <v>985</v>
      </c>
      <c r="C2780" s="218" t="s">
        <v>3534</v>
      </c>
      <c r="D2780" s="218" t="s">
        <v>986</v>
      </c>
      <c r="E2780" s="218" t="s">
        <v>1839</v>
      </c>
      <c r="F2780" s="218" t="s">
        <v>1840</v>
      </c>
      <c r="G2780" s="218" t="s">
        <v>1841</v>
      </c>
    </row>
    <row r="2781" spans="1:7" x14ac:dyDescent="0.15">
      <c r="A2781" s="218" t="s">
        <v>11522</v>
      </c>
      <c r="B2781" s="218" t="s">
        <v>11523</v>
      </c>
      <c r="C2781" s="218" t="s">
        <v>3534</v>
      </c>
      <c r="D2781" s="218" t="s">
        <v>11524</v>
      </c>
      <c r="E2781" s="218" t="s">
        <v>1839</v>
      </c>
      <c r="F2781" s="218" t="s">
        <v>1840</v>
      </c>
      <c r="G2781" s="218" t="s">
        <v>1841</v>
      </c>
    </row>
    <row r="2782" spans="1:7" x14ac:dyDescent="0.15">
      <c r="A2782" s="218" t="s">
        <v>11525</v>
      </c>
      <c r="B2782" s="218" t="s">
        <v>1758</v>
      </c>
      <c r="C2782" s="218" t="s">
        <v>3534</v>
      </c>
      <c r="D2782" s="218" t="s">
        <v>1759</v>
      </c>
      <c r="E2782" s="218" t="s">
        <v>1839</v>
      </c>
      <c r="F2782" s="218" t="s">
        <v>1840</v>
      </c>
      <c r="G2782" s="218" t="s">
        <v>1841</v>
      </c>
    </row>
    <row r="2783" spans="1:7" x14ac:dyDescent="0.15">
      <c r="A2783" s="218" t="s">
        <v>11526</v>
      </c>
      <c r="B2783" s="218" t="s">
        <v>11527</v>
      </c>
      <c r="C2783" s="218" t="s">
        <v>3534</v>
      </c>
      <c r="D2783" s="218" t="s">
        <v>11528</v>
      </c>
      <c r="E2783" s="218" t="s">
        <v>1839</v>
      </c>
      <c r="F2783" s="218" t="s">
        <v>1840</v>
      </c>
      <c r="G2783" s="218" t="s">
        <v>1841</v>
      </c>
    </row>
    <row r="2784" spans="1:7" x14ac:dyDescent="0.15">
      <c r="A2784" s="218" t="s">
        <v>11529</v>
      </c>
      <c r="B2784" s="218" t="s">
        <v>11530</v>
      </c>
      <c r="C2784" s="218" t="s">
        <v>3534</v>
      </c>
      <c r="D2784" s="218" t="s">
        <v>11531</v>
      </c>
      <c r="E2784" s="218" t="s">
        <v>1839</v>
      </c>
      <c r="F2784" s="218" t="s">
        <v>1840</v>
      </c>
      <c r="G2784" s="218" t="s">
        <v>1841</v>
      </c>
    </row>
    <row r="2785" spans="1:7" x14ac:dyDescent="0.15">
      <c r="A2785" s="218" t="s">
        <v>11830</v>
      </c>
      <c r="B2785" s="218" t="s">
        <v>11831</v>
      </c>
      <c r="C2785" s="218" t="s">
        <v>3534</v>
      </c>
      <c r="D2785" s="218" t="s">
        <v>11832</v>
      </c>
      <c r="E2785" s="218" t="s">
        <v>1839</v>
      </c>
      <c r="F2785" s="218" t="s">
        <v>1840</v>
      </c>
      <c r="G2785" s="218" t="s">
        <v>1841</v>
      </c>
    </row>
    <row r="2786" spans="1:7" x14ac:dyDescent="0.15">
      <c r="A2786" s="218" t="s">
        <v>6807</v>
      </c>
      <c r="B2786" s="218" t="s">
        <v>6808</v>
      </c>
      <c r="C2786" s="218" t="s">
        <v>3534</v>
      </c>
      <c r="D2786" s="218" t="s">
        <v>6809</v>
      </c>
      <c r="E2786" s="218" t="s">
        <v>1839</v>
      </c>
      <c r="F2786" s="218" t="s">
        <v>1840</v>
      </c>
      <c r="G2786" s="218" t="s">
        <v>1841</v>
      </c>
    </row>
    <row r="2787" spans="1:7" x14ac:dyDescent="0.15">
      <c r="A2787" s="218" t="s">
        <v>11532</v>
      </c>
      <c r="B2787" s="218" t="s">
        <v>11533</v>
      </c>
      <c r="C2787" s="218" t="s">
        <v>3534</v>
      </c>
      <c r="D2787" s="218" t="s">
        <v>11534</v>
      </c>
      <c r="E2787" s="218" t="s">
        <v>1839</v>
      </c>
      <c r="F2787" s="218" t="s">
        <v>1840</v>
      </c>
      <c r="G2787" s="218" t="s">
        <v>1841</v>
      </c>
    </row>
    <row r="2788" spans="1:7" x14ac:dyDescent="0.15">
      <c r="A2788" s="218" t="s">
        <v>6810</v>
      </c>
      <c r="B2788" s="218" t="s">
        <v>6811</v>
      </c>
      <c r="C2788" s="218" t="s">
        <v>3534</v>
      </c>
      <c r="D2788" s="218" t="s">
        <v>6812</v>
      </c>
      <c r="E2788" s="218" t="s">
        <v>1839</v>
      </c>
      <c r="F2788" s="218" t="s">
        <v>1840</v>
      </c>
      <c r="G2788" s="218" t="s">
        <v>1841</v>
      </c>
    </row>
    <row r="2789" spans="1:7" x14ac:dyDescent="0.15">
      <c r="A2789" s="218" t="s">
        <v>6813</v>
      </c>
      <c r="B2789" s="218" t="s">
        <v>6814</v>
      </c>
      <c r="C2789" s="218" t="s">
        <v>3534</v>
      </c>
      <c r="D2789" s="218" t="s">
        <v>6815</v>
      </c>
      <c r="E2789" s="218" t="s">
        <v>1839</v>
      </c>
      <c r="F2789" s="218" t="s">
        <v>1840</v>
      </c>
      <c r="G2789" s="218" t="s">
        <v>1841</v>
      </c>
    </row>
    <row r="2790" spans="1:7" x14ac:dyDescent="0.15">
      <c r="A2790" s="218" t="s">
        <v>11833</v>
      </c>
      <c r="B2790" s="218" t="s">
        <v>11834</v>
      </c>
      <c r="C2790" s="218" t="s">
        <v>3534</v>
      </c>
      <c r="D2790" s="218" t="s">
        <v>11835</v>
      </c>
      <c r="E2790" s="218" t="s">
        <v>1839</v>
      </c>
      <c r="F2790" s="218" t="s">
        <v>1840</v>
      </c>
      <c r="G2790" s="218" t="s">
        <v>1841</v>
      </c>
    </row>
    <row r="2791" spans="1:7" x14ac:dyDescent="0.15">
      <c r="A2791" s="218" t="s">
        <v>11535</v>
      </c>
      <c r="B2791" s="218" t="s">
        <v>11536</v>
      </c>
      <c r="C2791" s="218" t="s">
        <v>3534</v>
      </c>
      <c r="D2791" s="218" t="s">
        <v>11537</v>
      </c>
      <c r="E2791" s="218" t="s">
        <v>1839</v>
      </c>
      <c r="F2791" s="218" t="s">
        <v>1840</v>
      </c>
      <c r="G2791" s="218" t="s">
        <v>1841</v>
      </c>
    </row>
    <row r="2792" spans="1:7" x14ac:dyDescent="0.15">
      <c r="A2792" s="218" t="s">
        <v>6816</v>
      </c>
      <c r="B2792" s="218" t="s">
        <v>6817</v>
      </c>
      <c r="C2792" s="218" t="s">
        <v>3534</v>
      </c>
      <c r="D2792" s="218" t="s">
        <v>1687</v>
      </c>
      <c r="E2792" s="218" t="s">
        <v>1839</v>
      </c>
      <c r="F2792" s="218" t="s">
        <v>1840</v>
      </c>
      <c r="G2792" s="218" t="s">
        <v>1841</v>
      </c>
    </row>
    <row r="2793" spans="1:7" x14ac:dyDescent="0.15">
      <c r="A2793" s="218" t="s">
        <v>6820</v>
      </c>
      <c r="B2793" s="218" t="s">
        <v>6821</v>
      </c>
      <c r="C2793" s="218" t="s">
        <v>3534</v>
      </c>
      <c r="D2793" s="218" t="s">
        <v>6822</v>
      </c>
      <c r="E2793" s="218" t="s">
        <v>1839</v>
      </c>
      <c r="F2793" s="218" t="s">
        <v>1840</v>
      </c>
      <c r="G2793" s="218" t="s">
        <v>1841</v>
      </c>
    </row>
    <row r="2794" spans="1:7" x14ac:dyDescent="0.15">
      <c r="A2794" s="218" t="s">
        <v>11541</v>
      </c>
      <c r="B2794" s="218" t="s">
        <v>11542</v>
      </c>
      <c r="C2794" s="218" t="s">
        <v>3534</v>
      </c>
      <c r="D2794" s="218" t="s">
        <v>11543</v>
      </c>
      <c r="E2794" s="218" t="s">
        <v>1839</v>
      </c>
      <c r="F2794" s="218" t="s">
        <v>1840</v>
      </c>
      <c r="G2794" s="218" t="s">
        <v>1841</v>
      </c>
    </row>
    <row r="2795" spans="1:7" x14ac:dyDescent="0.15">
      <c r="A2795" s="218" t="s">
        <v>11544</v>
      </c>
      <c r="B2795" s="218" t="s">
        <v>11545</v>
      </c>
      <c r="C2795" s="218" t="s">
        <v>3534</v>
      </c>
      <c r="D2795" s="218" t="s">
        <v>11546</v>
      </c>
      <c r="E2795" s="218" t="s">
        <v>1839</v>
      </c>
      <c r="F2795" s="218" t="s">
        <v>1840</v>
      </c>
      <c r="G2795" s="218" t="s">
        <v>1841</v>
      </c>
    </row>
    <row r="2796" spans="1:7" x14ac:dyDescent="0.15">
      <c r="A2796" s="218" t="s">
        <v>11547</v>
      </c>
      <c r="B2796" s="218" t="s">
        <v>11548</v>
      </c>
      <c r="C2796" s="218" t="s">
        <v>3534</v>
      </c>
      <c r="D2796" s="218" t="s">
        <v>11549</v>
      </c>
      <c r="E2796" s="218" t="s">
        <v>1839</v>
      </c>
      <c r="F2796" s="218" t="s">
        <v>1840</v>
      </c>
      <c r="G2796" s="218" t="s">
        <v>1841</v>
      </c>
    </row>
    <row r="2797" spans="1:7" x14ac:dyDescent="0.15">
      <c r="A2797" s="218" t="s">
        <v>6823</v>
      </c>
      <c r="B2797" s="218" t="s">
        <v>6824</v>
      </c>
      <c r="C2797" s="218" t="s">
        <v>3534</v>
      </c>
      <c r="D2797" s="218" t="s">
        <v>6825</v>
      </c>
      <c r="E2797" s="218" t="s">
        <v>1935</v>
      </c>
      <c r="F2797" s="218" t="s">
        <v>1840</v>
      </c>
      <c r="G2797" s="218" t="s">
        <v>1841</v>
      </c>
    </row>
    <row r="2798" spans="1:7" x14ac:dyDescent="0.15">
      <c r="A2798" s="218" t="s">
        <v>6826</v>
      </c>
      <c r="B2798" s="218" t="s">
        <v>6827</v>
      </c>
      <c r="C2798" s="218" t="s">
        <v>3534</v>
      </c>
      <c r="D2798" s="218" t="s">
        <v>6828</v>
      </c>
      <c r="E2798" s="218" t="s">
        <v>1839</v>
      </c>
      <c r="F2798" s="218" t="s">
        <v>1840</v>
      </c>
      <c r="G2798" s="218" t="s">
        <v>1841</v>
      </c>
    </row>
    <row r="2799" spans="1:7" x14ac:dyDescent="0.15">
      <c r="A2799" s="218" t="s">
        <v>11550</v>
      </c>
      <c r="B2799" s="218" t="s">
        <v>11551</v>
      </c>
      <c r="C2799" s="218" t="s">
        <v>3534</v>
      </c>
      <c r="D2799" s="218" t="s">
        <v>11552</v>
      </c>
      <c r="E2799" s="218" t="s">
        <v>1839</v>
      </c>
      <c r="F2799" s="218" t="s">
        <v>1840</v>
      </c>
      <c r="G2799" s="218" t="s">
        <v>1841</v>
      </c>
    </row>
  </sheetData>
  <phoneticPr fontId="77"/>
  <pageMargins left="0.7" right="0.7" top="0.75" bottom="0.75" header="0.3" footer="0.3"/>
  <pageSetup paperSize="9" orientation="portrait" horizontalDpi="214748364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17</vt:i4>
      </vt:variant>
    </vt:vector>
  </HeadingPairs>
  <TitlesOfParts>
    <vt:vector size="22" baseType="lpstr">
      <vt:lpstr>抽選会資料</vt:lpstr>
      <vt:lpstr>大会要項</vt:lpstr>
      <vt:lpstr>MCM資料</vt:lpstr>
      <vt:lpstr>予選リーグ</vt:lpstr>
      <vt:lpstr>決勝トーナメント</vt:lpstr>
      <vt:lpstr>大会要項!OLE_LINK1</vt:lpstr>
      <vt:lpstr>決勝T公式記録!Print_Area</vt:lpstr>
      <vt:lpstr>'決勝公式記録 No,33'!Print_Area</vt:lpstr>
      <vt:lpstr>組合せ抽選用!Print_Area</vt:lpstr>
      <vt:lpstr>大会要項!Print_Area</vt:lpstr>
      <vt:lpstr>予選リーグ!Print_Area</vt:lpstr>
      <vt:lpstr>'予選リーグ (2)'!Print_Area</vt:lpstr>
      <vt:lpstr>'予選リーグ公式記録(サブA-Aコート)'!Print_Area</vt:lpstr>
      <vt:lpstr>'予選リーグ公式記録(サブA-Bコート)'!Print_Area</vt:lpstr>
      <vt:lpstr>'予選リーグ公式記録(サブB-Cコート)'!Print_Area</vt:lpstr>
      <vt:lpstr>'予選リーグ公式記録(サブB-Dコート)'!Print_Area</vt:lpstr>
      <vt:lpstr>累積警告・退場!Print_Area</vt:lpstr>
      <vt:lpstr>決勝T公式記録!Print_Titles</vt:lpstr>
      <vt:lpstr>'予選リーグ公式記録(サブA-Aコート)'!Print_Titles</vt:lpstr>
      <vt:lpstr>'予選リーグ公式記録(サブA-Bコート)'!Print_Titles</vt:lpstr>
      <vt:lpstr>'予選リーグ公式記録(サブB-Cコート)'!Print_Titles</vt:lpstr>
      <vt:lpstr>'予選リーグ公式記録(サブB-Dコート)'!Print_Titles</vt:lpstr>
    </vt:vector>
  </TitlesOfParts>
  <Company>学 校 教 員</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貴士 上野</cp:lastModifiedBy>
  <cp:revision>2</cp:revision>
  <cp:lastPrinted>2026-04-22T11:53:13Z</cp:lastPrinted>
  <dcterms:created xsi:type="dcterms:W3CDTF">2002-01-31T07:32:19Z</dcterms:created>
  <dcterms:modified xsi:type="dcterms:W3CDTF">2026-05-30T10:58:26Z</dcterms:modified>
</cp:coreProperties>
</file>